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784" firstSheet="5" activeTab="5"/>
  </bookViews>
  <sheets>
    <sheet name="условия, ФОТ" sheetId="2" state="hidden" r:id="rId1"/>
    <sheet name="калькуляция" sheetId="1" state="hidden" r:id="rId2"/>
    <sheet name="условия, ФОТ (новый)" sheetId="10" state="hidden" r:id="rId3"/>
    <sheet name="калькуляция  население новое" sheetId="11" state="hidden" r:id="rId4"/>
    <sheet name="калькуляция новое)" sheetId="12" state="hidden" r:id="rId5"/>
    <sheet name="Прейскурант новый " sheetId="13" r:id="rId6"/>
    <sheet name="калькуляция (старый)" sheetId="7" state="hidden" r:id="rId7"/>
    <sheet name="Прейскурант(старый)" sheetId="6" state="hidden" r:id="rId8"/>
    <sheet name="материалы" sheetId="3" state="hidden" r:id="rId9"/>
    <sheet name="расход ГСМ" sheetId="4" state="hidden" r:id="rId10"/>
    <sheet name="мастерская" sheetId="5" state="hidden" r:id="rId11"/>
    <sheet name="условия, ФОТ (2)" sheetId="8" state="hidden" r:id="rId12"/>
    <sheet name="калькуляция 2022 насел" sheetId="9" state="hidden" r:id="rId13"/>
  </sheets>
  <externalReferences>
    <externalReference r:id="rId14"/>
    <externalReference r:id="rId15"/>
    <externalReference r:id="rId16"/>
    <externalReference r:id="rId17"/>
    <externalReference r:id="rId18"/>
    <externalReference r:id="rId19"/>
  </externalReferences>
  <definedNames>
    <definedName name="_xlnm.Print_Titles" localSheetId="1">калькуляция!$4:$5</definedName>
    <definedName name="_xlnm.Print_Titles" localSheetId="3">'калькуляция  население новое'!$4:$6</definedName>
    <definedName name="_xlnm.Print_Titles" localSheetId="6">'калькуляция (старый)'!$6:$7</definedName>
    <definedName name="_xlnm.Print_Titles" localSheetId="12">'калькуляция 2022 насел'!$4:$6</definedName>
    <definedName name="_xlnm.Print_Titles" localSheetId="4">'калькуляция новое)'!$6:$7</definedName>
    <definedName name="_xlnm.Print_Titles" localSheetId="5">'Прейскурант новый '!$6:$7</definedName>
    <definedName name="_xlnm.Print_Titles" localSheetId="7">'Прейскурант(старый)'!$4:$5</definedName>
    <definedName name="_xlnm.Print_Area" localSheetId="1">калькуляция!$A$1:$T$277</definedName>
    <definedName name="_xlnm.Print_Area" localSheetId="3">'калькуляция  население новое'!$A$1:$T$370</definedName>
    <definedName name="_xlnm.Print_Area" localSheetId="6">'калькуляция (старый)'!$A$1:$V$297</definedName>
    <definedName name="_xlnm.Print_Area" localSheetId="12">'калькуляция 2022 насел'!$A$1:$T$370</definedName>
    <definedName name="_xlnm.Print_Area" localSheetId="4">'калькуляция новое)'!$A$1:$V$295</definedName>
    <definedName name="_xlnm.Print_Area" localSheetId="10">мастерская!$A$1:$P$12</definedName>
    <definedName name="_xlnm.Print_Area" localSheetId="5">'Прейскурант новый '!$A$2:$J$295</definedName>
    <definedName name="_xlnm.Print_Area" localSheetId="7">'Прейскурант(старый)'!$A$1:$G$15</definedName>
  </definedNames>
  <calcPr calcId="145621"/>
</workbook>
</file>

<file path=xl/calcChain.xml><?xml version="1.0" encoding="utf-8"?>
<calcChain xmlns="http://schemas.openxmlformats.org/spreadsheetml/2006/main">
  <c r="I139" i="13" l="1"/>
  <c r="L30" i="13"/>
  <c r="H17" i="13"/>
  <c r="L15" i="13"/>
  <c r="H12" i="13"/>
  <c r="H7" i="13"/>
  <c r="J250" i="13" s="1"/>
  <c r="H250" i="13" s="1"/>
  <c r="I250" i="13" s="1"/>
  <c r="J53" i="13" l="1"/>
  <c r="H53" i="13" s="1"/>
  <c r="I53" i="13" s="1"/>
  <c r="J40" i="13"/>
  <c r="H40" i="13" s="1"/>
  <c r="I40" i="13" s="1"/>
  <c r="J139" i="13"/>
  <c r="J280" i="13"/>
  <c r="H280" i="13" s="1"/>
  <c r="I280" i="13" s="1"/>
  <c r="L283" i="12"/>
  <c r="R280" i="12"/>
  <c r="N254" i="12"/>
  <c r="N253" i="12"/>
  <c r="N252" i="12"/>
  <c r="N243" i="12"/>
  <c r="N241" i="12"/>
  <c r="N238" i="12"/>
  <c r="N237" i="12"/>
  <c r="N236" i="12"/>
  <c r="N235" i="12"/>
  <c r="N233" i="12"/>
  <c r="N230" i="12"/>
  <c r="N227" i="12"/>
  <c r="N226" i="12"/>
  <c r="N225" i="12"/>
  <c r="N224" i="12"/>
  <c r="N223" i="12"/>
  <c r="N222" i="12"/>
  <c r="N219" i="12"/>
  <c r="N218" i="12"/>
  <c r="N217" i="12"/>
  <c r="N216" i="12"/>
  <c r="N215" i="12"/>
  <c r="N214" i="12"/>
  <c r="N211" i="12"/>
  <c r="N210" i="12"/>
  <c r="N209" i="12"/>
  <c r="I168" i="12"/>
  <c r="N155" i="12"/>
  <c r="N154" i="12"/>
  <c r="N153" i="12"/>
  <c r="N152" i="12"/>
  <c r="N151" i="12"/>
  <c r="N150" i="12"/>
  <c r="N149" i="12"/>
  <c r="I147" i="12"/>
  <c r="N146" i="12"/>
  <c r="N145" i="12"/>
  <c r="N144" i="12"/>
  <c r="N143" i="12"/>
  <c r="N142" i="12"/>
  <c r="N141" i="12"/>
  <c r="N140" i="12"/>
  <c r="U139" i="12"/>
  <c r="S139" i="12"/>
  <c r="I138" i="12"/>
  <c r="N136" i="12"/>
  <c r="N135" i="12"/>
  <c r="N134" i="12"/>
  <c r="N133" i="12"/>
  <c r="N132" i="12"/>
  <c r="N130" i="12"/>
  <c r="N129" i="12"/>
  <c r="N128" i="12"/>
  <c r="N127" i="12"/>
  <c r="N126" i="12"/>
  <c r="N123" i="12"/>
  <c r="N122" i="12"/>
  <c r="N121" i="12"/>
  <c r="N120" i="12"/>
  <c r="N110" i="12"/>
  <c r="N109" i="12"/>
  <c r="N108" i="12"/>
  <c r="N87" i="12"/>
  <c r="N86" i="12"/>
  <c r="N85" i="12"/>
  <c r="N83" i="12"/>
  <c r="N82" i="12"/>
  <c r="N81" i="12"/>
  <c r="N79" i="12"/>
  <c r="N78" i="12"/>
  <c r="N77" i="12"/>
  <c r="N75" i="12"/>
  <c r="N74" i="12"/>
  <c r="N73" i="12"/>
  <c r="N72" i="12"/>
  <c r="N71" i="12"/>
  <c r="N70" i="12"/>
  <c r="N69" i="12"/>
  <c r="I67" i="12"/>
  <c r="P66" i="12"/>
  <c r="N66" i="12"/>
  <c r="P65" i="12"/>
  <c r="N65" i="12"/>
  <c r="N64" i="12"/>
  <c r="P61" i="12"/>
  <c r="N61" i="12"/>
  <c r="P60" i="12"/>
  <c r="N60" i="12"/>
  <c r="N59" i="12"/>
  <c r="N58" i="12"/>
  <c r="N57" i="12"/>
  <c r="N56" i="12"/>
  <c r="I55" i="12"/>
  <c r="N54" i="12"/>
  <c r="S53" i="12"/>
  <c r="V53" i="12" s="1"/>
  <c r="T53" i="12" s="1"/>
  <c r="U53" i="12" s="1"/>
  <c r="P49" i="12"/>
  <c r="N49" i="12"/>
  <c r="P48" i="12"/>
  <c r="N48" i="12"/>
  <c r="N47" i="12"/>
  <c r="N45" i="12"/>
  <c r="N44" i="12"/>
  <c r="N43" i="12"/>
  <c r="N41" i="12"/>
  <c r="X30" i="12"/>
  <c r="J24" i="12"/>
  <c r="J23" i="12"/>
  <c r="K22" i="12"/>
  <c r="J19" i="12"/>
  <c r="J18" i="12"/>
  <c r="T17" i="12"/>
  <c r="K17" i="12"/>
  <c r="X15" i="12"/>
  <c r="J14" i="12"/>
  <c r="J13" i="12"/>
  <c r="T12" i="12"/>
  <c r="K12" i="12"/>
  <c r="J9" i="12"/>
  <c r="J8" i="12"/>
  <c r="T7" i="12"/>
  <c r="V250" i="12" s="1"/>
  <c r="T250" i="12" s="1"/>
  <c r="U250" i="12" s="1"/>
  <c r="K7" i="12"/>
  <c r="Y377" i="11"/>
  <c r="Y368" i="11"/>
  <c r="AR366" i="11"/>
  <c r="AN366" i="11"/>
  <c r="AM366" i="11"/>
  <c r="AB366" i="11"/>
  <c r="W366" i="11"/>
  <c r="AS364" i="11"/>
  <c r="AQ364" i="11"/>
  <c r="AO364" i="11"/>
  <c r="AK364" i="11"/>
  <c r="AH364" i="11"/>
  <c r="Z364" i="11"/>
  <c r="F364" i="11"/>
  <c r="H364" i="11" s="1"/>
  <c r="AS363" i="11"/>
  <c r="AQ363" i="11"/>
  <c r="AO363" i="11"/>
  <c r="AH363" i="11"/>
  <c r="Z363" i="11"/>
  <c r="H363" i="11"/>
  <c r="F363" i="11"/>
  <c r="AS362" i="11"/>
  <c r="AQ362" i="11"/>
  <c r="AO362" i="11"/>
  <c r="AK362" i="11"/>
  <c r="AH362" i="11"/>
  <c r="Z362" i="11"/>
  <c r="H362" i="11"/>
  <c r="F362" i="11"/>
  <c r="AS361" i="11"/>
  <c r="T361" i="11"/>
  <c r="J361" i="11"/>
  <c r="F361" i="11"/>
  <c r="AS360" i="11"/>
  <c r="AQ360" i="11"/>
  <c r="AO360" i="11"/>
  <c r="AH360" i="11"/>
  <c r="Z360" i="11"/>
  <c r="O360" i="11"/>
  <c r="H360" i="11"/>
  <c r="F360" i="11"/>
  <c r="AS359" i="11"/>
  <c r="AQ359" i="11"/>
  <c r="AO359" i="11"/>
  <c r="AH359" i="11"/>
  <c r="Z359" i="11"/>
  <c r="F359" i="11"/>
  <c r="H359" i="11" s="1"/>
  <c r="AS358" i="11"/>
  <c r="P358" i="11"/>
  <c r="F358" i="11"/>
  <c r="AS357" i="11"/>
  <c r="AQ357" i="11"/>
  <c r="AO357" i="11"/>
  <c r="AK357" i="11"/>
  <c r="AH357" i="11"/>
  <c r="Z357" i="11"/>
  <c r="F357" i="11"/>
  <c r="AS356" i="11"/>
  <c r="AQ356" i="11"/>
  <c r="AO356" i="11"/>
  <c r="AH356" i="11"/>
  <c r="Z356" i="11"/>
  <c r="H356" i="11"/>
  <c r="F356" i="11"/>
  <c r="AS355" i="11"/>
  <c r="AQ355" i="11"/>
  <c r="AO355" i="11"/>
  <c r="AK355" i="11"/>
  <c r="AH355" i="11"/>
  <c r="Z355" i="11"/>
  <c r="F355" i="11"/>
  <c r="H355" i="11" s="1"/>
  <c r="AS354" i="11"/>
  <c r="AQ354" i="11"/>
  <c r="AO354" i="11"/>
  <c r="AK354" i="11"/>
  <c r="AH354" i="11"/>
  <c r="Z354" i="11"/>
  <c r="F354" i="11"/>
  <c r="H354" i="11" s="1"/>
  <c r="AS353" i="11"/>
  <c r="AQ353" i="11"/>
  <c r="AO353" i="11"/>
  <c r="AH353" i="11"/>
  <c r="Z353" i="11"/>
  <c r="H353" i="11"/>
  <c r="F353" i="11"/>
  <c r="AS352" i="11"/>
  <c r="AQ352" i="11"/>
  <c r="AO352" i="11"/>
  <c r="AH352" i="11"/>
  <c r="Z352" i="11"/>
  <c r="F352" i="11"/>
  <c r="H352" i="11" s="1"/>
  <c r="AS351" i="11"/>
  <c r="AQ351" i="11"/>
  <c r="AO351" i="11"/>
  <c r="AH351" i="11"/>
  <c r="Z351" i="11"/>
  <c r="O351" i="11"/>
  <c r="F351" i="11"/>
  <c r="H351" i="11" s="1"/>
  <c r="AS350" i="11"/>
  <c r="AQ350" i="11"/>
  <c r="AO350" i="11"/>
  <c r="AH350" i="11"/>
  <c r="Z350" i="11"/>
  <c r="O350" i="11"/>
  <c r="F350" i="11"/>
  <c r="H350" i="11" s="1"/>
  <c r="AS349" i="11"/>
  <c r="AQ349" i="11"/>
  <c r="AO349" i="11"/>
  <c r="AH349" i="11"/>
  <c r="Z349" i="11"/>
  <c r="O349" i="11"/>
  <c r="F349" i="11"/>
  <c r="H349" i="11" s="1"/>
  <c r="AS348" i="11"/>
  <c r="AQ348" i="11"/>
  <c r="AO348" i="11"/>
  <c r="AH348" i="11"/>
  <c r="Z348" i="11"/>
  <c r="O348" i="11"/>
  <c r="F348" i="11"/>
  <c r="H348" i="11" s="1"/>
  <c r="M346" i="11"/>
  <c r="O346" i="11" s="1"/>
  <c r="L346" i="11"/>
  <c r="M345" i="11"/>
  <c r="O345" i="11" s="1"/>
  <c r="L345" i="11"/>
  <c r="M344" i="11"/>
  <c r="O344" i="11" s="1"/>
  <c r="L344" i="11"/>
  <c r="AS343" i="11"/>
  <c r="AQ343" i="11"/>
  <c r="AO343" i="11"/>
  <c r="AH343" i="11"/>
  <c r="Z343" i="11"/>
  <c r="H343" i="11"/>
  <c r="F343" i="11"/>
  <c r="AS342" i="11"/>
  <c r="T342" i="11"/>
  <c r="R342" i="11" s="1"/>
  <c r="S342" i="11" s="1"/>
  <c r="F342" i="11"/>
  <c r="H342" i="11" s="1"/>
  <c r="AS341" i="11"/>
  <c r="AQ341" i="11"/>
  <c r="AO341" i="11"/>
  <c r="AH341" i="11"/>
  <c r="Z341" i="11"/>
  <c r="F341" i="11"/>
  <c r="AS340" i="11"/>
  <c r="AQ340" i="11"/>
  <c r="AO340" i="11"/>
  <c r="AK340" i="11"/>
  <c r="AH340" i="11"/>
  <c r="Z340" i="11"/>
  <c r="F340" i="11"/>
  <c r="H340" i="11" s="1"/>
  <c r="AS339" i="11"/>
  <c r="AQ339" i="11"/>
  <c r="AO339" i="11"/>
  <c r="AK339" i="11"/>
  <c r="AH339" i="11"/>
  <c r="Z339" i="11"/>
  <c r="F339" i="11"/>
  <c r="H339" i="11" s="1"/>
  <c r="AS337" i="11"/>
  <c r="AQ337" i="11"/>
  <c r="AO337" i="11"/>
  <c r="AK337" i="11"/>
  <c r="AH337" i="11"/>
  <c r="Z337" i="11"/>
  <c r="F337" i="11"/>
  <c r="H337" i="11" s="1"/>
  <c r="AS336" i="11"/>
  <c r="AQ336" i="11"/>
  <c r="AO336" i="11"/>
  <c r="AK336" i="11"/>
  <c r="AH336" i="11"/>
  <c r="Z336" i="11"/>
  <c r="F336" i="11"/>
  <c r="H336" i="11" s="1"/>
  <c r="M335" i="11"/>
  <c r="O335" i="11" s="1"/>
  <c r="O334" i="11" s="1"/>
  <c r="L335" i="11"/>
  <c r="AS334" i="11"/>
  <c r="AQ334" i="11"/>
  <c r="AO334" i="11"/>
  <c r="AK334" i="11"/>
  <c r="AH334" i="11"/>
  <c r="Z334" i="11"/>
  <c r="F334" i="11"/>
  <c r="H334" i="11" s="1"/>
  <c r="M333" i="11"/>
  <c r="O333" i="11" s="1"/>
  <c r="O332" i="11" s="1"/>
  <c r="L333" i="11"/>
  <c r="AS332" i="11"/>
  <c r="AQ332" i="11"/>
  <c r="AO332" i="11"/>
  <c r="AK332" i="11"/>
  <c r="AH332" i="11"/>
  <c r="Z332" i="11"/>
  <c r="F332" i="11"/>
  <c r="H332" i="11" s="1"/>
  <c r="AS331" i="11"/>
  <c r="AQ331" i="11"/>
  <c r="AO331" i="11"/>
  <c r="AK331" i="11"/>
  <c r="AH331" i="11"/>
  <c r="Z331" i="11"/>
  <c r="F331" i="11"/>
  <c r="H331" i="11" s="1"/>
  <c r="M330" i="11"/>
  <c r="O330" i="11" s="1"/>
  <c r="L330" i="11"/>
  <c r="O329" i="11"/>
  <c r="M329" i="11"/>
  <c r="L329" i="11"/>
  <c r="M328" i="11"/>
  <c r="O328" i="11" s="1"/>
  <c r="L328" i="11"/>
  <c r="M327" i="11"/>
  <c r="O327" i="11" s="1"/>
  <c r="O326" i="11" s="1"/>
  <c r="L327" i="11"/>
  <c r="AS326" i="11"/>
  <c r="AQ326" i="11"/>
  <c r="AO326" i="11"/>
  <c r="AK326" i="11"/>
  <c r="AH326" i="11"/>
  <c r="Z326" i="11"/>
  <c r="H326" i="11"/>
  <c r="F326" i="11"/>
  <c r="O325" i="11"/>
  <c r="M325" i="11"/>
  <c r="L325" i="11"/>
  <c r="T324" i="11"/>
  <c r="F324" i="11"/>
  <c r="AS323" i="11"/>
  <c r="AQ323" i="11"/>
  <c r="AO323" i="11"/>
  <c r="AH323" i="11"/>
  <c r="Z323" i="11"/>
  <c r="O323" i="11"/>
  <c r="F323" i="11"/>
  <c r="H323" i="11" s="1"/>
  <c r="M322" i="11"/>
  <c r="O322" i="11" s="1"/>
  <c r="O320" i="11" s="1"/>
  <c r="L322" i="11"/>
  <c r="T321" i="11"/>
  <c r="F321" i="11"/>
  <c r="AS320" i="11"/>
  <c r="AQ320" i="11"/>
  <c r="AO320" i="11"/>
  <c r="AH320" i="11"/>
  <c r="Z320" i="11"/>
  <c r="F320" i="11"/>
  <c r="H320" i="11" s="1"/>
  <c r="O319" i="11"/>
  <c r="M319" i="11"/>
  <c r="L319" i="11"/>
  <c r="M318" i="11"/>
  <c r="O318" i="11" s="1"/>
  <c r="L318" i="11"/>
  <c r="O317" i="11"/>
  <c r="M317" i="11"/>
  <c r="L317" i="11"/>
  <c r="M316" i="11"/>
  <c r="O316" i="11" s="1"/>
  <c r="L316" i="11"/>
  <c r="M315" i="11"/>
  <c r="O315" i="11" s="1"/>
  <c r="L315" i="11"/>
  <c r="M314" i="11"/>
  <c r="O314" i="11" s="1"/>
  <c r="L314" i="11"/>
  <c r="T313" i="11"/>
  <c r="F313" i="11"/>
  <c r="AS312" i="11"/>
  <c r="AQ312" i="11"/>
  <c r="AO312" i="11"/>
  <c r="AH312" i="11"/>
  <c r="Z312" i="11"/>
  <c r="F312" i="11"/>
  <c r="H312" i="11" s="1"/>
  <c r="O311" i="11"/>
  <c r="M311" i="11"/>
  <c r="L311" i="11"/>
  <c r="M310" i="11"/>
  <c r="O310" i="11" s="1"/>
  <c r="L310" i="11"/>
  <c r="O309" i="11"/>
  <c r="M309" i="11"/>
  <c r="L309" i="11"/>
  <c r="M308" i="11"/>
  <c r="O308" i="11" s="1"/>
  <c r="L308" i="11"/>
  <c r="M307" i="11"/>
  <c r="O307" i="11" s="1"/>
  <c r="L307" i="11"/>
  <c r="M306" i="11"/>
  <c r="O306" i="11" s="1"/>
  <c r="L306" i="11"/>
  <c r="T305" i="11"/>
  <c r="F305" i="11"/>
  <c r="AS304" i="11"/>
  <c r="AQ304" i="11"/>
  <c r="AO304" i="11"/>
  <c r="AH304" i="11"/>
  <c r="Z304" i="11"/>
  <c r="F304" i="11"/>
  <c r="H304" i="11" s="1"/>
  <c r="O303" i="11"/>
  <c r="M303" i="11"/>
  <c r="L303" i="11"/>
  <c r="M302" i="11"/>
  <c r="O302" i="11" s="1"/>
  <c r="L302" i="11"/>
  <c r="M301" i="11"/>
  <c r="O301" i="11" s="1"/>
  <c r="L301" i="11"/>
  <c r="M300" i="11"/>
  <c r="O300" i="11" s="1"/>
  <c r="O299" i="11" s="1"/>
  <c r="AS299" i="11"/>
  <c r="AQ299" i="11"/>
  <c r="AO299" i="11"/>
  <c r="AK299" i="11"/>
  <c r="AH299" i="11"/>
  <c r="Z299" i="11"/>
  <c r="F299" i="11"/>
  <c r="H299" i="11" s="1"/>
  <c r="M298" i="11"/>
  <c r="O298" i="11" s="1"/>
  <c r="L298" i="11"/>
  <c r="O297" i="11"/>
  <c r="M297" i="11"/>
  <c r="L297" i="11"/>
  <c r="M296" i="11"/>
  <c r="O296" i="11" s="1"/>
  <c r="L296" i="11"/>
  <c r="AS295" i="11"/>
  <c r="AQ295" i="11"/>
  <c r="AO295" i="11"/>
  <c r="AK295" i="11"/>
  <c r="AH295" i="11"/>
  <c r="Z295" i="11"/>
  <c r="F295" i="11"/>
  <c r="H295" i="11" s="1"/>
  <c r="AS293" i="11"/>
  <c r="AQ293" i="11"/>
  <c r="AO293" i="11"/>
  <c r="AH293" i="11"/>
  <c r="Z293" i="11"/>
  <c r="F293" i="11"/>
  <c r="H293" i="11" s="1"/>
  <c r="AS292" i="11"/>
  <c r="AQ292" i="11"/>
  <c r="AO292" i="11"/>
  <c r="AH292" i="11"/>
  <c r="Z292" i="11"/>
  <c r="F292" i="11"/>
  <c r="H292" i="11" s="1"/>
  <c r="AS291" i="11"/>
  <c r="AQ291" i="11"/>
  <c r="AO291" i="11"/>
  <c r="AH291" i="11"/>
  <c r="Z291" i="11"/>
  <c r="H291" i="11"/>
  <c r="F291" i="11"/>
  <c r="AS290" i="11"/>
  <c r="AQ290" i="11"/>
  <c r="AO290" i="11"/>
  <c r="AH290" i="11"/>
  <c r="Z290" i="11"/>
  <c r="F290" i="11"/>
  <c r="H290" i="11" s="1"/>
  <c r="AS289" i="11"/>
  <c r="AQ289" i="11"/>
  <c r="AO289" i="11"/>
  <c r="AH289" i="11"/>
  <c r="Z289" i="11"/>
  <c r="H289" i="11"/>
  <c r="F289" i="11"/>
  <c r="AS288" i="11"/>
  <c r="AQ288" i="11"/>
  <c r="AO288" i="11"/>
  <c r="AH288" i="11"/>
  <c r="Z288" i="11"/>
  <c r="F288" i="11"/>
  <c r="H288" i="11" s="1"/>
  <c r="AS287" i="11"/>
  <c r="AQ287" i="11"/>
  <c r="AO287" i="11"/>
  <c r="AK287" i="11"/>
  <c r="AH287" i="11"/>
  <c r="Z287" i="11"/>
  <c r="F287" i="11"/>
  <c r="H287" i="11" s="1"/>
  <c r="AS286" i="11"/>
  <c r="AQ286" i="11"/>
  <c r="AO286" i="11"/>
  <c r="AK286" i="11"/>
  <c r="AH286" i="11"/>
  <c r="Z286" i="11"/>
  <c r="F286" i="11"/>
  <c r="H286" i="11" s="1"/>
  <c r="AS285" i="11"/>
  <c r="AQ285" i="11"/>
  <c r="AO285" i="11"/>
  <c r="AK285" i="11"/>
  <c r="AH285" i="11"/>
  <c r="Z285" i="11"/>
  <c r="F285" i="11"/>
  <c r="H285" i="11" s="1"/>
  <c r="AS284" i="11"/>
  <c r="AQ284" i="11"/>
  <c r="AO284" i="11"/>
  <c r="AK284" i="11"/>
  <c r="AH284" i="11"/>
  <c r="Z284" i="11"/>
  <c r="F284" i="11"/>
  <c r="H284" i="11" s="1"/>
  <c r="AS283" i="11"/>
  <c r="AQ283" i="11"/>
  <c r="AO283" i="11"/>
  <c r="AK283" i="11"/>
  <c r="AH283" i="11"/>
  <c r="Z283" i="11"/>
  <c r="F283" i="11"/>
  <c r="H283" i="11" s="1"/>
  <c r="AS282" i="11"/>
  <c r="AQ282" i="11"/>
  <c r="AO282" i="11"/>
  <c r="AK282" i="11"/>
  <c r="AH282" i="11"/>
  <c r="Z282" i="11"/>
  <c r="F282" i="11"/>
  <c r="H282" i="11" s="1"/>
  <c r="AS281" i="11"/>
  <c r="AQ281" i="11"/>
  <c r="AO281" i="11"/>
  <c r="AK281" i="11"/>
  <c r="AH281" i="11"/>
  <c r="Z281" i="11"/>
  <c r="F281" i="11"/>
  <c r="H281" i="11" s="1"/>
  <c r="AS280" i="11"/>
  <c r="AQ280" i="11"/>
  <c r="AO280" i="11"/>
  <c r="AK280" i="11"/>
  <c r="AH280" i="11"/>
  <c r="Z280" i="11"/>
  <c r="F280" i="11"/>
  <c r="H280" i="11" s="1"/>
  <c r="AS279" i="11"/>
  <c r="AQ279" i="11"/>
  <c r="AO279" i="11"/>
  <c r="AK279" i="11"/>
  <c r="AH279" i="11"/>
  <c r="Z279" i="11"/>
  <c r="F279" i="11"/>
  <c r="H279" i="11" s="1"/>
  <c r="AS278" i="11"/>
  <c r="AQ278" i="11"/>
  <c r="AO278" i="11"/>
  <c r="AK278" i="11"/>
  <c r="AH278" i="11"/>
  <c r="Z278" i="11"/>
  <c r="F278" i="11"/>
  <c r="H278" i="11" s="1"/>
  <c r="AS277" i="11"/>
  <c r="AQ277" i="11"/>
  <c r="AO277" i="11"/>
  <c r="AK277" i="11"/>
  <c r="AH277" i="11"/>
  <c r="Z277" i="11"/>
  <c r="F277" i="11"/>
  <c r="H277" i="11" s="1"/>
  <c r="AS276" i="11"/>
  <c r="AQ276" i="11"/>
  <c r="AO276" i="11"/>
  <c r="AK276" i="11"/>
  <c r="AH276" i="11"/>
  <c r="Z276" i="11"/>
  <c r="F276" i="11"/>
  <c r="H276" i="11" s="1"/>
  <c r="AS275" i="11"/>
  <c r="AQ275" i="11"/>
  <c r="AO275" i="11"/>
  <c r="AK275" i="11"/>
  <c r="AH275" i="11"/>
  <c r="Z275" i="11"/>
  <c r="F275" i="11"/>
  <c r="H275" i="11" s="1"/>
  <c r="AS274" i="11"/>
  <c r="AQ274" i="11"/>
  <c r="AO274" i="11"/>
  <c r="AK274" i="11"/>
  <c r="AH274" i="11"/>
  <c r="Z274" i="11"/>
  <c r="F274" i="11"/>
  <c r="H274" i="11" s="1"/>
  <c r="AS273" i="11"/>
  <c r="AQ273" i="11"/>
  <c r="AO273" i="11"/>
  <c r="AK273" i="11"/>
  <c r="AH273" i="11"/>
  <c r="Z273" i="11"/>
  <c r="F273" i="11"/>
  <c r="H273" i="11" s="1"/>
  <c r="AS272" i="11"/>
  <c r="AQ272" i="11"/>
  <c r="AO272" i="11"/>
  <c r="AK272" i="11"/>
  <c r="AH272" i="11"/>
  <c r="Z272" i="11"/>
  <c r="F272" i="11"/>
  <c r="H272" i="11" s="1"/>
  <c r="AS271" i="11"/>
  <c r="AQ271" i="11"/>
  <c r="AO271" i="11"/>
  <c r="AK271" i="11"/>
  <c r="AH271" i="11"/>
  <c r="Z271" i="11"/>
  <c r="F271" i="11"/>
  <c r="H271" i="11" s="1"/>
  <c r="AS270" i="11"/>
  <c r="AQ270" i="11"/>
  <c r="AO270" i="11"/>
  <c r="AK270" i="11"/>
  <c r="AH270" i="11"/>
  <c r="Z270" i="11"/>
  <c r="F270" i="11"/>
  <c r="H270" i="11" s="1"/>
  <c r="AS269" i="11"/>
  <c r="AQ269" i="11"/>
  <c r="AO269" i="11"/>
  <c r="AK269" i="11"/>
  <c r="AH269" i="11"/>
  <c r="Z269" i="11"/>
  <c r="F269" i="11"/>
  <c r="H269" i="11" s="1"/>
  <c r="AS268" i="11"/>
  <c r="AQ268" i="11"/>
  <c r="AO268" i="11"/>
  <c r="AK268" i="11"/>
  <c r="AH268" i="11"/>
  <c r="Z268" i="11"/>
  <c r="F268" i="11"/>
  <c r="H268" i="11" s="1"/>
  <c r="AS267" i="11"/>
  <c r="AQ267" i="11"/>
  <c r="AO267" i="11"/>
  <c r="AK267" i="11"/>
  <c r="AH267" i="11"/>
  <c r="Z267" i="11"/>
  <c r="F267" i="11"/>
  <c r="H267" i="11" s="1"/>
  <c r="AS266" i="11"/>
  <c r="AQ266" i="11"/>
  <c r="AO266" i="11"/>
  <c r="AK266" i="11"/>
  <c r="AH266" i="11"/>
  <c r="Z266" i="11"/>
  <c r="F266" i="11"/>
  <c r="H266" i="11" s="1"/>
  <c r="AS265" i="11"/>
  <c r="AQ265" i="11"/>
  <c r="AO265" i="11"/>
  <c r="AK265" i="11"/>
  <c r="AH265" i="11"/>
  <c r="Z265" i="11"/>
  <c r="F265" i="11"/>
  <c r="H265" i="11" s="1"/>
  <c r="AS264" i="11"/>
  <c r="AQ264" i="11"/>
  <c r="AO264" i="11"/>
  <c r="AK264" i="11"/>
  <c r="AH264" i="11"/>
  <c r="Z264" i="11"/>
  <c r="F264" i="11"/>
  <c r="H264" i="11" s="1"/>
  <c r="AS263" i="11"/>
  <c r="AQ263" i="11"/>
  <c r="AO263" i="11"/>
  <c r="AK263" i="11"/>
  <c r="AH263" i="11"/>
  <c r="Z263" i="11"/>
  <c r="F263" i="11"/>
  <c r="H263" i="11" s="1"/>
  <c r="AS262" i="11"/>
  <c r="AQ262" i="11"/>
  <c r="AO262" i="11"/>
  <c r="AK262" i="11"/>
  <c r="AH262" i="11"/>
  <c r="Z262" i="11"/>
  <c r="F262" i="11"/>
  <c r="H262" i="11" s="1"/>
  <c r="AS261" i="11"/>
  <c r="AQ261" i="11"/>
  <c r="AO261" i="11"/>
  <c r="AK261" i="11"/>
  <c r="AH261" i="11"/>
  <c r="Z261" i="11"/>
  <c r="F261" i="11"/>
  <c r="H261" i="11" s="1"/>
  <c r="AS260" i="11"/>
  <c r="AQ260" i="11"/>
  <c r="AO260" i="11"/>
  <c r="AK260" i="11"/>
  <c r="AH260" i="11"/>
  <c r="Z260" i="11"/>
  <c r="F260" i="11"/>
  <c r="H260" i="11" s="1"/>
  <c r="AS259" i="11"/>
  <c r="AQ259" i="11"/>
  <c r="AO259" i="11"/>
  <c r="AK259" i="11"/>
  <c r="AH259" i="11"/>
  <c r="Z259" i="11"/>
  <c r="F259" i="11"/>
  <c r="H259" i="11" s="1"/>
  <c r="AS258" i="11"/>
  <c r="AQ258" i="11"/>
  <c r="AO258" i="11"/>
  <c r="AK258" i="11"/>
  <c r="AH258" i="11"/>
  <c r="Z258" i="11"/>
  <c r="F258" i="11"/>
  <c r="H258" i="11" s="1"/>
  <c r="AS257" i="11"/>
  <c r="AQ257" i="11"/>
  <c r="AO257" i="11"/>
  <c r="AK257" i="11"/>
  <c r="AH257" i="11"/>
  <c r="Z257" i="11"/>
  <c r="F257" i="11"/>
  <c r="H257" i="11" s="1"/>
  <c r="AS256" i="11"/>
  <c r="AQ256" i="11"/>
  <c r="AO256" i="11"/>
  <c r="AK256" i="11"/>
  <c r="AH256" i="11"/>
  <c r="Z256" i="11"/>
  <c r="F256" i="11"/>
  <c r="H256" i="11" s="1"/>
  <c r="AS255" i="11"/>
  <c r="AQ255" i="11"/>
  <c r="AO255" i="11"/>
  <c r="AK255" i="11"/>
  <c r="AH255" i="11"/>
  <c r="Z255" i="11"/>
  <c r="G255" i="11"/>
  <c r="F255" i="11"/>
  <c r="AS254" i="11"/>
  <c r="AQ254" i="11"/>
  <c r="AO254" i="11"/>
  <c r="AK254" i="11"/>
  <c r="AH254" i="11"/>
  <c r="Z254" i="11"/>
  <c r="H254" i="11"/>
  <c r="F254" i="11"/>
  <c r="AS253" i="11"/>
  <c r="AQ253" i="11"/>
  <c r="AO253" i="11"/>
  <c r="AK253" i="11"/>
  <c r="AH253" i="11"/>
  <c r="Z253" i="11"/>
  <c r="H253" i="11"/>
  <c r="F253" i="11"/>
  <c r="AS252" i="11"/>
  <c r="AQ252" i="11"/>
  <c r="AO252" i="11"/>
  <c r="AK252" i="11"/>
  <c r="AH252" i="11"/>
  <c r="Z252" i="11"/>
  <c r="H252" i="11"/>
  <c r="F252" i="11"/>
  <c r="AS251" i="11"/>
  <c r="AQ251" i="11"/>
  <c r="AO251" i="11"/>
  <c r="AK251" i="11"/>
  <c r="AH251" i="11"/>
  <c r="Z251" i="11"/>
  <c r="H251" i="11"/>
  <c r="F251" i="11"/>
  <c r="AS250" i="11"/>
  <c r="AQ250" i="11"/>
  <c r="AO250" i="11"/>
  <c r="AK250" i="11"/>
  <c r="AH250" i="11"/>
  <c r="Z250" i="11"/>
  <c r="H250" i="11"/>
  <c r="F250" i="11"/>
  <c r="AS249" i="11"/>
  <c r="AQ249" i="11"/>
  <c r="AO249" i="11"/>
  <c r="AK249" i="11"/>
  <c r="AH249" i="11"/>
  <c r="Z249" i="11"/>
  <c r="F249" i="11"/>
  <c r="H249" i="11" s="1"/>
  <c r="AS248" i="11"/>
  <c r="AQ248" i="11"/>
  <c r="AO248" i="11"/>
  <c r="AK248" i="11"/>
  <c r="AH248" i="11"/>
  <c r="Z248" i="11"/>
  <c r="F248" i="11"/>
  <c r="H248" i="11" s="1"/>
  <c r="AS247" i="11"/>
  <c r="AQ247" i="11"/>
  <c r="AO247" i="11"/>
  <c r="AK247" i="11"/>
  <c r="AH247" i="11"/>
  <c r="Z247" i="11"/>
  <c r="F247" i="11"/>
  <c r="H247" i="11" s="1"/>
  <c r="AS246" i="11"/>
  <c r="AQ246" i="11"/>
  <c r="AO246" i="11"/>
  <c r="AK246" i="11"/>
  <c r="AH246" i="11"/>
  <c r="Z246" i="11"/>
  <c r="F246" i="11"/>
  <c r="H246" i="11" s="1"/>
  <c r="AS245" i="11"/>
  <c r="AQ245" i="11"/>
  <c r="AO245" i="11"/>
  <c r="AK245" i="11"/>
  <c r="AH245" i="11"/>
  <c r="Z245" i="11"/>
  <c r="F245" i="11"/>
  <c r="H245" i="11" s="1"/>
  <c r="AS244" i="11"/>
  <c r="AQ244" i="11"/>
  <c r="AO244" i="11"/>
  <c r="AK244" i="11"/>
  <c r="AH244" i="11"/>
  <c r="Z244" i="11"/>
  <c r="F244" i="11"/>
  <c r="H244" i="11" s="1"/>
  <c r="AS243" i="11"/>
  <c r="AQ243" i="11"/>
  <c r="AO243" i="11"/>
  <c r="AK243" i="11"/>
  <c r="AH243" i="11"/>
  <c r="Z243" i="11"/>
  <c r="F243" i="11"/>
  <c r="H243" i="11" s="1"/>
  <c r="M242" i="11"/>
  <c r="O242" i="11" s="1"/>
  <c r="L242" i="11"/>
  <c r="M241" i="11"/>
  <c r="O241" i="11" s="1"/>
  <c r="L241" i="11"/>
  <c r="M240" i="11"/>
  <c r="O240" i="11" s="1"/>
  <c r="L240" i="11"/>
  <c r="O239" i="11"/>
  <c r="M239" i="11"/>
  <c r="L239" i="11"/>
  <c r="M238" i="11"/>
  <c r="O238" i="11" s="1"/>
  <c r="L238" i="11"/>
  <c r="M237" i="11"/>
  <c r="O237" i="11" s="1"/>
  <c r="L237" i="11"/>
  <c r="M236" i="11"/>
  <c r="O236" i="11" s="1"/>
  <c r="L236" i="11"/>
  <c r="T235" i="11"/>
  <c r="R235" i="11" s="1"/>
  <c r="S235" i="11" s="1"/>
  <c r="F235" i="11"/>
  <c r="H235" i="11" s="1"/>
  <c r="AS234" i="11"/>
  <c r="AQ234" i="11"/>
  <c r="AO234" i="11"/>
  <c r="AH234" i="11"/>
  <c r="Z234" i="11"/>
  <c r="G234" i="11"/>
  <c r="F234" i="11"/>
  <c r="O233" i="11"/>
  <c r="M233" i="11"/>
  <c r="L233" i="11"/>
  <c r="M232" i="11"/>
  <c r="O232" i="11" s="1"/>
  <c r="L232" i="11"/>
  <c r="M231" i="11"/>
  <c r="O231" i="11" s="1"/>
  <c r="L231" i="11"/>
  <c r="M230" i="11"/>
  <c r="O230" i="11" s="1"/>
  <c r="L230" i="11"/>
  <c r="O229" i="11"/>
  <c r="M229" i="11"/>
  <c r="L229" i="11"/>
  <c r="M228" i="11"/>
  <c r="O228" i="11" s="1"/>
  <c r="L228" i="11"/>
  <c r="M227" i="11"/>
  <c r="O227" i="11" s="1"/>
  <c r="O225" i="11" s="1"/>
  <c r="L227" i="11"/>
  <c r="S226" i="11"/>
  <c r="F226" i="11"/>
  <c r="H226" i="11" s="1"/>
  <c r="AS225" i="11"/>
  <c r="AQ225" i="11"/>
  <c r="AO225" i="11"/>
  <c r="AH225" i="11"/>
  <c r="Z225" i="11"/>
  <c r="G225" i="11"/>
  <c r="F225" i="11"/>
  <c r="AS224" i="11"/>
  <c r="AQ224" i="11"/>
  <c r="AO224" i="11"/>
  <c r="AK224" i="11"/>
  <c r="AH224" i="11"/>
  <c r="Z224" i="11"/>
  <c r="F224" i="11"/>
  <c r="H224" i="11" s="1"/>
  <c r="M223" i="11"/>
  <c r="O223" i="11" s="1"/>
  <c r="L223" i="11"/>
  <c r="M222" i="11"/>
  <c r="O222" i="11" s="1"/>
  <c r="L222" i="11"/>
  <c r="M221" i="11"/>
  <c r="O221" i="11" s="1"/>
  <c r="L221" i="11"/>
  <c r="O220" i="11"/>
  <c r="M220" i="11"/>
  <c r="L220" i="11"/>
  <c r="M219" i="11"/>
  <c r="O219" i="11" s="1"/>
  <c r="L219" i="11"/>
  <c r="AS218" i="11"/>
  <c r="AQ218" i="11"/>
  <c r="AO218" i="11"/>
  <c r="AK218" i="11"/>
  <c r="AH218" i="11"/>
  <c r="Z218" i="11"/>
  <c r="F218" i="11"/>
  <c r="H218" i="11" s="1"/>
  <c r="M217" i="11"/>
  <c r="O217" i="11" s="1"/>
  <c r="L217" i="11"/>
  <c r="O216" i="11"/>
  <c r="M216" i="11"/>
  <c r="L216" i="11"/>
  <c r="M215" i="11"/>
  <c r="O215" i="11" s="1"/>
  <c r="L215" i="11"/>
  <c r="M214" i="11"/>
  <c r="O214" i="11" s="1"/>
  <c r="L214" i="11"/>
  <c r="M213" i="11"/>
  <c r="O213" i="11" s="1"/>
  <c r="L213" i="11"/>
  <c r="AS212" i="11"/>
  <c r="AQ212" i="11"/>
  <c r="AO212" i="11"/>
  <c r="AK212" i="11"/>
  <c r="AH212" i="11"/>
  <c r="Z212" i="11"/>
  <c r="F212" i="11"/>
  <c r="H212" i="11" s="1"/>
  <c r="M210" i="11"/>
  <c r="O210" i="11" s="1"/>
  <c r="L210" i="11"/>
  <c r="M209" i="11"/>
  <c r="O209" i="11" s="1"/>
  <c r="L209" i="11"/>
  <c r="M208" i="11"/>
  <c r="O208" i="11" s="1"/>
  <c r="L208" i="11"/>
  <c r="O207" i="11"/>
  <c r="M207" i="11"/>
  <c r="L207" i="11"/>
  <c r="M206" i="11"/>
  <c r="O206" i="11" s="1"/>
  <c r="M205" i="11"/>
  <c r="O205" i="11" s="1"/>
  <c r="AS204" i="11"/>
  <c r="AQ204" i="11"/>
  <c r="AO204" i="11"/>
  <c r="AK204" i="11"/>
  <c r="AH204" i="11"/>
  <c r="Z204" i="11"/>
  <c r="F204" i="11"/>
  <c r="H204" i="11" s="1"/>
  <c r="M203" i="11"/>
  <c r="O203" i="11" s="1"/>
  <c r="L203" i="11"/>
  <c r="M202" i="11"/>
  <c r="O202" i="11" s="1"/>
  <c r="L202" i="11"/>
  <c r="O201" i="11"/>
  <c r="M201" i="11"/>
  <c r="L201" i="11"/>
  <c r="M200" i="11"/>
  <c r="O200" i="11" s="1"/>
  <c r="L200" i="11"/>
  <c r="AS199" i="11"/>
  <c r="AQ199" i="11"/>
  <c r="AO199" i="11"/>
  <c r="AK199" i="11"/>
  <c r="AH199" i="11"/>
  <c r="Z199" i="11"/>
  <c r="F199" i="11"/>
  <c r="H199" i="11" s="1"/>
  <c r="M198" i="11"/>
  <c r="O198" i="11" s="1"/>
  <c r="O197" i="11" s="1"/>
  <c r="AS197" i="11"/>
  <c r="AQ197" i="11"/>
  <c r="AO197" i="11"/>
  <c r="AH197" i="11"/>
  <c r="Z197" i="11"/>
  <c r="H197" i="11"/>
  <c r="F197" i="11"/>
  <c r="AS196" i="11"/>
  <c r="AQ196" i="11"/>
  <c r="AO196" i="11"/>
  <c r="AK196" i="11"/>
  <c r="AH196" i="11"/>
  <c r="Z196" i="11"/>
  <c r="H196" i="11"/>
  <c r="F196" i="11"/>
  <c r="AS195" i="11"/>
  <c r="AQ195" i="11"/>
  <c r="AO195" i="11"/>
  <c r="AK195" i="11"/>
  <c r="AH195" i="11"/>
  <c r="Z195" i="11"/>
  <c r="H195" i="11"/>
  <c r="F195" i="11"/>
  <c r="AS194" i="11"/>
  <c r="AQ194" i="11"/>
  <c r="AO194" i="11"/>
  <c r="AK194" i="11"/>
  <c r="AH194" i="11"/>
  <c r="Z194" i="11"/>
  <c r="H194" i="11"/>
  <c r="F194" i="11"/>
  <c r="AS193" i="11"/>
  <c r="AQ193" i="11"/>
  <c r="AO193" i="11"/>
  <c r="AK193" i="11"/>
  <c r="AH193" i="11"/>
  <c r="Z193" i="11"/>
  <c r="H193" i="11"/>
  <c r="F193" i="11"/>
  <c r="AS192" i="11"/>
  <c r="AQ192" i="11"/>
  <c r="AO192" i="11"/>
  <c r="AK192" i="11"/>
  <c r="AH192" i="11"/>
  <c r="Z192" i="11"/>
  <c r="H192" i="11"/>
  <c r="F192" i="11"/>
  <c r="AS191" i="11"/>
  <c r="AQ191" i="11"/>
  <c r="AO191" i="11"/>
  <c r="AK191" i="11"/>
  <c r="AH191" i="11"/>
  <c r="Z191" i="11"/>
  <c r="H191" i="11"/>
  <c r="F191" i="11"/>
  <c r="AS190" i="11"/>
  <c r="AQ190" i="11"/>
  <c r="AO190" i="11"/>
  <c r="AK190" i="11"/>
  <c r="AH190" i="11"/>
  <c r="Z190" i="11"/>
  <c r="H190" i="11"/>
  <c r="F190" i="11"/>
  <c r="AS189" i="11"/>
  <c r="AQ189" i="11"/>
  <c r="AO189" i="11"/>
  <c r="AK189" i="11"/>
  <c r="AH189" i="11"/>
  <c r="Z189" i="11"/>
  <c r="F189" i="11"/>
  <c r="H189" i="11" s="1"/>
  <c r="O188" i="11"/>
  <c r="M188" i="11"/>
  <c r="L188" i="11"/>
  <c r="M187" i="11"/>
  <c r="O187" i="11" s="1"/>
  <c r="L187" i="11"/>
  <c r="M186" i="11"/>
  <c r="O186" i="11" s="1"/>
  <c r="O185" i="11" s="1"/>
  <c r="L186" i="11"/>
  <c r="AS185" i="11"/>
  <c r="AQ185" i="11"/>
  <c r="AO185" i="11"/>
  <c r="AK185" i="11"/>
  <c r="AH185" i="11"/>
  <c r="Z185" i="11"/>
  <c r="F185" i="11"/>
  <c r="H185" i="11" s="1"/>
  <c r="AS184" i="11"/>
  <c r="AQ184" i="11"/>
  <c r="AO184" i="11"/>
  <c r="AK184" i="11"/>
  <c r="AH184" i="11"/>
  <c r="Z184" i="11"/>
  <c r="F184" i="11"/>
  <c r="H184" i="11" s="1"/>
  <c r="AS183" i="11"/>
  <c r="AQ183" i="11"/>
  <c r="AO183" i="11"/>
  <c r="AK183" i="11"/>
  <c r="AH183" i="11"/>
  <c r="Z183" i="11"/>
  <c r="F183" i="11"/>
  <c r="H183" i="11" s="1"/>
  <c r="AS182" i="11"/>
  <c r="AQ182" i="11"/>
  <c r="AO182" i="11"/>
  <c r="AK182" i="11"/>
  <c r="AH182" i="11"/>
  <c r="Z182" i="11"/>
  <c r="F182" i="11"/>
  <c r="H182" i="11" s="1"/>
  <c r="AS181" i="11"/>
  <c r="AQ181" i="11"/>
  <c r="AO181" i="11"/>
  <c r="AK181" i="11"/>
  <c r="AH181" i="11"/>
  <c r="Z181" i="11"/>
  <c r="F181" i="11"/>
  <c r="H181" i="11" s="1"/>
  <c r="AS180" i="11"/>
  <c r="AQ180" i="11"/>
  <c r="AO180" i="11"/>
  <c r="AK180" i="11"/>
  <c r="AH180" i="11"/>
  <c r="Z180" i="11"/>
  <c r="F180" i="11"/>
  <c r="H180" i="11" s="1"/>
  <c r="AS179" i="11"/>
  <c r="AQ179" i="11"/>
  <c r="AO179" i="11"/>
  <c r="AK179" i="11"/>
  <c r="AH179" i="11"/>
  <c r="Z179" i="11"/>
  <c r="F179" i="11"/>
  <c r="H179" i="11" s="1"/>
  <c r="AS178" i="11"/>
  <c r="AQ178" i="11"/>
  <c r="AO178" i="11"/>
  <c r="AK178" i="11"/>
  <c r="AH178" i="11"/>
  <c r="Z178" i="11"/>
  <c r="F178" i="11"/>
  <c r="H178" i="11" s="1"/>
  <c r="AS177" i="11"/>
  <c r="AQ177" i="11"/>
  <c r="AO177" i="11"/>
  <c r="AK177" i="11"/>
  <c r="AH177" i="11"/>
  <c r="Z177" i="11"/>
  <c r="F177" i="11"/>
  <c r="H177" i="11" s="1"/>
  <c r="AS176" i="11"/>
  <c r="AQ176" i="11"/>
  <c r="AO176" i="11"/>
  <c r="AK176" i="11"/>
  <c r="AH176" i="11"/>
  <c r="Z176" i="11"/>
  <c r="F176" i="11"/>
  <c r="H176" i="11" s="1"/>
  <c r="AS175" i="11"/>
  <c r="AQ175" i="11"/>
  <c r="AO175" i="11"/>
  <c r="AK175" i="11"/>
  <c r="AH175" i="11"/>
  <c r="Z175" i="11"/>
  <c r="F175" i="11"/>
  <c r="H175" i="11" s="1"/>
  <c r="AS174" i="11"/>
  <c r="AQ174" i="11"/>
  <c r="AO174" i="11"/>
  <c r="AK174" i="11"/>
  <c r="AH174" i="11"/>
  <c r="Z174" i="11"/>
  <c r="F174" i="11"/>
  <c r="H174" i="11" s="1"/>
  <c r="AS173" i="11"/>
  <c r="AQ173" i="11"/>
  <c r="AO173" i="11"/>
  <c r="AK173" i="11"/>
  <c r="AH173" i="11"/>
  <c r="Z173" i="11"/>
  <c r="F173" i="11"/>
  <c r="H173" i="11" s="1"/>
  <c r="AS172" i="11"/>
  <c r="AQ172" i="11"/>
  <c r="AO172" i="11"/>
  <c r="AK172" i="11"/>
  <c r="AH172" i="11"/>
  <c r="Z172" i="11"/>
  <c r="F172" i="11"/>
  <c r="H172" i="11" s="1"/>
  <c r="AS171" i="11"/>
  <c r="AQ171" i="11"/>
  <c r="AO171" i="11"/>
  <c r="AK171" i="11"/>
  <c r="AH171" i="11"/>
  <c r="Z171" i="11"/>
  <c r="F171" i="11"/>
  <c r="H171" i="11" s="1"/>
  <c r="AS170" i="11"/>
  <c r="AQ170" i="11"/>
  <c r="AO170" i="11"/>
  <c r="AK170" i="11"/>
  <c r="AH170" i="11"/>
  <c r="Z170" i="11"/>
  <c r="F170" i="11"/>
  <c r="H170" i="11" s="1"/>
  <c r="AS169" i="11"/>
  <c r="AQ169" i="11"/>
  <c r="AO169" i="11"/>
  <c r="AK169" i="11"/>
  <c r="AH169" i="11"/>
  <c r="Z169" i="11"/>
  <c r="F169" i="11"/>
  <c r="H169" i="11" s="1"/>
  <c r="AS168" i="11"/>
  <c r="AQ168" i="11"/>
  <c r="AO168" i="11"/>
  <c r="AK168" i="11"/>
  <c r="AH168" i="11"/>
  <c r="Z168" i="11"/>
  <c r="F168" i="11"/>
  <c r="H168" i="11" s="1"/>
  <c r="AS167" i="11"/>
  <c r="AQ167" i="11"/>
  <c r="AO167" i="11"/>
  <c r="AK167" i="11"/>
  <c r="AH167" i="11"/>
  <c r="Z167" i="11"/>
  <c r="F167" i="11"/>
  <c r="H167" i="11" s="1"/>
  <c r="AS166" i="11"/>
  <c r="AQ166" i="11"/>
  <c r="AO166" i="11"/>
  <c r="AK166" i="11"/>
  <c r="AH166" i="11"/>
  <c r="Z166" i="11"/>
  <c r="F166" i="11"/>
  <c r="H166" i="11" s="1"/>
  <c r="M165" i="11"/>
  <c r="O165" i="11" s="1"/>
  <c r="L165" i="11"/>
  <c r="O164" i="11"/>
  <c r="M164" i="11"/>
  <c r="L164" i="11"/>
  <c r="M163" i="11"/>
  <c r="O163" i="11" s="1"/>
  <c r="L163" i="11"/>
  <c r="AS162" i="11"/>
  <c r="AQ162" i="11"/>
  <c r="AO162" i="11"/>
  <c r="AK162" i="11"/>
  <c r="AH162" i="11"/>
  <c r="Z162" i="11"/>
  <c r="F162" i="11"/>
  <c r="H162" i="11" s="1"/>
  <c r="M161" i="11"/>
  <c r="O161" i="11" s="1"/>
  <c r="L161" i="11"/>
  <c r="M160" i="11"/>
  <c r="O160" i="11" s="1"/>
  <c r="L160" i="11"/>
  <c r="M159" i="11"/>
  <c r="O159" i="11" s="1"/>
  <c r="L159" i="11"/>
  <c r="AS158" i="11"/>
  <c r="AQ158" i="11"/>
  <c r="AO158" i="11"/>
  <c r="AK158" i="11"/>
  <c r="AH158" i="11"/>
  <c r="Z158" i="11"/>
  <c r="F158" i="11"/>
  <c r="H158" i="11" s="1"/>
  <c r="M157" i="11"/>
  <c r="O157" i="11" s="1"/>
  <c r="L157" i="11"/>
  <c r="O156" i="11"/>
  <c r="M156" i="11"/>
  <c r="L156" i="11"/>
  <c r="M155" i="11"/>
  <c r="O155" i="11" s="1"/>
  <c r="L155" i="11"/>
  <c r="AS154" i="11"/>
  <c r="AQ154" i="11"/>
  <c r="AO154" i="11"/>
  <c r="AK154" i="11"/>
  <c r="AH154" i="11"/>
  <c r="Z154" i="11"/>
  <c r="F154" i="11"/>
  <c r="H154" i="11" s="1"/>
  <c r="M153" i="11"/>
  <c r="O153" i="11" s="1"/>
  <c r="L153" i="11"/>
  <c r="M152" i="11"/>
  <c r="O152" i="11" s="1"/>
  <c r="L152" i="11"/>
  <c r="M151" i="11"/>
  <c r="O151" i="11" s="1"/>
  <c r="L151" i="11"/>
  <c r="O150" i="11"/>
  <c r="M150" i="11"/>
  <c r="L150" i="11"/>
  <c r="M149" i="11"/>
  <c r="O149" i="11" s="1"/>
  <c r="L149" i="11"/>
  <c r="O148" i="11"/>
  <c r="M148" i="11"/>
  <c r="L148" i="11"/>
  <c r="M147" i="11"/>
  <c r="O147" i="11" s="1"/>
  <c r="L147" i="11"/>
  <c r="T146" i="11"/>
  <c r="F146" i="11"/>
  <c r="AS145" i="11"/>
  <c r="AQ145" i="11"/>
  <c r="AO145" i="11"/>
  <c r="AH145" i="11"/>
  <c r="Z145" i="11"/>
  <c r="G145" i="11"/>
  <c r="F145" i="11"/>
  <c r="N144" i="11"/>
  <c r="M144" i="11"/>
  <c r="O144" i="11" s="1"/>
  <c r="L144" i="11"/>
  <c r="N143" i="11"/>
  <c r="M143" i="11"/>
  <c r="L143" i="11"/>
  <c r="M142" i="11"/>
  <c r="O142" i="11" s="1"/>
  <c r="L142" i="11"/>
  <c r="AS141" i="11"/>
  <c r="AQ141" i="11"/>
  <c r="AO141" i="11"/>
  <c r="AK141" i="11"/>
  <c r="AH141" i="11"/>
  <c r="Z141" i="11"/>
  <c r="F141" i="11"/>
  <c r="H141" i="11" s="1"/>
  <c r="AS140" i="11"/>
  <c r="AQ140" i="11"/>
  <c r="AO140" i="11"/>
  <c r="AK140" i="11"/>
  <c r="AH140" i="11"/>
  <c r="Z140" i="11"/>
  <c r="F140" i="11"/>
  <c r="H140" i="11" s="1"/>
  <c r="N139" i="11"/>
  <c r="M139" i="11"/>
  <c r="L139" i="11"/>
  <c r="N138" i="11"/>
  <c r="M138" i="11"/>
  <c r="L138" i="11"/>
  <c r="M137" i="11"/>
  <c r="O137" i="11" s="1"/>
  <c r="L137" i="11"/>
  <c r="O136" i="11"/>
  <c r="M136" i="11"/>
  <c r="L136" i="11"/>
  <c r="M135" i="11"/>
  <c r="O135" i="11" s="1"/>
  <c r="L135" i="11"/>
  <c r="O134" i="11"/>
  <c r="M134" i="11"/>
  <c r="L134" i="11"/>
  <c r="AS133" i="11"/>
  <c r="AQ133" i="11"/>
  <c r="AO133" i="11"/>
  <c r="AH133" i="11"/>
  <c r="Z133" i="11"/>
  <c r="F133" i="11"/>
  <c r="M132" i="11"/>
  <c r="O132" i="11" s="1"/>
  <c r="O130" i="11" s="1"/>
  <c r="L132" i="11"/>
  <c r="F131" i="11"/>
  <c r="AS130" i="11"/>
  <c r="AQ130" i="11"/>
  <c r="AO130" i="11"/>
  <c r="AH130" i="11"/>
  <c r="Z130" i="11"/>
  <c r="H130" i="11"/>
  <c r="F130" i="11"/>
  <c r="AS129" i="11"/>
  <c r="AQ129" i="11"/>
  <c r="AO129" i="11"/>
  <c r="AK129" i="11"/>
  <c r="AH129" i="11"/>
  <c r="Z129" i="11"/>
  <c r="F129" i="11"/>
  <c r="H129" i="11" s="1"/>
  <c r="N127" i="11"/>
  <c r="M127" i="11"/>
  <c r="L127" i="11"/>
  <c r="N126" i="11"/>
  <c r="M126" i="11"/>
  <c r="L126" i="11"/>
  <c r="M125" i="11"/>
  <c r="O125" i="11" s="1"/>
  <c r="L125" i="11"/>
  <c r="AS124" i="11"/>
  <c r="AQ124" i="11"/>
  <c r="AO124" i="11"/>
  <c r="AK124" i="11"/>
  <c r="AH124" i="11"/>
  <c r="Z124" i="11"/>
  <c r="H124" i="11"/>
  <c r="F124" i="11"/>
  <c r="M123" i="11"/>
  <c r="O123" i="11" s="1"/>
  <c r="L123" i="11"/>
  <c r="M122" i="11"/>
  <c r="O122" i="11" s="1"/>
  <c r="L122" i="11"/>
  <c r="M121" i="11"/>
  <c r="O121" i="11" s="1"/>
  <c r="O120" i="11" s="1"/>
  <c r="L121" i="11"/>
  <c r="AS120" i="11"/>
  <c r="AQ120" i="11"/>
  <c r="AO120" i="11"/>
  <c r="AK120" i="11"/>
  <c r="AH120" i="11"/>
  <c r="Z120" i="11"/>
  <c r="H120" i="11"/>
  <c r="F120" i="11"/>
  <c r="M119" i="11"/>
  <c r="O119" i="11" s="1"/>
  <c r="O117" i="11" s="1"/>
  <c r="L119" i="11"/>
  <c r="F118" i="11"/>
  <c r="AS117" i="11"/>
  <c r="AQ117" i="11"/>
  <c r="AO117" i="11"/>
  <c r="AH117" i="11"/>
  <c r="Z117" i="11"/>
  <c r="F117" i="11"/>
  <c r="H117" i="11" s="1"/>
  <c r="N116" i="11"/>
  <c r="M116" i="11"/>
  <c r="L116" i="11"/>
  <c r="N115" i="11"/>
  <c r="M115" i="11"/>
  <c r="L115" i="11"/>
  <c r="M114" i="11"/>
  <c r="O114" i="11" s="1"/>
  <c r="L114" i="11"/>
  <c r="O113" i="11"/>
  <c r="M113" i="11"/>
  <c r="L113" i="11"/>
  <c r="M112" i="11"/>
  <c r="O112" i="11" s="1"/>
  <c r="L112" i="11"/>
  <c r="M111" i="11"/>
  <c r="O111" i="11" s="1"/>
  <c r="L111" i="11"/>
  <c r="M110" i="11"/>
  <c r="O110" i="11" s="1"/>
  <c r="L110" i="11"/>
  <c r="F109" i="11"/>
  <c r="AS108" i="11"/>
  <c r="AQ108" i="11"/>
  <c r="AO108" i="11"/>
  <c r="AH108" i="11"/>
  <c r="Z108" i="11"/>
  <c r="F108" i="11"/>
  <c r="M106" i="11"/>
  <c r="O106" i="11" s="1"/>
  <c r="L106" i="11"/>
  <c r="O105" i="11"/>
  <c r="M105" i="11"/>
  <c r="L105" i="11"/>
  <c r="M104" i="11"/>
  <c r="O104" i="11" s="1"/>
  <c r="O103" i="11" s="1"/>
  <c r="L104" i="11"/>
  <c r="AS103" i="11"/>
  <c r="AQ103" i="11"/>
  <c r="AO103" i="11"/>
  <c r="AK103" i="11"/>
  <c r="AH103" i="11"/>
  <c r="Z103" i="11"/>
  <c r="F103" i="11"/>
  <c r="H103" i="11" s="1"/>
  <c r="AS101" i="11"/>
  <c r="AQ101" i="11"/>
  <c r="AO101" i="11"/>
  <c r="AK101" i="11"/>
  <c r="AH101" i="11"/>
  <c r="Z101" i="11"/>
  <c r="F101" i="11"/>
  <c r="H101" i="11" s="1"/>
  <c r="AS99" i="11"/>
  <c r="AQ99" i="11"/>
  <c r="AO99" i="11"/>
  <c r="AK99" i="11"/>
  <c r="AH99" i="11"/>
  <c r="Z99" i="11"/>
  <c r="F99" i="11"/>
  <c r="H99" i="11" s="1"/>
  <c r="M98" i="11"/>
  <c r="O98" i="11" s="1"/>
  <c r="L98" i="11"/>
  <c r="O97" i="11"/>
  <c r="M97" i="11"/>
  <c r="L97" i="11"/>
  <c r="M96" i="11"/>
  <c r="O96" i="11" s="1"/>
  <c r="L96" i="11"/>
  <c r="O95" i="11"/>
  <c r="M95" i="11"/>
  <c r="L95" i="11"/>
  <c r="M94" i="11"/>
  <c r="O94" i="11" s="1"/>
  <c r="L94" i="11"/>
  <c r="M93" i="11"/>
  <c r="O93" i="11" s="1"/>
  <c r="L93" i="11"/>
  <c r="M92" i="11"/>
  <c r="O92" i="11" s="1"/>
  <c r="L92" i="11"/>
  <c r="O91" i="11"/>
  <c r="M91" i="11"/>
  <c r="L91" i="11"/>
  <c r="T90" i="11"/>
  <c r="F90" i="11"/>
  <c r="H90" i="11" s="1"/>
  <c r="AS89" i="11"/>
  <c r="AQ89" i="11"/>
  <c r="AO89" i="11"/>
  <c r="AH89" i="11"/>
  <c r="Z89" i="11"/>
  <c r="F89" i="11"/>
  <c r="H89" i="11" s="1"/>
  <c r="O88" i="11"/>
  <c r="M88" i="11"/>
  <c r="L88" i="11"/>
  <c r="M87" i="11"/>
  <c r="O87" i="11" s="1"/>
  <c r="L87" i="11"/>
  <c r="O86" i="11"/>
  <c r="M86" i="11"/>
  <c r="L86" i="11"/>
  <c r="M85" i="11"/>
  <c r="O85" i="11" s="1"/>
  <c r="O84" i="11" s="1"/>
  <c r="L85" i="11"/>
  <c r="AS84" i="11"/>
  <c r="AQ84" i="11"/>
  <c r="AO84" i="11"/>
  <c r="AH84" i="11"/>
  <c r="Z84" i="11"/>
  <c r="F84" i="11"/>
  <c r="H84" i="11" s="1"/>
  <c r="O83" i="11"/>
  <c r="M83" i="11"/>
  <c r="L83" i="11"/>
  <c r="M82" i="11"/>
  <c r="O82" i="11" s="1"/>
  <c r="L82" i="11"/>
  <c r="M81" i="11"/>
  <c r="O81" i="11" s="1"/>
  <c r="L81" i="11"/>
  <c r="M80" i="11"/>
  <c r="O80" i="11" s="1"/>
  <c r="L80" i="11"/>
  <c r="M79" i="11"/>
  <c r="O79" i="11" s="1"/>
  <c r="L79" i="11"/>
  <c r="M78" i="11"/>
  <c r="O78" i="11" s="1"/>
  <c r="L78" i="11"/>
  <c r="O77" i="11"/>
  <c r="M77" i="11"/>
  <c r="L77" i="11"/>
  <c r="M76" i="11"/>
  <c r="O76" i="11" s="1"/>
  <c r="L76" i="11"/>
  <c r="T75" i="11"/>
  <c r="F75" i="11"/>
  <c r="H75" i="11" s="1"/>
  <c r="AS74" i="11"/>
  <c r="AQ74" i="11"/>
  <c r="AO74" i="11"/>
  <c r="AH74" i="11"/>
  <c r="Z74" i="11"/>
  <c r="H74" i="11"/>
  <c r="F74" i="11"/>
  <c r="M73" i="11"/>
  <c r="O73" i="11" s="1"/>
  <c r="L73" i="11"/>
  <c r="M72" i="11"/>
  <c r="O72" i="11" s="1"/>
  <c r="L72" i="11"/>
  <c r="M71" i="11"/>
  <c r="O71" i="11" s="1"/>
  <c r="L71" i="11"/>
  <c r="M70" i="11"/>
  <c r="O70" i="11" s="1"/>
  <c r="L70" i="11"/>
  <c r="AS69" i="11"/>
  <c r="AQ69" i="11"/>
  <c r="AO69" i="11"/>
  <c r="AH69" i="11"/>
  <c r="Z69" i="11"/>
  <c r="H69" i="11"/>
  <c r="F69" i="11"/>
  <c r="AS68" i="11"/>
  <c r="AQ68" i="11"/>
  <c r="AO68" i="11"/>
  <c r="AK68" i="11"/>
  <c r="AH68" i="11"/>
  <c r="Z68" i="11"/>
  <c r="H68" i="11"/>
  <c r="F68" i="11"/>
  <c r="AS67" i="11"/>
  <c r="AQ67" i="11"/>
  <c r="AO67" i="11"/>
  <c r="AK67" i="11"/>
  <c r="AH67" i="11"/>
  <c r="Z67" i="11"/>
  <c r="F67" i="11"/>
  <c r="AS66" i="11"/>
  <c r="AQ66" i="11"/>
  <c r="AO66" i="11"/>
  <c r="AK66" i="11"/>
  <c r="AH66" i="11"/>
  <c r="Z66" i="11"/>
  <c r="F66" i="11"/>
  <c r="H66" i="11" s="1"/>
  <c r="AS65" i="11"/>
  <c r="AQ65" i="11"/>
  <c r="AO65" i="11"/>
  <c r="AK65" i="11"/>
  <c r="AH65" i="11"/>
  <c r="Z65" i="11"/>
  <c r="G65" i="11"/>
  <c r="G67" i="11" s="1"/>
  <c r="F65" i="11"/>
  <c r="H65" i="11" s="1"/>
  <c r="M64" i="11"/>
  <c r="O64" i="11" s="1"/>
  <c r="L64" i="11"/>
  <c r="M63" i="11"/>
  <c r="O63" i="11" s="1"/>
  <c r="O62" i="11" s="1"/>
  <c r="L63" i="11"/>
  <c r="AS62" i="11"/>
  <c r="AQ62" i="11"/>
  <c r="AO62" i="11"/>
  <c r="AH62" i="11"/>
  <c r="Z62" i="11"/>
  <c r="F62" i="11"/>
  <c r="H62" i="11" s="1"/>
  <c r="AS61" i="11"/>
  <c r="AQ61" i="11"/>
  <c r="AO61" i="11"/>
  <c r="AK61" i="11"/>
  <c r="AH61" i="11"/>
  <c r="Z61" i="11"/>
  <c r="F61" i="11"/>
  <c r="H61" i="11" s="1"/>
  <c r="AS59" i="11"/>
  <c r="AQ59" i="11"/>
  <c r="AO59" i="11"/>
  <c r="AH59" i="11"/>
  <c r="Z59" i="11"/>
  <c r="G59" i="11"/>
  <c r="F59" i="11"/>
  <c r="H59" i="11" s="1"/>
  <c r="AS58" i="11"/>
  <c r="AQ58" i="11"/>
  <c r="AO58" i="11"/>
  <c r="AH58" i="11"/>
  <c r="Z58" i="11"/>
  <c r="F58" i="11"/>
  <c r="H58" i="11" s="1"/>
  <c r="M57" i="11"/>
  <c r="O57" i="11" s="1"/>
  <c r="O56" i="11" s="1"/>
  <c r="L57" i="11"/>
  <c r="AS56" i="11"/>
  <c r="AQ56" i="11"/>
  <c r="AO56" i="11"/>
  <c r="AH56" i="11"/>
  <c r="Z56" i="11"/>
  <c r="F56" i="11"/>
  <c r="H56" i="11" s="1"/>
  <c r="N55" i="11"/>
  <c r="M55" i="11"/>
  <c r="L55" i="11"/>
  <c r="N54" i="11"/>
  <c r="M54" i="11"/>
  <c r="O54" i="11" s="1"/>
  <c r="L54" i="11"/>
  <c r="M53" i="11"/>
  <c r="O53" i="11" s="1"/>
  <c r="L53" i="11"/>
  <c r="AS52" i="11"/>
  <c r="AQ52" i="11"/>
  <c r="AO52" i="11"/>
  <c r="AK52" i="11"/>
  <c r="AH52" i="11"/>
  <c r="Z52" i="11"/>
  <c r="F52" i="11"/>
  <c r="H52" i="11" s="1"/>
  <c r="M51" i="11"/>
  <c r="O51" i="11" s="1"/>
  <c r="L51" i="11"/>
  <c r="O50" i="11"/>
  <c r="M50" i="11"/>
  <c r="L50" i="11"/>
  <c r="M49" i="11"/>
  <c r="O49" i="11" s="1"/>
  <c r="L49" i="11"/>
  <c r="M48" i="11"/>
  <c r="O48" i="11" s="1"/>
  <c r="L48" i="11"/>
  <c r="M47" i="11"/>
  <c r="O47" i="11" s="1"/>
  <c r="L47" i="11"/>
  <c r="M46" i="11"/>
  <c r="O46" i="11" s="1"/>
  <c r="L46" i="11"/>
  <c r="M45" i="11"/>
  <c r="O45" i="11" s="1"/>
  <c r="L45" i="11"/>
  <c r="T44" i="11"/>
  <c r="R44" i="11" s="1"/>
  <c r="S44" i="11" s="1"/>
  <c r="F44" i="11"/>
  <c r="AS43" i="11"/>
  <c r="AQ43" i="11"/>
  <c r="AO43" i="11"/>
  <c r="AH43" i="11"/>
  <c r="Z43" i="11"/>
  <c r="H43" i="11"/>
  <c r="F43" i="11"/>
  <c r="M42" i="11"/>
  <c r="O42" i="11" s="1"/>
  <c r="O40" i="11" s="1"/>
  <c r="L42" i="11"/>
  <c r="T41" i="11"/>
  <c r="F41" i="11"/>
  <c r="AS40" i="11"/>
  <c r="AQ40" i="11"/>
  <c r="AO40" i="11"/>
  <c r="AH40" i="11"/>
  <c r="Z40" i="11"/>
  <c r="F40" i="11"/>
  <c r="H40" i="11" s="1"/>
  <c r="M38" i="11"/>
  <c r="O38" i="11" s="1"/>
  <c r="L38" i="11"/>
  <c r="M37" i="11"/>
  <c r="O37" i="11" s="1"/>
  <c r="L37" i="11"/>
  <c r="M36" i="11"/>
  <c r="O36" i="11" s="1"/>
  <c r="L36" i="11"/>
  <c r="AS35" i="11"/>
  <c r="AQ35" i="11"/>
  <c r="AO35" i="11"/>
  <c r="AK35" i="11"/>
  <c r="AH35" i="11"/>
  <c r="Z35" i="11"/>
  <c r="F35" i="11"/>
  <c r="H35" i="11" s="1"/>
  <c r="M34" i="11"/>
  <c r="O34" i="11" s="1"/>
  <c r="L34" i="11"/>
  <c r="O33" i="11"/>
  <c r="M33" i="11"/>
  <c r="L33" i="11"/>
  <c r="M32" i="11"/>
  <c r="O32" i="11" s="1"/>
  <c r="L32" i="11"/>
  <c r="AS31" i="11"/>
  <c r="AQ31" i="11"/>
  <c r="AO31" i="11"/>
  <c r="AK31" i="11"/>
  <c r="AH31" i="11"/>
  <c r="Z31" i="11"/>
  <c r="F31" i="11"/>
  <c r="H31" i="11" s="1"/>
  <c r="AS30" i="11"/>
  <c r="AQ30" i="11"/>
  <c r="AO30" i="11"/>
  <c r="AK30" i="11"/>
  <c r="AH30" i="11"/>
  <c r="Z30" i="11"/>
  <c r="F30" i="11"/>
  <c r="H30" i="11" s="1"/>
  <c r="M29" i="11"/>
  <c r="O29" i="11" s="1"/>
  <c r="O28" i="11" s="1"/>
  <c r="L29" i="11"/>
  <c r="AS28" i="11"/>
  <c r="AQ28" i="11"/>
  <c r="AO28" i="11"/>
  <c r="AH28" i="11"/>
  <c r="Z28" i="11"/>
  <c r="F28" i="11"/>
  <c r="H28" i="11" s="1"/>
  <c r="O27" i="11"/>
  <c r="O25" i="11" s="1"/>
  <c r="M27" i="11"/>
  <c r="L27" i="11"/>
  <c r="T26" i="11"/>
  <c r="F26" i="11"/>
  <c r="AS25" i="11"/>
  <c r="AQ25" i="11"/>
  <c r="AO25" i="11"/>
  <c r="AH25" i="11"/>
  <c r="Z25" i="11"/>
  <c r="F25" i="11"/>
  <c r="M24" i="11"/>
  <c r="O24" i="11" s="1"/>
  <c r="O22" i="11" s="1"/>
  <c r="L24" i="11"/>
  <c r="T23" i="11"/>
  <c r="F23" i="11"/>
  <c r="H22" i="11" s="1"/>
  <c r="AS22" i="11"/>
  <c r="AQ22" i="11"/>
  <c r="AO22" i="11"/>
  <c r="AH22" i="11"/>
  <c r="Z22" i="11"/>
  <c r="F22" i="11"/>
  <c r="M21" i="11"/>
  <c r="O21" i="11" s="1"/>
  <c r="O20" i="11" s="1"/>
  <c r="L21" i="11"/>
  <c r="AS20" i="11"/>
  <c r="AQ20" i="11"/>
  <c r="AO20" i="11"/>
  <c r="AK20" i="11"/>
  <c r="AH20" i="11"/>
  <c r="Z20" i="11"/>
  <c r="G20" i="11"/>
  <c r="G133" i="11" s="1"/>
  <c r="F20" i="11"/>
  <c r="M19" i="11"/>
  <c r="O19" i="11" s="1"/>
  <c r="L19" i="11"/>
  <c r="O18" i="11"/>
  <c r="M18" i="11"/>
  <c r="L18" i="11"/>
  <c r="M17" i="11"/>
  <c r="O17" i="11" s="1"/>
  <c r="L17" i="11"/>
  <c r="O16" i="11"/>
  <c r="M16" i="11"/>
  <c r="L16" i="11"/>
  <c r="M15" i="11"/>
  <c r="O15" i="11" s="1"/>
  <c r="L15" i="11"/>
  <c r="M14" i="11"/>
  <c r="O14" i="11" s="1"/>
  <c r="L14" i="11"/>
  <c r="M13" i="11"/>
  <c r="O13" i="11" s="1"/>
  <c r="L13" i="11"/>
  <c r="F12" i="11"/>
  <c r="AS11" i="11"/>
  <c r="AQ11" i="11"/>
  <c r="AO11" i="11"/>
  <c r="AH11" i="11"/>
  <c r="Z11" i="11"/>
  <c r="F11" i="11"/>
  <c r="H11" i="11" s="1"/>
  <c r="AS9" i="11"/>
  <c r="AQ9" i="11"/>
  <c r="AO9" i="11"/>
  <c r="AH9" i="11"/>
  <c r="Z9" i="11"/>
  <c r="F9" i="11"/>
  <c r="H9" i="11" s="1"/>
  <c r="AS8" i="11"/>
  <c r="AQ8" i="11"/>
  <c r="AO8" i="11"/>
  <c r="AO366" i="11" s="1"/>
  <c r="AH8" i="11"/>
  <c r="Z8" i="11"/>
  <c r="Z366" i="11" s="1"/>
  <c r="F8" i="11"/>
  <c r="H8" i="11" s="1"/>
  <c r="Q5" i="11"/>
  <c r="I5" i="11"/>
  <c r="E28" i="10"/>
  <c r="B28" i="10"/>
  <c r="B27" i="10"/>
  <c r="C22" i="10"/>
  <c r="B22" i="10"/>
  <c r="B19" i="10"/>
  <c r="B18" i="10"/>
  <c r="E17" i="10"/>
  <c r="E16" i="10"/>
  <c r="B16" i="10"/>
  <c r="E15" i="10"/>
  <c r="I12" i="10"/>
  <c r="F12" i="10"/>
  <c r="D12" i="10"/>
  <c r="D28" i="10" s="1"/>
  <c r="E31" i="10" l="1"/>
  <c r="H25" i="11"/>
  <c r="B31" i="10"/>
  <c r="O43" i="11"/>
  <c r="O69" i="11"/>
  <c r="O116" i="11"/>
  <c r="O127" i="11"/>
  <c r="O143" i="11"/>
  <c r="H225" i="11"/>
  <c r="H234" i="11"/>
  <c r="O343" i="11"/>
  <c r="H357" i="11"/>
  <c r="K9" i="12"/>
  <c r="L9" i="12" s="1"/>
  <c r="R9" i="12" s="1"/>
  <c r="H20" i="11"/>
  <c r="O55" i="11"/>
  <c r="O52" i="11" s="1"/>
  <c r="H108" i="11"/>
  <c r="O108" i="11"/>
  <c r="O115" i="11"/>
  <c r="O126" i="11"/>
  <c r="O124" i="11" s="1"/>
  <c r="O139" i="11"/>
  <c r="H145" i="11"/>
  <c r="H255" i="11"/>
  <c r="H341" i="11"/>
  <c r="O138" i="11"/>
  <c r="O133" i="11" s="1"/>
  <c r="O199" i="11"/>
  <c r="O218" i="11"/>
  <c r="O295" i="11"/>
  <c r="O74" i="11"/>
  <c r="O89" i="11"/>
  <c r="O145" i="11"/>
  <c r="J24" i="13"/>
  <c r="H24" i="13" s="1"/>
  <c r="I24" i="13" s="1"/>
  <c r="J9" i="13"/>
  <c r="H9" i="13" s="1"/>
  <c r="I9" i="13" s="1"/>
  <c r="J18" i="13"/>
  <c r="H18" i="13" s="1"/>
  <c r="I18" i="13" s="1"/>
  <c r="J8" i="13"/>
  <c r="H8" i="13" s="1"/>
  <c r="I8" i="13" s="1"/>
  <c r="J19" i="13"/>
  <c r="H19" i="13" s="1"/>
  <c r="I19" i="13" s="1"/>
  <c r="J13" i="13"/>
  <c r="H13" i="13" s="1"/>
  <c r="I13" i="13" s="1"/>
  <c r="J14" i="13"/>
  <c r="H14" i="13" s="1"/>
  <c r="I14" i="13" s="1"/>
  <c r="I68" i="11"/>
  <c r="I69" i="11"/>
  <c r="J69" i="11" s="1"/>
  <c r="P69" i="11" s="1"/>
  <c r="K8" i="12"/>
  <c r="K13" i="12"/>
  <c r="K23" i="12"/>
  <c r="I74" i="11"/>
  <c r="K14" i="12"/>
  <c r="L14" i="12" s="1"/>
  <c r="R14" i="12" s="1"/>
  <c r="K24" i="12"/>
  <c r="L8" i="12"/>
  <c r="R8" i="12" s="1"/>
  <c r="L13" i="12"/>
  <c r="R13" i="12" s="1"/>
  <c r="K18" i="12"/>
  <c r="L18" i="12" s="1"/>
  <c r="R18" i="12" s="1"/>
  <c r="K19" i="12"/>
  <c r="L19" i="12" s="1"/>
  <c r="R19" i="12" s="1"/>
  <c r="L23" i="12"/>
  <c r="R23" i="12" s="1"/>
  <c r="L24" i="12"/>
  <c r="R24" i="12" s="1"/>
  <c r="K40" i="12"/>
  <c r="L40" i="12" s="1"/>
  <c r="R40" i="12" s="1"/>
  <c r="V139" i="12"/>
  <c r="S280" i="12"/>
  <c r="V280" i="12" s="1"/>
  <c r="T280" i="12" s="1"/>
  <c r="U280" i="12" s="1"/>
  <c r="I8" i="11"/>
  <c r="J8" i="11" s="1"/>
  <c r="P8" i="11" s="1"/>
  <c r="I30" i="11"/>
  <c r="J30" i="11" s="1"/>
  <c r="P30" i="11" s="1"/>
  <c r="I52" i="11"/>
  <c r="J52" i="11" s="1"/>
  <c r="I59" i="11"/>
  <c r="J59" i="11" s="1"/>
  <c r="P59" i="11" s="1"/>
  <c r="I62" i="11"/>
  <c r="J62" i="11" s="1"/>
  <c r="P62" i="11" s="1"/>
  <c r="I65" i="11"/>
  <c r="J65" i="11" s="1"/>
  <c r="P65" i="11" s="1"/>
  <c r="I66" i="11"/>
  <c r="J66" i="11" s="1"/>
  <c r="P66" i="11" s="1"/>
  <c r="I11" i="11"/>
  <c r="J11" i="11" s="1"/>
  <c r="I20" i="11"/>
  <c r="J20" i="11" s="1"/>
  <c r="P20" i="11" s="1"/>
  <c r="I25" i="11"/>
  <c r="J25" i="11" s="1"/>
  <c r="P25" i="11" s="1"/>
  <c r="I31" i="11"/>
  <c r="J31" i="11" s="1"/>
  <c r="I35" i="11"/>
  <c r="J35" i="11" s="1"/>
  <c r="I40" i="11"/>
  <c r="J40" i="11" s="1"/>
  <c r="P40" i="11" s="1"/>
  <c r="I56" i="11"/>
  <c r="J56" i="11" s="1"/>
  <c r="P56" i="11" s="1"/>
  <c r="I61" i="11"/>
  <c r="J61" i="11" s="1"/>
  <c r="P61" i="11" s="1"/>
  <c r="O11" i="11"/>
  <c r="O31" i="11"/>
  <c r="O35" i="11"/>
  <c r="H67" i="11"/>
  <c r="I118" i="11"/>
  <c r="J118" i="11" s="1"/>
  <c r="P118" i="11" s="1"/>
  <c r="I109" i="11"/>
  <c r="J109" i="11" s="1"/>
  <c r="I260" i="11"/>
  <c r="J260" i="11" s="1"/>
  <c r="P260" i="11" s="1"/>
  <c r="I259" i="11"/>
  <c r="I258" i="11"/>
  <c r="I257" i="11"/>
  <c r="I256" i="11"/>
  <c r="J256" i="11" s="1"/>
  <c r="P256" i="11" s="1"/>
  <c r="Q109" i="11"/>
  <c r="T109" i="11" s="1"/>
  <c r="R109" i="11" s="1"/>
  <c r="S109" i="11" s="1"/>
  <c r="Q226" i="11"/>
  <c r="T226" i="11" s="1"/>
  <c r="Q131" i="11"/>
  <c r="T131" i="11" s="1"/>
  <c r="R131" i="11" s="1"/>
  <c r="S131" i="11" s="1"/>
  <c r="I101" i="11"/>
  <c r="J101" i="11" s="1"/>
  <c r="P101" i="11" s="1"/>
  <c r="I117" i="11"/>
  <c r="J117" i="11" s="1"/>
  <c r="P117" i="11" s="1"/>
  <c r="I141" i="11"/>
  <c r="J141" i="11" s="1"/>
  <c r="I167" i="11"/>
  <c r="J167" i="11" s="1"/>
  <c r="P167" i="11" s="1"/>
  <c r="I169" i="11"/>
  <c r="J169" i="11" s="1"/>
  <c r="P169" i="11" s="1"/>
  <c r="I171" i="11"/>
  <c r="J171" i="11" s="1"/>
  <c r="P171" i="11" s="1"/>
  <c r="I173" i="11"/>
  <c r="J173" i="11" s="1"/>
  <c r="P173" i="11" s="1"/>
  <c r="I175" i="11"/>
  <c r="J175" i="11" s="1"/>
  <c r="P175" i="11" s="1"/>
  <c r="I177" i="11"/>
  <c r="J177" i="11" s="1"/>
  <c r="P177" i="11" s="1"/>
  <c r="I179" i="11"/>
  <c r="J179" i="11" s="1"/>
  <c r="P179" i="11" s="1"/>
  <c r="I181" i="11"/>
  <c r="J181" i="11" s="1"/>
  <c r="P181" i="11" s="1"/>
  <c r="I183" i="11"/>
  <c r="J183" i="11" s="1"/>
  <c r="P183" i="11" s="1"/>
  <c r="I199" i="11"/>
  <c r="J199" i="11" s="1"/>
  <c r="P199" i="11" s="1"/>
  <c r="I218" i="11"/>
  <c r="J218" i="11" s="1"/>
  <c r="P218" i="11" s="1"/>
  <c r="I225" i="11"/>
  <c r="J225" i="11" s="1"/>
  <c r="P225" i="11" s="1"/>
  <c r="I234" i="11"/>
  <c r="J234" i="11" s="1"/>
  <c r="I244" i="11"/>
  <c r="J244" i="11" s="1"/>
  <c r="P244" i="11" s="1"/>
  <c r="I246" i="11"/>
  <c r="J246" i="11" s="1"/>
  <c r="P246" i="11" s="1"/>
  <c r="I248" i="11"/>
  <c r="J248" i="11" s="1"/>
  <c r="P248" i="11" s="1"/>
  <c r="AQ366" i="11"/>
  <c r="I9" i="11"/>
  <c r="J9" i="11" s="1"/>
  <c r="P9" i="11" s="1"/>
  <c r="Q12" i="11"/>
  <c r="T12" i="11" s="1"/>
  <c r="R12" i="11" s="1"/>
  <c r="S12" i="11" s="1"/>
  <c r="I22" i="11"/>
  <c r="J22" i="11" s="1"/>
  <c r="P22" i="11" s="1"/>
  <c r="I28" i="11"/>
  <c r="J28" i="11" s="1"/>
  <c r="P28" i="11" s="1"/>
  <c r="I43" i="11"/>
  <c r="J43" i="11" s="1"/>
  <c r="P43" i="11" s="1"/>
  <c r="I58" i="11"/>
  <c r="J58" i="11" s="1"/>
  <c r="P58" i="11" s="1"/>
  <c r="J68" i="11"/>
  <c r="P68" i="11" s="1"/>
  <c r="J74" i="11"/>
  <c r="P74" i="11" s="1"/>
  <c r="I84" i="11"/>
  <c r="I89" i="11"/>
  <c r="J89" i="11" s="1"/>
  <c r="P89" i="11" s="1"/>
  <c r="I90" i="11"/>
  <c r="J90" i="11" s="1"/>
  <c r="I120" i="11"/>
  <c r="I124" i="11"/>
  <c r="J124" i="11" s="1"/>
  <c r="P124" i="11" s="1"/>
  <c r="O141" i="11"/>
  <c r="I249" i="11"/>
  <c r="I250" i="11"/>
  <c r="I99" i="11"/>
  <c r="J99" i="11" s="1"/>
  <c r="P99" i="11" s="1"/>
  <c r="I103" i="11"/>
  <c r="J103" i="11" s="1"/>
  <c r="P103" i="11" s="1"/>
  <c r="I108" i="11"/>
  <c r="J108" i="11" s="1"/>
  <c r="P108" i="11" s="1"/>
  <c r="I140" i="11"/>
  <c r="J140" i="11" s="1"/>
  <c r="P140" i="11" s="1"/>
  <c r="I145" i="11"/>
  <c r="J145" i="11" s="1"/>
  <c r="P145" i="11" s="1"/>
  <c r="I154" i="11"/>
  <c r="J154" i="11" s="1"/>
  <c r="P154" i="11" s="1"/>
  <c r="I158" i="11"/>
  <c r="J158" i="11" s="1"/>
  <c r="I162" i="11"/>
  <c r="J162" i="11" s="1"/>
  <c r="P162" i="11" s="1"/>
  <c r="I166" i="11"/>
  <c r="J166" i="11" s="1"/>
  <c r="P166" i="11" s="1"/>
  <c r="I168" i="11"/>
  <c r="J168" i="11" s="1"/>
  <c r="P168" i="11" s="1"/>
  <c r="I170" i="11"/>
  <c r="J170" i="11" s="1"/>
  <c r="P170" i="11" s="1"/>
  <c r="I172" i="11"/>
  <c r="J172" i="11" s="1"/>
  <c r="P172" i="11" s="1"/>
  <c r="I174" i="11"/>
  <c r="J174" i="11" s="1"/>
  <c r="P174" i="11" s="1"/>
  <c r="I176" i="11"/>
  <c r="J176" i="11" s="1"/>
  <c r="P176" i="11" s="1"/>
  <c r="I178" i="11"/>
  <c r="J178" i="11" s="1"/>
  <c r="P178" i="11" s="1"/>
  <c r="I180" i="11"/>
  <c r="J180" i="11" s="1"/>
  <c r="P180" i="11" s="1"/>
  <c r="I182" i="11"/>
  <c r="J182" i="11" s="1"/>
  <c r="P182" i="11" s="1"/>
  <c r="I184" i="11"/>
  <c r="J184" i="11" s="1"/>
  <c r="P184" i="11" s="1"/>
  <c r="I212" i="11"/>
  <c r="J212" i="11"/>
  <c r="I224" i="11"/>
  <c r="J224" i="11"/>
  <c r="P224" i="11" s="1"/>
  <c r="I235" i="11"/>
  <c r="J235" i="11"/>
  <c r="I243" i="11"/>
  <c r="J243" i="11" s="1"/>
  <c r="P243" i="11" s="1"/>
  <c r="I245" i="11"/>
  <c r="J245" i="11" s="1"/>
  <c r="P245" i="11" s="1"/>
  <c r="I247" i="11"/>
  <c r="J247" i="11" s="1"/>
  <c r="P247" i="11" s="1"/>
  <c r="I75" i="11"/>
  <c r="J75" i="11" s="1"/>
  <c r="J84" i="11"/>
  <c r="P84" i="11" s="1"/>
  <c r="I129" i="11"/>
  <c r="J129" i="11" s="1"/>
  <c r="P129" i="11" s="1"/>
  <c r="I130" i="11"/>
  <c r="J130" i="11" s="1"/>
  <c r="P130" i="11" s="1"/>
  <c r="H133" i="11"/>
  <c r="O154" i="11"/>
  <c r="O158" i="11"/>
  <c r="O162" i="11"/>
  <c r="O204" i="11"/>
  <c r="O212" i="11"/>
  <c r="O234" i="11"/>
  <c r="I269" i="11"/>
  <c r="J269" i="11" s="1"/>
  <c r="P269" i="11" s="1"/>
  <c r="I271" i="11"/>
  <c r="J271" i="11" s="1"/>
  <c r="P271" i="11" s="1"/>
  <c r="I273" i="11"/>
  <c r="J273" i="11" s="1"/>
  <c r="P273" i="11" s="1"/>
  <c r="I275" i="11"/>
  <c r="J275" i="11" s="1"/>
  <c r="P275" i="11" s="1"/>
  <c r="I277" i="11"/>
  <c r="J277" i="11" s="1"/>
  <c r="P277" i="11" s="1"/>
  <c r="I279" i="11"/>
  <c r="J279" i="11" s="1"/>
  <c r="P279" i="11" s="1"/>
  <c r="I281" i="11"/>
  <c r="J281" i="11" s="1"/>
  <c r="P281" i="11" s="1"/>
  <c r="I283" i="11"/>
  <c r="J283" i="11" s="1"/>
  <c r="P283" i="11" s="1"/>
  <c r="I285" i="11"/>
  <c r="J285" i="11" s="1"/>
  <c r="P285" i="11" s="1"/>
  <c r="I287" i="11"/>
  <c r="J287" i="11" s="1"/>
  <c r="P287" i="11" s="1"/>
  <c r="I290" i="11"/>
  <c r="J290" i="11" s="1"/>
  <c r="P290" i="11" s="1"/>
  <c r="J120" i="11"/>
  <c r="P120" i="11" s="1"/>
  <c r="I185" i="11"/>
  <c r="J185" i="11" s="1"/>
  <c r="P185" i="11" s="1"/>
  <c r="I189" i="11"/>
  <c r="J189" i="11" s="1"/>
  <c r="P189" i="11" s="1"/>
  <c r="I190" i="11"/>
  <c r="J190" i="11" s="1"/>
  <c r="P190" i="11" s="1"/>
  <c r="I191" i="11"/>
  <c r="J191" i="11" s="1"/>
  <c r="P191" i="11" s="1"/>
  <c r="I192" i="11"/>
  <c r="J192" i="11" s="1"/>
  <c r="P192" i="11" s="1"/>
  <c r="I193" i="11"/>
  <c r="J193" i="11" s="1"/>
  <c r="P193" i="11" s="1"/>
  <c r="I194" i="11"/>
  <c r="J194" i="11" s="1"/>
  <c r="P194" i="11" s="1"/>
  <c r="I195" i="11"/>
  <c r="J195" i="11" s="1"/>
  <c r="P195" i="11" s="1"/>
  <c r="I196" i="11"/>
  <c r="J196" i="11" s="1"/>
  <c r="P196" i="11" s="1"/>
  <c r="I197" i="11"/>
  <c r="J197" i="11" s="1"/>
  <c r="P197" i="11" s="1"/>
  <c r="I204" i="11"/>
  <c r="J204" i="11" s="1"/>
  <c r="I226" i="11"/>
  <c r="J226" i="11" s="1"/>
  <c r="J249" i="11"/>
  <c r="P249" i="11" s="1"/>
  <c r="J250" i="11"/>
  <c r="P250" i="11" s="1"/>
  <c r="I252" i="11"/>
  <c r="J252" i="11" s="1"/>
  <c r="P252" i="11" s="1"/>
  <c r="I254" i="11"/>
  <c r="I255" i="11"/>
  <c r="J255" i="11" s="1"/>
  <c r="P255" i="11" s="1"/>
  <c r="I261" i="11"/>
  <c r="J261" i="11" s="1"/>
  <c r="P261" i="11" s="1"/>
  <c r="I289" i="11"/>
  <c r="I270" i="11"/>
  <c r="J270" i="11" s="1"/>
  <c r="P270" i="11" s="1"/>
  <c r="I272" i="11"/>
  <c r="J272" i="11" s="1"/>
  <c r="P272" i="11" s="1"/>
  <c r="I274" i="11"/>
  <c r="J274" i="11" s="1"/>
  <c r="P274" i="11" s="1"/>
  <c r="I276" i="11"/>
  <c r="J276" i="11" s="1"/>
  <c r="P276" i="11" s="1"/>
  <c r="J278" i="11"/>
  <c r="P278" i="11" s="1"/>
  <c r="I278" i="11"/>
  <c r="I280" i="11"/>
  <c r="J280" i="11" s="1"/>
  <c r="P280" i="11" s="1"/>
  <c r="I282" i="11"/>
  <c r="J282" i="11" s="1"/>
  <c r="P282" i="11" s="1"/>
  <c r="I284" i="11"/>
  <c r="J284" i="11" s="1"/>
  <c r="P284" i="11" s="1"/>
  <c r="I286" i="11"/>
  <c r="J286" i="11" s="1"/>
  <c r="P286" i="11" s="1"/>
  <c r="I288" i="11"/>
  <c r="J288" i="11" s="1"/>
  <c r="P288" i="11" s="1"/>
  <c r="I251" i="11"/>
  <c r="J251" i="11" s="1"/>
  <c r="P251" i="11" s="1"/>
  <c r="I253" i="11"/>
  <c r="J253" i="11" s="1"/>
  <c r="P253" i="11" s="1"/>
  <c r="J254" i="11"/>
  <c r="P254" i="11" s="1"/>
  <c r="J257" i="11"/>
  <c r="P257" i="11" s="1"/>
  <c r="J258" i="11"/>
  <c r="P258" i="11" s="1"/>
  <c r="J259" i="11"/>
  <c r="P259" i="11" s="1"/>
  <c r="I262" i="11"/>
  <c r="J262" i="11" s="1"/>
  <c r="P262" i="11" s="1"/>
  <c r="I263" i="11"/>
  <c r="J263" i="11" s="1"/>
  <c r="P263" i="11" s="1"/>
  <c r="I264" i="11"/>
  <c r="J264" i="11" s="1"/>
  <c r="P264" i="11" s="1"/>
  <c r="I265" i="11"/>
  <c r="J265" i="11" s="1"/>
  <c r="P265" i="11" s="1"/>
  <c r="I266" i="11"/>
  <c r="J266" i="11" s="1"/>
  <c r="P266" i="11" s="1"/>
  <c r="I267" i="11"/>
  <c r="J267" i="11" s="1"/>
  <c r="P267" i="11" s="1"/>
  <c r="I268" i="11"/>
  <c r="J268" i="11" s="1"/>
  <c r="P268" i="11" s="1"/>
  <c r="I295" i="11"/>
  <c r="J295" i="11"/>
  <c r="P295" i="11" s="1"/>
  <c r="I299" i="11"/>
  <c r="J299" i="11" s="1"/>
  <c r="P299" i="11" s="1"/>
  <c r="I323" i="11"/>
  <c r="J323" i="11" s="1"/>
  <c r="P323" i="11" s="1"/>
  <c r="I331" i="11"/>
  <c r="J331" i="11" s="1"/>
  <c r="P331" i="11" s="1"/>
  <c r="I334" i="11"/>
  <c r="J334" i="11" s="1"/>
  <c r="P334" i="11" s="1"/>
  <c r="I337" i="11"/>
  <c r="J337" i="11" s="1"/>
  <c r="P337" i="11" s="1"/>
  <c r="I340" i="11"/>
  <c r="J340" i="11" s="1"/>
  <c r="P340" i="11" s="1"/>
  <c r="I348" i="11"/>
  <c r="J348" i="11" s="1"/>
  <c r="P348" i="11" s="1"/>
  <c r="I350" i="11"/>
  <c r="J350" i="11" s="1"/>
  <c r="P350" i="11" s="1"/>
  <c r="I352" i="11"/>
  <c r="J352" i="11" s="1"/>
  <c r="P352" i="11" s="1"/>
  <c r="I355" i="11"/>
  <c r="J355" i="11" s="1"/>
  <c r="P355" i="11" s="1"/>
  <c r="I357" i="11"/>
  <c r="J357" i="11" s="1"/>
  <c r="P357" i="11" s="1"/>
  <c r="I359" i="11"/>
  <c r="J359" i="11"/>
  <c r="P359" i="11" s="1"/>
  <c r="J289" i="11"/>
  <c r="P289" i="11" s="1"/>
  <c r="I291" i="11"/>
  <c r="J291" i="11" s="1"/>
  <c r="P291" i="11" s="1"/>
  <c r="I356" i="11"/>
  <c r="I292" i="11"/>
  <c r="J292" i="11" s="1"/>
  <c r="P292" i="11" s="1"/>
  <c r="I332" i="11"/>
  <c r="J332" i="11" s="1"/>
  <c r="P332" i="11" s="1"/>
  <c r="I336" i="11"/>
  <c r="J336" i="11" s="1"/>
  <c r="P336" i="11" s="1"/>
  <c r="I339" i="11"/>
  <c r="J339" i="11" s="1"/>
  <c r="P339" i="11" s="1"/>
  <c r="I341" i="11"/>
  <c r="J341" i="11" s="1"/>
  <c r="P341" i="11" s="1"/>
  <c r="I342" i="11"/>
  <c r="J342" i="11" s="1"/>
  <c r="I349" i="11"/>
  <c r="J349" i="11"/>
  <c r="P349" i="11" s="1"/>
  <c r="I351" i="11"/>
  <c r="J351" i="11" s="1"/>
  <c r="P351" i="11" s="1"/>
  <c r="I354" i="11"/>
  <c r="J354" i="11"/>
  <c r="P354" i="11" s="1"/>
  <c r="I364" i="11"/>
  <c r="J364" i="11" s="1"/>
  <c r="P364" i="11" s="1"/>
  <c r="O304" i="11"/>
  <c r="O312" i="11"/>
  <c r="I293" i="11"/>
  <c r="J293" i="11" s="1"/>
  <c r="P293" i="11" s="1"/>
  <c r="I304" i="11"/>
  <c r="J304" i="11" s="1"/>
  <c r="I312" i="11"/>
  <c r="J312" i="11" s="1"/>
  <c r="I320" i="11"/>
  <c r="J320" i="11" s="1"/>
  <c r="P320" i="11" s="1"/>
  <c r="I326" i="11"/>
  <c r="J326" i="11" s="1"/>
  <c r="P326" i="11" s="1"/>
  <c r="I343" i="11"/>
  <c r="J343" i="11" s="1"/>
  <c r="P343" i="11" s="1"/>
  <c r="I353" i="11"/>
  <c r="J353" i="11" s="1"/>
  <c r="P353" i="11" s="1"/>
  <c r="J356" i="11"/>
  <c r="P356" i="11" s="1"/>
  <c r="Q358" i="11"/>
  <c r="T358" i="11" s="1"/>
  <c r="R358" i="11" s="1"/>
  <c r="S358" i="11" s="1"/>
  <c r="I360" i="11"/>
  <c r="J360" i="11" s="1"/>
  <c r="P360" i="11" s="1"/>
  <c r="I362" i="11"/>
  <c r="J362" i="11" s="1"/>
  <c r="P362" i="11" s="1"/>
  <c r="I363" i="11"/>
  <c r="J363" i="11" s="1"/>
  <c r="P363" i="11" s="1"/>
  <c r="F28" i="10"/>
  <c r="G28" i="10" s="1"/>
  <c r="H28" i="10" s="1"/>
  <c r="I28" i="10" s="1"/>
  <c r="D18" i="10"/>
  <c r="D19" i="10"/>
  <c r="D21" i="10"/>
  <c r="D23" i="10"/>
  <c r="D25" i="10"/>
  <c r="C31" i="10"/>
  <c r="D15" i="10"/>
  <c r="D14" i="10"/>
  <c r="D16" i="10"/>
  <c r="D17" i="10"/>
  <c r="D20" i="10"/>
  <c r="D22" i="10"/>
  <c r="D24" i="10"/>
  <c r="D26" i="10"/>
  <c r="D27" i="10"/>
  <c r="P312" i="11" l="1"/>
  <c r="P304" i="11"/>
  <c r="P35" i="11"/>
  <c r="P11" i="11"/>
  <c r="P204" i="11"/>
  <c r="P158" i="11"/>
  <c r="P31" i="11"/>
  <c r="P52" i="11"/>
  <c r="S18" i="12"/>
  <c r="V18" i="12" s="1"/>
  <c r="T18" i="12" s="1"/>
  <c r="U18" i="12" s="1"/>
  <c r="S19" i="12"/>
  <c r="V19" i="12"/>
  <c r="T19" i="12" s="1"/>
  <c r="U19" i="12" s="1"/>
  <c r="S24" i="12"/>
  <c r="V24" i="12" s="1"/>
  <c r="T24" i="12" s="1"/>
  <c r="U24" i="12" s="1"/>
  <c r="S14" i="12"/>
  <c r="V14" i="12" s="1"/>
  <c r="T14" i="12" s="1"/>
  <c r="U14" i="12" s="1"/>
  <c r="S9" i="12"/>
  <c r="V9" i="12" s="1"/>
  <c r="T9" i="12" s="1"/>
  <c r="U9" i="12" s="1"/>
  <c r="S40" i="12"/>
  <c r="V40" i="12" s="1"/>
  <c r="T40" i="12" s="1"/>
  <c r="U40" i="12" s="1"/>
  <c r="S23" i="12"/>
  <c r="V23" i="12" s="1"/>
  <c r="J23" i="13" s="1"/>
  <c r="S13" i="12"/>
  <c r="V13" i="12" s="1"/>
  <c r="T13" i="12" s="1"/>
  <c r="U13" i="12" s="1"/>
  <c r="S8" i="12"/>
  <c r="V8" i="12" s="1"/>
  <c r="T8" i="12" s="1"/>
  <c r="U8" i="12" s="1"/>
  <c r="Q362" i="11"/>
  <c r="T362" i="11" s="1"/>
  <c r="Q353" i="11"/>
  <c r="T353" i="11" s="1"/>
  <c r="Q312" i="11"/>
  <c r="T312" i="11" s="1"/>
  <c r="Q268" i="11"/>
  <c r="T268" i="11" s="1"/>
  <c r="Q266" i="11"/>
  <c r="T266" i="11" s="1"/>
  <c r="Q264" i="11"/>
  <c r="T264" i="11" s="1"/>
  <c r="Q261" i="11"/>
  <c r="T261" i="11" s="1"/>
  <c r="Q252" i="11"/>
  <c r="T252" i="11" s="1"/>
  <c r="Q204" i="11"/>
  <c r="T204" i="11" s="1"/>
  <c r="Q196" i="11"/>
  <c r="T196" i="11" s="1"/>
  <c r="Q194" i="11"/>
  <c r="T194" i="11" s="1"/>
  <c r="Q192" i="11"/>
  <c r="T192" i="11" s="1"/>
  <c r="Q190" i="11"/>
  <c r="T190" i="11" s="1"/>
  <c r="T185" i="11"/>
  <c r="Q185" i="11"/>
  <c r="Q130" i="11"/>
  <c r="T130" i="11" s="1"/>
  <c r="Q184" i="11"/>
  <c r="T184" i="11" s="1"/>
  <c r="Q180" i="11"/>
  <c r="T180" i="11" s="1"/>
  <c r="Q176" i="11"/>
  <c r="T176" i="11" s="1"/>
  <c r="Q172" i="11"/>
  <c r="T172" i="11" s="1"/>
  <c r="Q168" i="11"/>
  <c r="T168" i="11" s="1"/>
  <c r="T162" i="11"/>
  <c r="Q162" i="11"/>
  <c r="Q154" i="11"/>
  <c r="T154" i="11" s="1"/>
  <c r="T108" i="11"/>
  <c r="Q108" i="11"/>
  <c r="Q99" i="11"/>
  <c r="T99" i="11" s="1"/>
  <c r="Q43" i="11"/>
  <c r="T43" i="11" s="1"/>
  <c r="Q22" i="11"/>
  <c r="T22" i="11" s="1"/>
  <c r="Q9" i="11"/>
  <c r="T9" i="11" s="1"/>
  <c r="Q225" i="11"/>
  <c r="T225" i="11" s="1"/>
  <c r="Q181" i="11"/>
  <c r="T181" i="11" s="1"/>
  <c r="Q177" i="11"/>
  <c r="T177" i="11" s="1"/>
  <c r="Q173" i="11"/>
  <c r="T173" i="11" s="1"/>
  <c r="Q169" i="11"/>
  <c r="T169" i="11" s="1"/>
  <c r="Q56" i="11"/>
  <c r="T56" i="11" s="1"/>
  <c r="Q35" i="11"/>
  <c r="T35" i="11" s="1"/>
  <c r="Q25" i="11"/>
  <c r="T25" i="11" s="1"/>
  <c r="Q66" i="11"/>
  <c r="T66" i="11" s="1"/>
  <c r="Q62" i="11"/>
  <c r="T62" i="11" s="1"/>
  <c r="Q52" i="11"/>
  <c r="T52" i="11" s="1"/>
  <c r="Q8" i="11"/>
  <c r="T8" i="11" s="1"/>
  <c r="Q326" i="11"/>
  <c r="T326" i="11" s="1"/>
  <c r="Q293" i="11"/>
  <c r="T293" i="11" s="1"/>
  <c r="Q363" i="11"/>
  <c r="T363" i="11" s="1"/>
  <c r="Q360" i="11"/>
  <c r="T360" i="11" s="1"/>
  <c r="Q343" i="11"/>
  <c r="T343" i="11" s="1"/>
  <c r="T320" i="11"/>
  <c r="Q320" i="11"/>
  <c r="Q304" i="11"/>
  <c r="T304" i="11" s="1"/>
  <c r="T291" i="11"/>
  <c r="Q291" i="11"/>
  <c r="Q357" i="11"/>
  <c r="T357" i="11" s="1"/>
  <c r="Q267" i="11"/>
  <c r="T267" i="11" s="1"/>
  <c r="Q265" i="11"/>
  <c r="T265" i="11" s="1"/>
  <c r="Q263" i="11"/>
  <c r="T263" i="11" s="1"/>
  <c r="Q182" i="11"/>
  <c r="T182" i="11" s="1"/>
  <c r="Q178" i="11"/>
  <c r="T178" i="11" s="1"/>
  <c r="Q174" i="11"/>
  <c r="T174" i="11" s="1"/>
  <c r="Q170" i="11"/>
  <c r="T170" i="11" s="1"/>
  <c r="Q166" i="11"/>
  <c r="T166" i="11" s="1"/>
  <c r="Q158" i="11"/>
  <c r="T158" i="11" s="1"/>
  <c r="Q140" i="11"/>
  <c r="T140" i="11" s="1"/>
  <c r="T103" i="11"/>
  <c r="Q103" i="11"/>
  <c r="Q58" i="11"/>
  <c r="T58" i="11" s="1"/>
  <c r="Q28" i="11"/>
  <c r="T28" i="11" s="1"/>
  <c r="Q183" i="11"/>
  <c r="T183" i="11" s="1"/>
  <c r="Q179" i="11"/>
  <c r="T179" i="11" s="1"/>
  <c r="Q175" i="11"/>
  <c r="T175" i="11" s="1"/>
  <c r="Q171" i="11"/>
  <c r="T171" i="11" s="1"/>
  <c r="Q61" i="11"/>
  <c r="T61" i="11" s="1"/>
  <c r="Q40" i="11"/>
  <c r="T40" i="11" s="1"/>
  <c r="Q31" i="11"/>
  <c r="T31" i="11" s="1"/>
  <c r="Q11" i="11"/>
  <c r="T11" i="11" s="1"/>
  <c r="Q65" i="11"/>
  <c r="T65" i="11" s="1"/>
  <c r="Q59" i="11"/>
  <c r="T59" i="11" s="1"/>
  <c r="Q30" i="11"/>
  <c r="T30" i="11" s="1"/>
  <c r="T356" i="11"/>
  <c r="Q356" i="11"/>
  <c r="Q289" i="11"/>
  <c r="T289" i="11" s="1"/>
  <c r="Q259" i="11"/>
  <c r="T259" i="11" s="1"/>
  <c r="Q257" i="11"/>
  <c r="T257" i="11" s="1"/>
  <c r="Q254" i="11"/>
  <c r="T254" i="11" s="1"/>
  <c r="T250" i="11"/>
  <c r="Q250" i="11"/>
  <c r="Q124" i="11"/>
  <c r="T124" i="11" s="1"/>
  <c r="I133" i="11"/>
  <c r="J133" i="11" s="1"/>
  <c r="P133" i="11" s="1"/>
  <c r="Q74" i="11"/>
  <c r="T74" i="11" s="1"/>
  <c r="Q68" i="11"/>
  <c r="T68" i="11" s="1"/>
  <c r="T248" i="11"/>
  <c r="Q248" i="11"/>
  <c r="Q246" i="11"/>
  <c r="T246" i="11" s="1"/>
  <c r="T244" i="11"/>
  <c r="Q244" i="11"/>
  <c r="Q218" i="11"/>
  <c r="T218" i="11" s="1"/>
  <c r="Q199" i="11"/>
  <c r="T199" i="11" s="1"/>
  <c r="I67" i="11"/>
  <c r="J67" i="11" s="1"/>
  <c r="P67" i="11" s="1"/>
  <c r="P234" i="11"/>
  <c r="Q364" i="11"/>
  <c r="T364" i="11" s="1"/>
  <c r="Q354" i="11"/>
  <c r="T354" i="11" s="1"/>
  <c r="Q351" i="11"/>
  <c r="T351" i="11" s="1"/>
  <c r="Q349" i="11"/>
  <c r="T349" i="11" s="1"/>
  <c r="Q341" i="11"/>
  <c r="T341" i="11" s="1"/>
  <c r="Q339" i="11"/>
  <c r="T339" i="11" s="1"/>
  <c r="Q336" i="11"/>
  <c r="T336" i="11" s="1"/>
  <c r="Q332" i="11"/>
  <c r="T332" i="11" s="1"/>
  <c r="Q292" i="11"/>
  <c r="T292" i="11" s="1"/>
  <c r="Q359" i="11"/>
  <c r="T359" i="11" s="1"/>
  <c r="Q355" i="11"/>
  <c r="T355" i="11" s="1"/>
  <c r="Q352" i="11"/>
  <c r="T352" i="11" s="1"/>
  <c r="Q350" i="11"/>
  <c r="T350" i="11"/>
  <c r="Q348" i="11"/>
  <c r="T348" i="11" s="1"/>
  <c r="Q340" i="11"/>
  <c r="T340" i="11" s="1"/>
  <c r="Q337" i="11"/>
  <c r="T337" i="11" s="1"/>
  <c r="Q334" i="11"/>
  <c r="T334" i="11" s="1"/>
  <c r="Q331" i="11"/>
  <c r="T331" i="11" s="1"/>
  <c r="Q323" i="11"/>
  <c r="T323" i="11" s="1"/>
  <c r="Q299" i="11"/>
  <c r="T299" i="11" s="1"/>
  <c r="Q295" i="11"/>
  <c r="T295" i="11" s="1"/>
  <c r="Q262" i="11"/>
  <c r="T262" i="11" s="1"/>
  <c r="Q260" i="11"/>
  <c r="T260" i="11" s="1"/>
  <c r="Q258" i="11"/>
  <c r="T258" i="11"/>
  <c r="Q256" i="11"/>
  <c r="T256" i="11" s="1"/>
  <c r="Q253" i="11"/>
  <c r="T253" i="11" s="1"/>
  <c r="Q251" i="11"/>
  <c r="T251" i="11" s="1"/>
  <c r="Q288" i="11"/>
  <c r="T288" i="11" s="1"/>
  <c r="Q286" i="11"/>
  <c r="T286" i="11"/>
  <c r="Q284" i="11"/>
  <c r="T284" i="11" s="1"/>
  <c r="Q282" i="11"/>
  <c r="T282" i="11"/>
  <c r="Q280" i="11"/>
  <c r="T280" i="11" s="1"/>
  <c r="Q278" i="11"/>
  <c r="T278" i="11"/>
  <c r="Q276" i="11"/>
  <c r="T276" i="11" s="1"/>
  <c r="Q274" i="11"/>
  <c r="T274" i="11"/>
  <c r="Q272" i="11"/>
  <c r="T272" i="11" s="1"/>
  <c r="Q270" i="11"/>
  <c r="T270" i="11"/>
  <c r="Q255" i="11"/>
  <c r="T255" i="11" s="1"/>
  <c r="Q249" i="11"/>
  <c r="T249" i="11" s="1"/>
  <c r="Q129" i="11"/>
  <c r="T129" i="11" s="1"/>
  <c r="Q120" i="11"/>
  <c r="T120" i="11" s="1"/>
  <c r="Q290" i="11"/>
  <c r="T290" i="11"/>
  <c r="Q287" i="11"/>
  <c r="T287" i="11" s="1"/>
  <c r="Q285" i="11"/>
  <c r="T285" i="11"/>
  <c r="Q283" i="11"/>
  <c r="T283" i="11" s="1"/>
  <c r="Q281" i="11"/>
  <c r="T281" i="11"/>
  <c r="Q279" i="11"/>
  <c r="T279" i="11" s="1"/>
  <c r="Q277" i="11"/>
  <c r="T277" i="11"/>
  <c r="Q275" i="11"/>
  <c r="T275" i="11" s="1"/>
  <c r="Q273" i="11"/>
  <c r="T273" i="11"/>
  <c r="Q271" i="11"/>
  <c r="T271" i="11" s="1"/>
  <c r="Q269" i="11"/>
  <c r="T269" i="11"/>
  <c r="Q197" i="11"/>
  <c r="T197" i="11" s="1"/>
  <c r="Q195" i="11"/>
  <c r="T195" i="11" s="1"/>
  <c r="Q193" i="11"/>
  <c r="T193" i="11" s="1"/>
  <c r="Q191" i="11"/>
  <c r="T191" i="11" s="1"/>
  <c r="Q189" i="11"/>
  <c r="T189" i="11" s="1"/>
  <c r="Q84" i="11"/>
  <c r="T84" i="11" s="1"/>
  <c r="Q247" i="11"/>
  <c r="T247" i="11" s="1"/>
  <c r="Q245" i="11"/>
  <c r="T245" i="11" s="1"/>
  <c r="Q243" i="11"/>
  <c r="T243" i="11" s="1"/>
  <c r="Q224" i="11"/>
  <c r="T224" i="11" s="1"/>
  <c r="Q145" i="11"/>
  <c r="T145" i="11" s="1"/>
  <c r="Q89" i="11"/>
  <c r="T89" i="11" s="1"/>
  <c r="Q69" i="11"/>
  <c r="T69" i="11" s="1"/>
  <c r="Q167" i="11"/>
  <c r="T167" i="11" s="1"/>
  <c r="Q117" i="11"/>
  <c r="T117" i="11" s="1"/>
  <c r="Q101" i="11"/>
  <c r="T101" i="11"/>
  <c r="Q118" i="11"/>
  <c r="T118" i="11" s="1"/>
  <c r="R118" i="11" s="1"/>
  <c r="S118" i="11" s="1"/>
  <c r="Q20" i="11"/>
  <c r="T20" i="11" s="1"/>
  <c r="P212" i="11"/>
  <c r="P141" i="11"/>
  <c r="F26" i="10"/>
  <c r="G26" i="10" s="1"/>
  <c r="H26" i="10" s="1"/>
  <c r="I26" i="10" s="1"/>
  <c r="F27" i="10"/>
  <c r="G27" i="10" s="1"/>
  <c r="H27" i="10" s="1"/>
  <c r="I27" i="10" s="1"/>
  <c r="F24" i="10"/>
  <c r="G24" i="10" s="1"/>
  <c r="H24" i="10" s="1"/>
  <c r="I24" i="10" s="1"/>
  <c r="F20" i="10"/>
  <c r="G20" i="10" s="1"/>
  <c r="H20" i="10" s="1"/>
  <c r="I20" i="10" s="1"/>
  <c r="F15" i="10"/>
  <c r="G15" i="10" s="1"/>
  <c r="H15" i="10" s="1"/>
  <c r="I15" i="10" s="1"/>
  <c r="F25" i="10"/>
  <c r="G25" i="10"/>
  <c r="H25" i="10" s="1"/>
  <c r="I25" i="10" s="1"/>
  <c r="F19" i="10"/>
  <c r="G19" i="10" s="1"/>
  <c r="H19" i="10" s="1"/>
  <c r="I19" i="10" s="1"/>
  <c r="F22" i="10"/>
  <c r="G22" i="10" s="1"/>
  <c r="H22" i="10" s="1"/>
  <c r="I22" i="10" s="1"/>
  <c r="F16" i="10"/>
  <c r="G16" i="10" s="1"/>
  <c r="H16" i="10" s="1"/>
  <c r="I16" i="10" s="1"/>
  <c r="D31" i="10"/>
  <c r="F14" i="10"/>
  <c r="F23" i="10"/>
  <c r="G23" i="10"/>
  <c r="H23" i="10" s="1"/>
  <c r="I23" i="10" s="1"/>
  <c r="F21" i="10"/>
  <c r="G21" i="10" s="1"/>
  <c r="H21" i="10" s="1"/>
  <c r="I21" i="10" s="1"/>
  <c r="F18" i="10"/>
  <c r="G18" i="10"/>
  <c r="H18" i="10" s="1"/>
  <c r="I18" i="10" s="1"/>
  <c r="F17" i="10"/>
  <c r="G17" i="10" s="1"/>
  <c r="H17" i="10" s="1"/>
  <c r="I17" i="10" s="1"/>
  <c r="T23" i="12" l="1"/>
  <c r="Z23" i="12"/>
  <c r="X23" i="12"/>
  <c r="AT224" i="11"/>
  <c r="AD224" i="11"/>
  <c r="X224" i="11"/>
  <c r="R224" i="11"/>
  <c r="S224" i="11" s="1"/>
  <c r="AW224" i="11"/>
  <c r="V224" i="11"/>
  <c r="AT245" i="11"/>
  <c r="AD245" i="11"/>
  <c r="X245" i="11"/>
  <c r="R245" i="11"/>
  <c r="S245" i="11" s="1"/>
  <c r="AW245" i="11"/>
  <c r="V245" i="11"/>
  <c r="AT197" i="11"/>
  <c r="R197" i="11"/>
  <c r="S197" i="11" s="1"/>
  <c r="AW197" i="11"/>
  <c r="AD197" i="11"/>
  <c r="X197" i="11"/>
  <c r="AT249" i="11"/>
  <c r="AD249" i="11"/>
  <c r="X249" i="11"/>
  <c r="R249" i="11"/>
  <c r="S249" i="11" s="1"/>
  <c r="AW249" i="11"/>
  <c r="V249" i="11"/>
  <c r="AT253" i="11"/>
  <c r="AD253" i="11"/>
  <c r="X253" i="11"/>
  <c r="R253" i="11"/>
  <c r="S253" i="11" s="1"/>
  <c r="V253" i="11"/>
  <c r="AW253" i="11"/>
  <c r="AT331" i="11"/>
  <c r="AD331" i="11"/>
  <c r="X331" i="11"/>
  <c r="R331" i="11"/>
  <c r="S331" i="11" s="1"/>
  <c r="AW331" i="11"/>
  <c r="V331" i="11"/>
  <c r="AT340" i="11"/>
  <c r="AD340" i="11"/>
  <c r="X340" i="11"/>
  <c r="R340" i="11"/>
  <c r="S340" i="11" s="1"/>
  <c r="AW340" i="11"/>
  <c r="V340" i="11"/>
  <c r="AT355" i="11"/>
  <c r="AD355" i="11"/>
  <c r="X355" i="11"/>
  <c r="R355" i="11"/>
  <c r="S355" i="11" s="1"/>
  <c r="AW355" i="11"/>
  <c r="V355" i="11"/>
  <c r="AW292" i="11"/>
  <c r="AD292" i="11"/>
  <c r="X292" i="11"/>
  <c r="R292" i="11"/>
  <c r="S292" i="11" s="1"/>
  <c r="AT292" i="11"/>
  <c r="V292" i="11"/>
  <c r="AT339" i="11"/>
  <c r="AD339" i="11"/>
  <c r="X339" i="11"/>
  <c r="R339" i="11"/>
  <c r="S339" i="11" s="1"/>
  <c r="AW339" i="11"/>
  <c r="V339" i="11"/>
  <c r="AT354" i="11"/>
  <c r="AD354" i="11"/>
  <c r="X354" i="11"/>
  <c r="R354" i="11"/>
  <c r="S354" i="11" s="1"/>
  <c r="AW354" i="11"/>
  <c r="V354" i="11"/>
  <c r="AW199" i="11"/>
  <c r="V199" i="11"/>
  <c r="AT199" i="11"/>
  <c r="AD199" i="11"/>
  <c r="X199" i="11"/>
  <c r="R199" i="11"/>
  <c r="S199" i="11" s="1"/>
  <c r="AW74" i="11"/>
  <c r="AD74" i="11"/>
  <c r="X74" i="11"/>
  <c r="AT74" i="11"/>
  <c r="V74" i="11"/>
  <c r="R74" i="11"/>
  <c r="S74" i="11" s="1"/>
  <c r="AW257" i="11"/>
  <c r="V257" i="11"/>
  <c r="AT257" i="11"/>
  <c r="AD257" i="11"/>
  <c r="X257" i="11"/>
  <c r="R257" i="11"/>
  <c r="S257" i="11" s="1"/>
  <c r="AT59" i="11"/>
  <c r="V59" i="11"/>
  <c r="AW59" i="11"/>
  <c r="AD59" i="11"/>
  <c r="X59" i="11"/>
  <c r="R59" i="11"/>
  <c r="S59" i="11" s="1"/>
  <c r="AW11" i="11"/>
  <c r="AD11" i="11"/>
  <c r="X11" i="11"/>
  <c r="R11" i="11"/>
  <c r="S11" i="11" s="1"/>
  <c r="AT11" i="11"/>
  <c r="V11" i="11"/>
  <c r="AT40" i="11"/>
  <c r="V40" i="11"/>
  <c r="AW40" i="11"/>
  <c r="AD40" i="11"/>
  <c r="X40" i="11"/>
  <c r="R40" i="11"/>
  <c r="S40" i="11" s="1"/>
  <c r="AW175" i="11"/>
  <c r="V175" i="11"/>
  <c r="AT175" i="11"/>
  <c r="AD175" i="11"/>
  <c r="X175" i="11"/>
  <c r="R175" i="11"/>
  <c r="S175" i="11" s="1"/>
  <c r="AW183" i="11"/>
  <c r="V183" i="11"/>
  <c r="AT183" i="11"/>
  <c r="AD183" i="11"/>
  <c r="X183" i="11"/>
  <c r="R183" i="11"/>
  <c r="S183" i="11" s="1"/>
  <c r="AW140" i="11"/>
  <c r="V140" i="11"/>
  <c r="AT140" i="11"/>
  <c r="AD140" i="11"/>
  <c r="X140" i="11"/>
  <c r="R140" i="11"/>
  <c r="S140" i="11" s="1"/>
  <c r="AW170" i="11"/>
  <c r="V170" i="11"/>
  <c r="AT170" i="11"/>
  <c r="AD170" i="11"/>
  <c r="X170" i="11"/>
  <c r="R170" i="11"/>
  <c r="S170" i="11" s="1"/>
  <c r="AW178" i="11"/>
  <c r="V178" i="11"/>
  <c r="AT178" i="11"/>
  <c r="AD178" i="11"/>
  <c r="X178" i="11"/>
  <c r="R178" i="11"/>
  <c r="S178" i="11" s="1"/>
  <c r="AW263" i="11"/>
  <c r="V263" i="11"/>
  <c r="AT263" i="11"/>
  <c r="AD263" i="11"/>
  <c r="X263" i="11"/>
  <c r="R263" i="11"/>
  <c r="S263" i="11" s="1"/>
  <c r="AW267" i="11"/>
  <c r="V267" i="11"/>
  <c r="AT267" i="11"/>
  <c r="AD267" i="11"/>
  <c r="X267" i="11"/>
  <c r="R267" i="11"/>
  <c r="S267" i="11" s="1"/>
  <c r="AT363" i="11"/>
  <c r="V363" i="11"/>
  <c r="AW363" i="11"/>
  <c r="AD363" i="11"/>
  <c r="X363" i="11"/>
  <c r="R363" i="11"/>
  <c r="S363" i="11" s="1"/>
  <c r="AW52" i="11"/>
  <c r="V52" i="11"/>
  <c r="AT52" i="11"/>
  <c r="AD52" i="11"/>
  <c r="X52" i="11"/>
  <c r="R52" i="11"/>
  <c r="S52" i="11" s="1"/>
  <c r="AW66" i="11"/>
  <c r="V66" i="11"/>
  <c r="AT66" i="11"/>
  <c r="AD66" i="11"/>
  <c r="X66" i="11"/>
  <c r="R66" i="11"/>
  <c r="S66" i="11" s="1"/>
  <c r="AW35" i="11"/>
  <c r="V35" i="11"/>
  <c r="AT35" i="11"/>
  <c r="AD35" i="11"/>
  <c r="X35" i="11"/>
  <c r="R35" i="11"/>
  <c r="S35" i="11" s="1"/>
  <c r="AW169" i="11"/>
  <c r="V169" i="11"/>
  <c r="AT169" i="11"/>
  <c r="AD169" i="11"/>
  <c r="X169" i="11"/>
  <c r="R169" i="11"/>
  <c r="S169" i="11" s="1"/>
  <c r="AW177" i="11"/>
  <c r="V177" i="11"/>
  <c r="AT177" i="11"/>
  <c r="AD177" i="11"/>
  <c r="X177" i="11"/>
  <c r="R177" i="11"/>
  <c r="S177" i="11" s="1"/>
  <c r="AT9" i="11"/>
  <c r="V9" i="11"/>
  <c r="AW9" i="11"/>
  <c r="AD9" i="11"/>
  <c r="X9" i="11"/>
  <c r="R9" i="11"/>
  <c r="S9" i="11" s="1"/>
  <c r="AW168" i="11"/>
  <c r="V168" i="11"/>
  <c r="AT168" i="11"/>
  <c r="AD168" i="11"/>
  <c r="X168" i="11"/>
  <c r="R168" i="11"/>
  <c r="S168" i="11" s="1"/>
  <c r="AW176" i="11"/>
  <c r="V176" i="11"/>
  <c r="AT176" i="11"/>
  <c r="AD176" i="11"/>
  <c r="X176" i="11"/>
  <c r="R176" i="11"/>
  <c r="S176" i="11" s="1"/>
  <c r="AW184" i="11"/>
  <c r="V184" i="11"/>
  <c r="AT184" i="11"/>
  <c r="AD184" i="11"/>
  <c r="X184" i="11"/>
  <c r="R184" i="11"/>
  <c r="S184" i="11" s="1"/>
  <c r="AW190" i="11"/>
  <c r="V190" i="11"/>
  <c r="AT190" i="11"/>
  <c r="AD190" i="11"/>
  <c r="X190" i="11"/>
  <c r="R190" i="11"/>
  <c r="S190" i="11" s="1"/>
  <c r="AW194" i="11"/>
  <c r="V194" i="11"/>
  <c r="AT194" i="11"/>
  <c r="AD194" i="11"/>
  <c r="X194" i="11"/>
  <c r="R194" i="11"/>
  <c r="S194" i="11" s="1"/>
  <c r="AW264" i="11"/>
  <c r="V264" i="11"/>
  <c r="AT264" i="11"/>
  <c r="AD264" i="11"/>
  <c r="X264" i="11"/>
  <c r="R264" i="11"/>
  <c r="S264" i="11" s="1"/>
  <c r="AW268" i="11"/>
  <c r="V268" i="11"/>
  <c r="AT268" i="11"/>
  <c r="AD268" i="11"/>
  <c r="X268" i="11"/>
  <c r="R268" i="11"/>
  <c r="S268" i="11" s="1"/>
  <c r="AW362" i="11"/>
  <c r="V362" i="11"/>
  <c r="AT362" i="11"/>
  <c r="AD362" i="11"/>
  <c r="X362" i="11"/>
  <c r="R362" i="11"/>
  <c r="S362" i="11" s="1"/>
  <c r="AT20" i="11"/>
  <c r="AD20" i="11"/>
  <c r="X20" i="11"/>
  <c r="R20" i="11"/>
  <c r="S20" i="11" s="1"/>
  <c r="AW20" i="11"/>
  <c r="V20" i="11"/>
  <c r="AW117" i="11"/>
  <c r="AD117" i="11"/>
  <c r="X117" i="11"/>
  <c r="R117" i="11"/>
  <c r="S117" i="11" s="1"/>
  <c r="AT117" i="11"/>
  <c r="V117" i="11"/>
  <c r="AT243" i="11"/>
  <c r="AD243" i="11"/>
  <c r="X243" i="11"/>
  <c r="R243" i="11"/>
  <c r="S243" i="11" s="1"/>
  <c r="AW243" i="11"/>
  <c r="V243" i="11"/>
  <c r="AT247" i="11"/>
  <c r="AD247" i="11"/>
  <c r="X247" i="11"/>
  <c r="R247" i="11"/>
  <c r="S247" i="11" s="1"/>
  <c r="AW247" i="11"/>
  <c r="V247" i="11"/>
  <c r="AT129" i="11"/>
  <c r="AD129" i="11"/>
  <c r="X129" i="11"/>
  <c r="R129" i="11"/>
  <c r="S129" i="11" s="1"/>
  <c r="AW129" i="11"/>
  <c r="V129" i="11"/>
  <c r="AT251" i="11"/>
  <c r="AD251" i="11"/>
  <c r="X251" i="11"/>
  <c r="R251" i="11"/>
  <c r="S251" i="11" s="1"/>
  <c r="V251" i="11"/>
  <c r="AW251" i="11"/>
  <c r="AW262" i="11"/>
  <c r="R262" i="11"/>
  <c r="S262" i="11" s="1"/>
  <c r="AT262" i="11"/>
  <c r="AD262" i="11"/>
  <c r="X262" i="11"/>
  <c r="AT337" i="11"/>
  <c r="AD337" i="11"/>
  <c r="X337" i="11"/>
  <c r="R337" i="11"/>
  <c r="S337" i="11" s="1"/>
  <c r="AW337" i="11"/>
  <c r="V337" i="11"/>
  <c r="AW352" i="11"/>
  <c r="AD352" i="11"/>
  <c r="X352" i="11"/>
  <c r="R352" i="11"/>
  <c r="S352" i="11" s="1"/>
  <c r="AT352" i="11"/>
  <c r="V352" i="11"/>
  <c r="AW359" i="11"/>
  <c r="AD359" i="11"/>
  <c r="X359" i="11"/>
  <c r="R359" i="11"/>
  <c r="S359" i="11" s="1"/>
  <c r="AT359" i="11"/>
  <c r="V359" i="11"/>
  <c r="AT336" i="11"/>
  <c r="AD336" i="11"/>
  <c r="X336" i="11"/>
  <c r="R336" i="11"/>
  <c r="S336" i="11" s="1"/>
  <c r="AW336" i="11"/>
  <c r="V336" i="11"/>
  <c r="AW341" i="11"/>
  <c r="AD341" i="11"/>
  <c r="X341" i="11"/>
  <c r="R341" i="11"/>
  <c r="S341" i="11" s="1"/>
  <c r="AT341" i="11"/>
  <c r="V341" i="11"/>
  <c r="AT364" i="11"/>
  <c r="AD364" i="11"/>
  <c r="X364" i="11"/>
  <c r="R364" i="11"/>
  <c r="S364" i="11" s="1"/>
  <c r="AW364" i="11"/>
  <c r="V364" i="11"/>
  <c r="Q67" i="11"/>
  <c r="T67" i="11" s="1"/>
  <c r="AW218" i="11"/>
  <c r="V218" i="11"/>
  <c r="AT218" i="11"/>
  <c r="AD218" i="11"/>
  <c r="X218" i="11"/>
  <c r="R218" i="11"/>
  <c r="S218" i="11" s="1"/>
  <c r="AW124" i="11"/>
  <c r="V124" i="11"/>
  <c r="AT124" i="11"/>
  <c r="AD124" i="11"/>
  <c r="X124" i="11"/>
  <c r="R124" i="11"/>
  <c r="S124" i="11" s="1"/>
  <c r="AW259" i="11"/>
  <c r="V259" i="11"/>
  <c r="AT259" i="11"/>
  <c r="AD259" i="11"/>
  <c r="X259" i="11"/>
  <c r="R259" i="11"/>
  <c r="S259" i="11" s="1"/>
  <c r="AW65" i="11"/>
  <c r="V65" i="11"/>
  <c r="AT65" i="11"/>
  <c r="AD65" i="11"/>
  <c r="X65" i="11"/>
  <c r="R65" i="11"/>
  <c r="S65" i="11" s="1"/>
  <c r="AW31" i="11"/>
  <c r="V31" i="11"/>
  <c r="AT31" i="11"/>
  <c r="AD31" i="11"/>
  <c r="X31" i="11"/>
  <c r="R31" i="11"/>
  <c r="S31" i="11" s="1"/>
  <c r="AW171" i="11"/>
  <c r="V171" i="11"/>
  <c r="AT171" i="11"/>
  <c r="AD171" i="11"/>
  <c r="X171" i="11"/>
  <c r="R171" i="11"/>
  <c r="S171" i="11" s="1"/>
  <c r="AW179" i="11"/>
  <c r="V179" i="11"/>
  <c r="AT179" i="11"/>
  <c r="AD179" i="11"/>
  <c r="X179" i="11"/>
  <c r="R179" i="11"/>
  <c r="S179" i="11" s="1"/>
  <c r="AT58" i="11"/>
  <c r="V58" i="11"/>
  <c r="AW58" i="11"/>
  <c r="AD58" i="11"/>
  <c r="X58" i="11"/>
  <c r="R58" i="11"/>
  <c r="S58" i="11" s="1"/>
  <c r="AW166" i="11"/>
  <c r="V166" i="11"/>
  <c r="AT166" i="11"/>
  <c r="AD166" i="11"/>
  <c r="X166" i="11"/>
  <c r="R166" i="11"/>
  <c r="S166" i="11" s="1"/>
  <c r="AW174" i="11"/>
  <c r="V174" i="11"/>
  <c r="AT174" i="11"/>
  <c r="AD174" i="11"/>
  <c r="X174" i="11"/>
  <c r="R174" i="11"/>
  <c r="S174" i="11" s="1"/>
  <c r="AW182" i="11"/>
  <c r="V182" i="11"/>
  <c r="AT182" i="11"/>
  <c r="AD182" i="11"/>
  <c r="X182" i="11"/>
  <c r="R182" i="11"/>
  <c r="S182" i="11" s="1"/>
  <c r="AW265" i="11"/>
  <c r="V265" i="11"/>
  <c r="AT265" i="11"/>
  <c r="AD265" i="11"/>
  <c r="X265" i="11"/>
  <c r="R265" i="11"/>
  <c r="S265" i="11" s="1"/>
  <c r="AW357" i="11"/>
  <c r="V357" i="11"/>
  <c r="AT357" i="11"/>
  <c r="AD357" i="11"/>
  <c r="X357" i="11"/>
  <c r="R357" i="11"/>
  <c r="S357" i="11" s="1"/>
  <c r="AT293" i="11"/>
  <c r="V293" i="11"/>
  <c r="AW293" i="11"/>
  <c r="AD293" i="11"/>
  <c r="X293" i="11"/>
  <c r="R293" i="11"/>
  <c r="S293" i="11" s="1"/>
  <c r="AT62" i="11"/>
  <c r="V62" i="11"/>
  <c r="AW62" i="11"/>
  <c r="AD62" i="11"/>
  <c r="X62" i="11"/>
  <c r="R62" i="11"/>
  <c r="S62" i="11" s="1"/>
  <c r="AT25" i="11"/>
  <c r="V25" i="11"/>
  <c r="AW25" i="11"/>
  <c r="AD25" i="11"/>
  <c r="X25" i="11"/>
  <c r="R25" i="11"/>
  <c r="S25" i="11" s="1"/>
  <c r="AT56" i="11"/>
  <c r="V56" i="11"/>
  <c r="AW56" i="11"/>
  <c r="AD56" i="11"/>
  <c r="X56" i="11"/>
  <c r="R56" i="11"/>
  <c r="S56" i="11" s="1"/>
  <c r="AW173" i="11"/>
  <c r="V173" i="11"/>
  <c r="AT173" i="11"/>
  <c r="AD173" i="11"/>
  <c r="X173" i="11"/>
  <c r="R173" i="11"/>
  <c r="S173" i="11" s="1"/>
  <c r="AW181" i="11"/>
  <c r="V181" i="11"/>
  <c r="AT181" i="11"/>
  <c r="AD181" i="11"/>
  <c r="X181" i="11"/>
  <c r="R181" i="11"/>
  <c r="S181" i="11" s="1"/>
  <c r="AW99" i="11"/>
  <c r="V99" i="11"/>
  <c r="AT99" i="11"/>
  <c r="AD99" i="11"/>
  <c r="X99" i="11"/>
  <c r="R99" i="11"/>
  <c r="S99" i="11" s="1"/>
  <c r="AW172" i="11"/>
  <c r="V172" i="11"/>
  <c r="AT172" i="11"/>
  <c r="AD172" i="11"/>
  <c r="X172" i="11"/>
  <c r="R172" i="11"/>
  <c r="S172" i="11" s="1"/>
  <c r="AW180" i="11"/>
  <c r="V180" i="11"/>
  <c r="AT180" i="11"/>
  <c r="AD180" i="11"/>
  <c r="X180" i="11"/>
  <c r="R180" i="11"/>
  <c r="S180" i="11" s="1"/>
  <c r="AT130" i="11"/>
  <c r="V130" i="11"/>
  <c r="AW130" i="11"/>
  <c r="AD130" i="11"/>
  <c r="X130" i="11"/>
  <c r="R130" i="11"/>
  <c r="S130" i="11" s="1"/>
  <c r="AW192" i="11"/>
  <c r="V192" i="11"/>
  <c r="AT192" i="11"/>
  <c r="AD192" i="11"/>
  <c r="X192" i="11"/>
  <c r="R192" i="11"/>
  <c r="S192" i="11" s="1"/>
  <c r="AW196" i="11"/>
  <c r="V196" i="11"/>
  <c r="AT196" i="11"/>
  <c r="AD196" i="11"/>
  <c r="X196" i="11"/>
  <c r="R196" i="11"/>
  <c r="S196" i="11" s="1"/>
  <c r="AW266" i="11"/>
  <c r="V266" i="11"/>
  <c r="AT266" i="11"/>
  <c r="AD266" i="11"/>
  <c r="X266" i="11"/>
  <c r="R266" i="11"/>
  <c r="S266" i="11" s="1"/>
  <c r="AT353" i="11"/>
  <c r="V353" i="11"/>
  <c r="AW353" i="11"/>
  <c r="AD353" i="11"/>
  <c r="X353" i="11"/>
  <c r="R353" i="11"/>
  <c r="S353" i="11" s="1"/>
  <c r="AT69" i="11"/>
  <c r="V69" i="11"/>
  <c r="AW69" i="11"/>
  <c r="AD69" i="11"/>
  <c r="X69" i="11"/>
  <c r="R69" i="11"/>
  <c r="S69" i="11" s="1"/>
  <c r="AT145" i="11"/>
  <c r="V145" i="11"/>
  <c r="AW145" i="11"/>
  <c r="AD145" i="11"/>
  <c r="X145" i="11"/>
  <c r="R145" i="11"/>
  <c r="S145" i="11" s="1"/>
  <c r="AW191" i="11"/>
  <c r="V191" i="11"/>
  <c r="AT191" i="11"/>
  <c r="AD191" i="11"/>
  <c r="X191" i="11"/>
  <c r="R191" i="11"/>
  <c r="S191" i="11" s="1"/>
  <c r="AW195" i="11"/>
  <c r="V195" i="11"/>
  <c r="AT195" i="11"/>
  <c r="AD195" i="11"/>
  <c r="X195" i="11"/>
  <c r="R195" i="11"/>
  <c r="S195" i="11" s="1"/>
  <c r="AW269" i="11"/>
  <c r="V269" i="11"/>
  <c r="AT269" i="11"/>
  <c r="AD269" i="11"/>
  <c r="X269" i="11"/>
  <c r="R269" i="11"/>
  <c r="S269" i="11" s="1"/>
  <c r="AW273" i="11"/>
  <c r="V273" i="11"/>
  <c r="AT273" i="11"/>
  <c r="AD273" i="11"/>
  <c r="X273" i="11"/>
  <c r="R273" i="11"/>
  <c r="S273" i="11" s="1"/>
  <c r="AW277" i="11"/>
  <c r="V277" i="11"/>
  <c r="AT277" i="11"/>
  <c r="AD277" i="11"/>
  <c r="X277" i="11"/>
  <c r="R277" i="11"/>
  <c r="S277" i="11" s="1"/>
  <c r="AW281" i="11"/>
  <c r="V281" i="11"/>
  <c r="AT281" i="11"/>
  <c r="AD281" i="11"/>
  <c r="X281" i="11"/>
  <c r="R281" i="11"/>
  <c r="S281" i="11" s="1"/>
  <c r="AW285" i="11"/>
  <c r="V285" i="11"/>
  <c r="AT285" i="11"/>
  <c r="AD285" i="11"/>
  <c r="X285" i="11"/>
  <c r="R285" i="11"/>
  <c r="S285" i="11" s="1"/>
  <c r="AT290" i="11"/>
  <c r="V290" i="11"/>
  <c r="AD290" i="11"/>
  <c r="X290" i="11"/>
  <c r="R290" i="11"/>
  <c r="S290" i="11" s="1"/>
  <c r="AW290" i="11"/>
  <c r="AW255" i="11"/>
  <c r="V255" i="11"/>
  <c r="AT255" i="11"/>
  <c r="AD255" i="11"/>
  <c r="X255" i="11"/>
  <c r="R255" i="11"/>
  <c r="S255" i="11" s="1"/>
  <c r="AW272" i="11"/>
  <c r="V272" i="11"/>
  <c r="AT272" i="11"/>
  <c r="AD272" i="11"/>
  <c r="X272" i="11"/>
  <c r="R272" i="11"/>
  <c r="S272" i="11" s="1"/>
  <c r="AW276" i="11"/>
  <c r="V276" i="11"/>
  <c r="AT276" i="11"/>
  <c r="AD276" i="11"/>
  <c r="X276" i="11"/>
  <c r="R276" i="11"/>
  <c r="S276" i="11" s="1"/>
  <c r="AW280" i="11"/>
  <c r="V280" i="11"/>
  <c r="AT280" i="11"/>
  <c r="AD280" i="11"/>
  <c r="X280" i="11"/>
  <c r="R280" i="11"/>
  <c r="S280" i="11" s="1"/>
  <c r="AW284" i="11"/>
  <c r="V284" i="11"/>
  <c r="AT284" i="11"/>
  <c r="AD284" i="11"/>
  <c r="X284" i="11"/>
  <c r="R284" i="11"/>
  <c r="S284" i="11" s="1"/>
  <c r="AT288" i="11"/>
  <c r="V288" i="11"/>
  <c r="AW288" i="11"/>
  <c r="AD288" i="11"/>
  <c r="X288" i="11"/>
  <c r="R288" i="11"/>
  <c r="S288" i="11" s="1"/>
  <c r="AW258" i="11"/>
  <c r="V258" i="11"/>
  <c r="AT258" i="11"/>
  <c r="AD258" i="11"/>
  <c r="X258" i="11"/>
  <c r="R258" i="11"/>
  <c r="S258" i="11" s="1"/>
  <c r="AW295" i="11"/>
  <c r="V295" i="11"/>
  <c r="AT295" i="11"/>
  <c r="AD295" i="11"/>
  <c r="X295" i="11"/>
  <c r="R295" i="11"/>
  <c r="S295" i="11" s="1"/>
  <c r="AT323" i="11"/>
  <c r="V323" i="11"/>
  <c r="AW323" i="11"/>
  <c r="AD323" i="11"/>
  <c r="X323" i="11"/>
  <c r="R323" i="11"/>
  <c r="S323" i="11" s="1"/>
  <c r="AW334" i="11"/>
  <c r="V334" i="11"/>
  <c r="AT334" i="11"/>
  <c r="AD334" i="11"/>
  <c r="X334" i="11"/>
  <c r="R334" i="11"/>
  <c r="S334" i="11" s="1"/>
  <c r="AT348" i="11"/>
  <c r="V348" i="11"/>
  <c r="AW348" i="11"/>
  <c r="AD348" i="11"/>
  <c r="X348" i="11"/>
  <c r="R348" i="11"/>
  <c r="S348" i="11" s="1"/>
  <c r="AT350" i="11"/>
  <c r="V350" i="11"/>
  <c r="AW350" i="11"/>
  <c r="AD350" i="11"/>
  <c r="X350" i="11"/>
  <c r="R350" i="11"/>
  <c r="S350" i="11" s="1"/>
  <c r="AW332" i="11"/>
  <c r="V332" i="11"/>
  <c r="AT332" i="11"/>
  <c r="AD332" i="11"/>
  <c r="X332" i="11"/>
  <c r="R332" i="11"/>
  <c r="S332" i="11" s="1"/>
  <c r="AT349" i="11"/>
  <c r="V349" i="11"/>
  <c r="AW349" i="11"/>
  <c r="AD349" i="11"/>
  <c r="X349" i="11"/>
  <c r="R349" i="11"/>
  <c r="S349" i="11" s="1"/>
  <c r="AT351" i="11"/>
  <c r="V351" i="11"/>
  <c r="AW351" i="11"/>
  <c r="AD351" i="11"/>
  <c r="X351" i="11"/>
  <c r="R351" i="11"/>
  <c r="S351" i="11" s="1"/>
  <c r="Q234" i="11"/>
  <c r="T234" i="11" s="1"/>
  <c r="AT244" i="11"/>
  <c r="AD244" i="11"/>
  <c r="X244" i="11"/>
  <c r="R244" i="11"/>
  <c r="S244" i="11" s="1"/>
  <c r="AW244" i="11"/>
  <c r="V244" i="11"/>
  <c r="AT246" i="11"/>
  <c r="AD246" i="11"/>
  <c r="X246" i="11"/>
  <c r="R246" i="11"/>
  <c r="S246" i="11" s="1"/>
  <c r="AW246" i="11"/>
  <c r="V246" i="11"/>
  <c r="AT248" i="11"/>
  <c r="AD248" i="11"/>
  <c r="X248" i="11"/>
  <c r="R248" i="11"/>
  <c r="S248" i="11" s="1"/>
  <c r="AW248" i="11"/>
  <c r="V248" i="11"/>
  <c r="AT68" i="11"/>
  <c r="AD68" i="11"/>
  <c r="X68" i="11"/>
  <c r="R68" i="11"/>
  <c r="S68" i="11" s="1"/>
  <c r="AW68" i="11"/>
  <c r="V68" i="11"/>
  <c r="T133" i="11"/>
  <c r="Q133" i="11"/>
  <c r="AT250" i="11"/>
  <c r="AW250" i="11"/>
  <c r="AD250" i="11"/>
  <c r="X250" i="11"/>
  <c r="R250" i="11"/>
  <c r="S250" i="11" s="1"/>
  <c r="V250" i="11"/>
  <c r="AT254" i="11"/>
  <c r="AD254" i="11"/>
  <c r="X254" i="11"/>
  <c r="R254" i="11"/>
  <c r="S254" i="11" s="1"/>
  <c r="AW254" i="11"/>
  <c r="V254" i="11"/>
  <c r="AW289" i="11"/>
  <c r="AD289" i="11"/>
  <c r="X289" i="11"/>
  <c r="R289" i="11"/>
  <c r="S289" i="11" s="1"/>
  <c r="AT289" i="11"/>
  <c r="V289" i="11"/>
  <c r="AW356" i="11"/>
  <c r="AD356" i="11"/>
  <c r="X356" i="11"/>
  <c r="R356" i="11"/>
  <c r="S356" i="11" s="1"/>
  <c r="AT356" i="11"/>
  <c r="V356" i="11"/>
  <c r="AT30" i="11"/>
  <c r="AD30" i="11"/>
  <c r="X30" i="11"/>
  <c r="R30" i="11"/>
  <c r="S30" i="11" s="1"/>
  <c r="AW30" i="11"/>
  <c r="V30" i="11"/>
  <c r="AT61" i="11"/>
  <c r="AD61" i="11"/>
  <c r="X61" i="11"/>
  <c r="R61" i="11"/>
  <c r="S61" i="11" s="1"/>
  <c r="AW61" i="11"/>
  <c r="V61" i="11"/>
  <c r="AW28" i="11"/>
  <c r="AD28" i="11"/>
  <c r="X28" i="11"/>
  <c r="R28" i="11"/>
  <c r="S28" i="11" s="1"/>
  <c r="AT28" i="11"/>
  <c r="V28" i="11"/>
  <c r="AT103" i="11"/>
  <c r="AD103" i="11"/>
  <c r="X103" i="11"/>
  <c r="R103" i="11"/>
  <c r="S103" i="11" s="1"/>
  <c r="AW103" i="11"/>
  <c r="V103" i="11"/>
  <c r="AT158" i="11"/>
  <c r="AD158" i="11"/>
  <c r="X158" i="11"/>
  <c r="R158" i="11"/>
  <c r="S158" i="11" s="1"/>
  <c r="AW158" i="11"/>
  <c r="V158" i="11"/>
  <c r="AW291" i="11"/>
  <c r="AD291" i="11"/>
  <c r="X291" i="11"/>
  <c r="R291" i="11"/>
  <c r="S291" i="11" s="1"/>
  <c r="AT291" i="11"/>
  <c r="V291" i="11"/>
  <c r="AW304" i="11"/>
  <c r="AD304" i="11"/>
  <c r="X304" i="11"/>
  <c r="R304" i="11"/>
  <c r="S304" i="11" s="1"/>
  <c r="AT304" i="11"/>
  <c r="V304" i="11"/>
  <c r="AW320" i="11"/>
  <c r="AD320" i="11"/>
  <c r="X320" i="11"/>
  <c r="R320" i="11"/>
  <c r="S320" i="11" s="1"/>
  <c r="AT320" i="11"/>
  <c r="V320" i="11"/>
  <c r="AW343" i="11"/>
  <c r="AD343" i="11"/>
  <c r="X343" i="11"/>
  <c r="R343" i="11"/>
  <c r="S343" i="11" s="1"/>
  <c r="AT343" i="11"/>
  <c r="V343" i="11"/>
  <c r="AW360" i="11"/>
  <c r="AD360" i="11"/>
  <c r="X360" i="11"/>
  <c r="R360" i="11"/>
  <c r="S360" i="11" s="1"/>
  <c r="AT360" i="11"/>
  <c r="V360" i="11"/>
  <c r="AT326" i="11"/>
  <c r="AD326" i="11"/>
  <c r="X326" i="11"/>
  <c r="R326" i="11"/>
  <c r="S326" i="11" s="1"/>
  <c r="AW326" i="11"/>
  <c r="V326" i="11"/>
  <c r="AW8" i="11"/>
  <c r="X8" i="11"/>
  <c r="AT8" i="11"/>
  <c r="V8" i="11"/>
  <c r="AD8" i="11"/>
  <c r="R8" i="11"/>
  <c r="AW225" i="11"/>
  <c r="AD225" i="11"/>
  <c r="X225" i="11"/>
  <c r="R225" i="11"/>
  <c r="S225" i="11" s="1"/>
  <c r="AT225" i="11"/>
  <c r="V225" i="11"/>
  <c r="AW22" i="11"/>
  <c r="AD22" i="11"/>
  <c r="X22" i="11"/>
  <c r="R22" i="11"/>
  <c r="S22" i="11" s="1"/>
  <c r="AT22" i="11"/>
  <c r="V22" i="11"/>
  <c r="AW43" i="11"/>
  <c r="AD43" i="11"/>
  <c r="X43" i="11"/>
  <c r="R43" i="11"/>
  <c r="S43" i="11" s="1"/>
  <c r="AT43" i="11"/>
  <c r="V43" i="11"/>
  <c r="AW108" i="11"/>
  <c r="AD108" i="11"/>
  <c r="X108" i="11"/>
  <c r="R108" i="11"/>
  <c r="S108" i="11" s="1"/>
  <c r="AT108" i="11"/>
  <c r="V108" i="11"/>
  <c r="AT154" i="11"/>
  <c r="AD154" i="11"/>
  <c r="X154" i="11"/>
  <c r="R154" i="11"/>
  <c r="S154" i="11" s="1"/>
  <c r="AW154" i="11"/>
  <c r="V154" i="11"/>
  <c r="AT162" i="11"/>
  <c r="AD162" i="11"/>
  <c r="X162" i="11"/>
  <c r="R162" i="11"/>
  <c r="S162" i="11" s="1"/>
  <c r="AW162" i="11"/>
  <c r="V162" i="11"/>
  <c r="AT185" i="11"/>
  <c r="AD185" i="11"/>
  <c r="X185" i="11"/>
  <c r="R185" i="11"/>
  <c r="S185" i="11" s="1"/>
  <c r="AW185" i="11"/>
  <c r="V185" i="11"/>
  <c r="AT204" i="11"/>
  <c r="AD204" i="11"/>
  <c r="X204" i="11"/>
  <c r="R204" i="11"/>
  <c r="S204" i="11" s="1"/>
  <c r="AW204" i="11"/>
  <c r="V204" i="11"/>
  <c r="AT252" i="11"/>
  <c r="AD252" i="11"/>
  <c r="X252" i="11"/>
  <c r="R252" i="11"/>
  <c r="S252" i="11" s="1"/>
  <c r="AW252" i="11"/>
  <c r="V252" i="11"/>
  <c r="AT261" i="11"/>
  <c r="AD261" i="11"/>
  <c r="X261" i="11"/>
  <c r="R261" i="11"/>
  <c r="S261" i="11" s="1"/>
  <c r="AW261" i="11"/>
  <c r="V261" i="11"/>
  <c r="AW312" i="11"/>
  <c r="AD312" i="11"/>
  <c r="X312" i="11"/>
  <c r="R312" i="11"/>
  <c r="S312" i="11" s="1"/>
  <c r="AT312" i="11"/>
  <c r="V312" i="11"/>
  <c r="Q141" i="11"/>
  <c r="T141" i="11" s="1"/>
  <c r="AW101" i="11"/>
  <c r="V101" i="11"/>
  <c r="AT101" i="11"/>
  <c r="AD101" i="11"/>
  <c r="X101" i="11"/>
  <c r="R101" i="11"/>
  <c r="S101" i="11" s="1"/>
  <c r="AW167" i="11"/>
  <c r="V167" i="11"/>
  <c r="AT167" i="11"/>
  <c r="AD167" i="11"/>
  <c r="X167" i="11"/>
  <c r="R167" i="11"/>
  <c r="S167" i="11" s="1"/>
  <c r="AT89" i="11"/>
  <c r="V89" i="11"/>
  <c r="AD89" i="11"/>
  <c r="X89" i="11"/>
  <c r="R89" i="11"/>
  <c r="S89" i="11" s="1"/>
  <c r="AW89" i="11"/>
  <c r="AT84" i="11"/>
  <c r="V84" i="11"/>
  <c r="AD84" i="11"/>
  <c r="X84" i="11"/>
  <c r="R84" i="11"/>
  <c r="S84" i="11" s="1"/>
  <c r="AW84" i="11"/>
  <c r="AW189" i="11"/>
  <c r="V189" i="11"/>
  <c r="AT189" i="11"/>
  <c r="AD189" i="11"/>
  <c r="X189" i="11"/>
  <c r="R189" i="11"/>
  <c r="S189" i="11" s="1"/>
  <c r="AW193" i="11"/>
  <c r="V193" i="11"/>
  <c r="AT193" i="11"/>
  <c r="AD193" i="11"/>
  <c r="X193" i="11"/>
  <c r="R193" i="11"/>
  <c r="S193" i="11" s="1"/>
  <c r="AW271" i="11"/>
  <c r="V271" i="11"/>
  <c r="AT271" i="11"/>
  <c r="AD271" i="11"/>
  <c r="X271" i="11"/>
  <c r="R271" i="11"/>
  <c r="S271" i="11" s="1"/>
  <c r="AW275" i="11"/>
  <c r="V275" i="11"/>
  <c r="AT275" i="11"/>
  <c r="AD275" i="11"/>
  <c r="X275" i="11"/>
  <c r="R275" i="11"/>
  <c r="S275" i="11" s="1"/>
  <c r="AW279" i="11"/>
  <c r="V279" i="11"/>
  <c r="AT279" i="11"/>
  <c r="AD279" i="11"/>
  <c r="X279" i="11"/>
  <c r="R279" i="11"/>
  <c r="S279" i="11" s="1"/>
  <c r="AW283" i="11"/>
  <c r="V283" i="11"/>
  <c r="AT283" i="11"/>
  <c r="AD283" i="11"/>
  <c r="X283" i="11"/>
  <c r="R283" i="11"/>
  <c r="S283" i="11" s="1"/>
  <c r="AW287" i="11"/>
  <c r="V287" i="11"/>
  <c r="AT287" i="11"/>
  <c r="AD287" i="11"/>
  <c r="X287" i="11"/>
  <c r="R287" i="11"/>
  <c r="S287" i="11" s="1"/>
  <c r="AW120" i="11"/>
  <c r="V120" i="11"/>
  <c r="AT120" i="11"/>
  <c r="AD120" i="11"/>
  <c r="X120" i="11"/>
  <c r="R120" i="11"/>
  <c r="S120" i="11" s="1"/>
  <c r="AW270" i="11"/>
  <c r="V270" i="11"/>
  <c r="AT270" i="11"/>
  <c r="AD270" i="11"/>
  <c r="X270" i="11"/>
  <c r="R270" i="11"/>
  <c r="S270" i="11" s="1"/>
  <c r="AW274" i="11"/>
  <c r="V274" i="11"/>
  <c r="AT274" i="11"/>
  <c r="AD274" i="11"/>
  <c r="X274" i="11"/>
  <c r="R274" i="11"/>
  <c r="S274" i="11" s="1"/>
  <c r="AW278" i="11"/>
  <c r="V278" i="11"/>
  <c r="AT278" i="11"/>
  <c r="AD278" i="11"/>
  <c r="X278" i="11"/>
  <c r="R278" i="11"/>
  <c r="S278" i="11" s="1"/>
  <c r="AW282" i="11"/>
  <c r="V282" i="11"/>
  <c r="AT282" i="11"/>
  <c r="AD282" i="11"/>
  <c r="X282" i="11"/>
  <c r="R282" i="11"/>
  <c r="S282" i="11" s="1"/>
  <c r="AW286" i="11"/>
  <c r="V286" i="11"/>
  <c r="AT286" i="11"/>
  <c r="AD286" i="11"/>
  <c r="X286" i="11"/>
  <c r="R286" i="11"/>
  <c r="S286" i="11" s="1"/>
  <c r="AW256" i="11"/>
  <c r="V256" i="11"/>
  <c r="AT256" i="11"/>
  <c r="AD256" i="11"/>
  <c r="X256" i="11"/>
  <c r="R256" i="11"/>
  <c r="S256" i="11" s="1"/>
  <c r="AT260" i="11"/>
  <c r="AD260" i="11"/>
  <c r="X260" i="11"/>
  <c r="AW260" i="11"/>
  <c r="R260" i="11"/>
  <c r="S260" i="11" s="1"/>
  <c r="AT299" i="11"/>
  <c r="AD299" i="11"/>
  <c r="X299" i="11"/>
  <c r="AW299" i="11"/>
  <c r="R299" i="11"/>
  <c r="S299" i="11" s="1"/>
  <c r="Q212" i="11"/>
  <c r="T212" i="11" s="1"/>
  <c r="F31" i="10"/>
  <c r="G14" i="10"/>
  <c r="U23" i="12" l="1"/>
  <c r="I23" i="13" s="1"/>
  <c r="H23" i="13"/>
  <c r="AT234" i="11"/>
  <c r="V234" i="11"/>
  <c r="AW234" i="11"/>
  <c r="AD234" i="11"/>
  <c r="X234" i="11"/>
  <c r="R234" i="11"/>
  <c r="S234" i="11" s="1"/>
  <c r="AT141" i="11"/>
  <c r="AD141" i="11"/>
  <c r="X141" i="11"/>
  <c r="R141" i="11"/>
  <c r="S141" i="11" s="1"/>
  <c r="AW141" i="11"/>
  <c r="V141" i="11"/>
  <c r="T372" i="11"/>
  <c r="S8" i="11"/>
  <c r="AW133" i="11"/>
  <c r="AD133" i="11"/>
  <c r="X133" i="11"/>
  <c r="R133" i="11"/>
  <c r="S133" i="11" s="1"/>
  <c r="AT133" i="11"/>
  <c r="V133" i="11"/>
  <c r="AT67" i="11"/>
  <c r="AD67" i="11"/>
  <c r="X67" i="11"/>
  <c r="R67" i="11"/>
  <c r="S67" i="11" s="1"/>
  <c r="AW67" i="11"/>
  <c r="V67" i="11"/>
  <c r="AW212" i="11"/>
  <c r="V212" i="11"/>
  <c r="AT212" i="11"/>
  <c r="AD212" i="11"/>
  <c r="X212" i="11"/>
  <c r="R212" i="11"/>
  <c r="S212" i="11" s="1"/>
  <c r="H14" i="10"/>
  <c r="G31" i="10"/>
  <c r="AD366" i="11" l="1"/>
  <c r="T374" i="11"/>
  <c r="X372" i="11"/>
  <c r="Y383" i="11"/>
  <c r="T376" i="11"/>
  <c r="X373" i="11"/>
  <c r="S372" i="11"/>
  <c r="R372" i="11"/>
  <c r="H31" i="10"/>
  <c r="I14" i="10"/>
  <c r="I31" i="10" s="1"/>
  <c r="W372" i="11" l="1"/>
  <c r="AC377" i="9" l="1"/>
  <c r="AA377" i="9"/>
  <c r="AX366" i="9"/>
  <c r="AT366" i="9"/>
  <c r="AS366" i="9"/>
  <c r="AG366" i="9"/>
  <c r="AF366" i="9"/>
  <c r="Y366" i="9"/>
  <c r="W366" i="9"/>
  <c r="W368" i="9" s="1"/>
  <c r="AY364" i="9"/>
  <c r="AU364" i="9"/>
  <c r="AQ364" i="9"/>
  <c r="AN364" i="9"/>
  <c r="AA364" i="9"/>
  <c r="F364" i="9"/>
  <c r="H364" i="9" s="1"/>
  <c r="AY363" i="9"/>
  <c r="AU363" i="9"/>
  <c r="AN363" i="9"/>
  <c r="AA363" i="9"/>
  <c r="F363" i="9"/>
  <c r="H363" i="9" s="1"/>
  <c r="AY362" i="9"/>
  <c r="AU362" i="9"/>
  <c r="AQ362" i="9"/>
  <c r="AN362" i="9"/>
  <c r="AA362" i="9"/>
  <c r="H362" i="9"/>
  <c r="F362" i="9"/>
  <c r="AY361" i="9"/>
  <c r="T361" i="9"/>
  <c r="J361" i="9"/>
  <c r="F361" i="9"/>
  <c r="AY360" i="9"/>
  <c r="AU360" i="9"/>
  <c r="AN360" i="9"/>
  <c r="AA360" i="9"/>
  <c r="O360" i="9"/>
  <c r="F360" i="9"/>
  <c r="AY359" i="9"/>
  <c r="AU359" i="9"/>
  <c r="AN359" i="9"/>
  <c r="AA359" i="9"/>
  <c r="H359" i="9"/>
  <c r="F359" i="9"/>
  <c r="AY358" i="9"/>
  <c r="P358" i="9"/>
  <c r="F358" i="9"/>
  <c r="AY357" i="9"/>
  <c r="AU357" i="9"/>
  <c r="AQ357" i="9"/>
  <c r="AN357" i="9"/>
  <c r="AA357" i="9"/>
  <c r="F357" i="9"/>
  <c r="AY356" i="9"/>
  <c r="AU356" i="9"/>
  <c r="AN356" i="9"/>
  <c r="AA356" i="9"/>
  <c r="F356" i="9"/>
  <c r="H356" i="9" s="1"/>
  <c r="AY355" i="9"/>
  <c r="AU355" i="9"/>
  <c r="AQ355" i="9"/>
  <c r="AN355" i="9"/>
  <c r="AA355" i="9"/>
  <c r="H355" i="9"/>
  <c r="F355" i="9"/>
  <c r="AY354" i="9"/>
  <c r="AU354" i="9"/>
  <c r="AQ354" i="9"/>
  <c r="AN354" i="9"/>
  <c r="AA354" i="9"/>
  <c r="F354" i="9"/>
  <c r="H354" i="9" s="1"/>
  <c r="AY353" i="9"/>
  <c r="AU353" i="9"/>
  <c r="AN353" i="9"/>
  <c r="AA353" i="9"/>
  <c r="F353" i="9"/>
  <c r="H353" i="9" s="1"/>
  <c r="AY352" i="9"/>
  <c r="AU352" i="9"/>
  <c r="AN352" i="9"/>
  <c r="AA352" i="9"/>
  <c r="F352" i="9"/>
  <c r="H352" i="9" s="1"/>
  <c r="AY351" i="9"/>
  <c r="AU351" i="9"/>
  <c r="AN351" i="9"/>
  <c r="AA351" i="9"/>
  <c r="O351" i="9"/>
  <c r="F351" i="9"/>
  <c r="H351" i="9" s="1"/>
  <c r="AY350" i="9"/>
  <c r="AU350" i="9"/>
  <c r="AN350" i="9"/>
  <c r="AA350" i="9"/>
  <c r="O350" i="9"/>
  <c r="F350" i="9"/>
  <c r="H350" i="9" s="1"/>
  <c r="AY349" i="9"/>
  <c r="AU349" i="9"/>
  <c r="AN349" i="9"/>
  <c r="AA349" i="9"/>
  <c r="O349" i="9"/>
  <c r="F349" i="9"/>
  <c r="H349" i="9" s="1"/>
  <c r="AY348" i="9"/>
  <c r="AU348" i="9"/>
  <c r="AN348" i="9"/>
  <c r="AA348" i="9"/>
  <c r="O348" i="9"/>
  <c r="F348" i="9"/>
  <c r="H348" i="9" s="1"/>
  <c r="M346" i="9"/>
  <c r="O346" i="9" s="1"/>
  <c r="L346" i="9"/>
  <c r="M345" i="9"/>
  <c r="O345" i="9" s="1"/>
  <c r="L345" i="9"/>
  <c r="M344" i="9"/>
  <c r="O344" i="9" s="1"/>
  <c r="L344" i="9"/>
  <c r="AY343" i="9"/>
  <c r="AU343" i="9"/>
  <c r="AN343" i="9"/>
  <c r="AA343" i="9"/>
  <c r="H343" i="9"/>
  <c r="F343" i="9"/>
  <c r="AY342" i="9"/>
  <c r="T342" i="9"/>
  <c r="S342" i="9"/>
  <c r="R342" i="9"/>
  <c r="F342" i="9"/>
  <c r="H342" i="9" s="1"/>
  <c r="AY341" i="9"/>
  <c r="AU341" i="9"/>
  <c r="AN341" i="9"/>
  <c r="AA341" i="9"/>
  <c r="F341" i="9"/>
  <c r="AY340" i="9"/>
  <c r="AU340" i="9"/>
  <c r="AQ340" i="9"/>
  <c r="AN340" i="9"/>
  <c r="AA340" i="9"/>
  <c r="F340" i="9"/>
  <c r="H340" i="9" s="1"/>
  <c r="AY339" i="9"/>
  <c r="AU339" i="9"/>
  <c r="AQ339" i="9"/>
  <c r="AN339" i="9"/>
  <c r="AA339" i="9"/>
  <c r="F339" i="9"/>
  <c r="H339" i="9" s="1"/>
  <c r="AY337" i="9"/>
  <c r="AU337" i="9"/>
  <c r="AQ337" i="9"/>
  <c r="AN337" i="9"/>
  <c r="AA337" i="9"/>
  <c r="F337" i="9"/>
  <c r="H337" i="9" s="1"/>
  <c r="AY336" i="9"/>
  <c r="AU336" i="9"/>
  <c r="AQ336" i="9"/>
  <c r="AN336" i="9"/>
  <c r="AA336" i="9"/>
  <c r="F336" i="9"/>
  <c r="H336" i="9" s="1"/>
  <c r="M335" i="9"/>
  <c r="O335" i="9" s="1"/>
  <c r="O334" i="9" s="1"/>
  <c r="L335" i="9"/>
  <c r="AY334" i="9"/>
  <c r="AU334" i="9"/>
  <c r="AQ334" i="9"/>
  <c r="AN334" i="9"/>
  <c r="AA334" i="9"/>
  <c r="F334" i="9"/>
  <c r="H334" i="9" s="1"/>
  <c r="M333" i="9"/>
  <c r="O333" i="9" s="1"/>
  <c r="O332" i="9" s="1"/>
  <c r="L333" i="9"/>
  <c r="AY332" i="9"/>
  <c r="AU332" i="9"/>
  <c r="AQ332" i="9"/>
  <c r="AN332" i="9"/>
  <c r="AA332" i="9"/>
  <c r="F332" i="9"/>
  <c r="H332" i="9" s="1"/>
  <c r="AY331" i="9"/>
  <c r="AU331" i="9"/>
  <c r="AQ331" i="9"/>
  <c r="AN331" i="9"/>
  <c r="AA331" i="9"/>
  <c r="F331" i="9"/>
  <c r="H331" i="9" s="1"/>
  <c r="M330" i="9"/>
  <c r="O330" i="9" s="1"/>
  <c r="L330" i="9"/>
  <c r="O329" i="9"/>
  <c r="M329" i="9"/>
  <c r="L329" i="9"/>
  <c r="M328" i="9"/>
  <c r="O328" i="9" s="1"/>
  <c r="L328" i="9"/>
  <c r="M327" i="9"/>
  <c r="O327" i="9" s="1"/>
  <c r="O326" i="9" s="1"/>
  <c r="L327" i="9"/>
  <c r="AY326" i="9"/>
  <c r="AU326" i="9"/>
  <c r="AQ326" i="9"/>
  <c r="AN326" i="9"/>
  <c r="AA326" i="9"/>
  <c r="F326" i="9"/>
  <c r="H326" i="9" s="1"/>
  <c r="M325" i="9"/>
  <c r="O325" i="9" s="1"/>
  <c r="O323" i="9" s="1"/>
  <c r="L325" i="9"/>
  <c r="T324" i="9"/>
  <c r="F324" i="9"/>
  <c r="AY323" i="9"/>
  <c r="AU323" i="9"/>
  <c r="AN323" i="9"/>
  <c r="AA323" i="9"/>
  <c r="F323" i="9"/>
  <c r="H323" i="9" s="1"/>
  <c r="M322" i="9"/>
  <c r="O322" i="9" s="1"/>
  <c r="L322" i="9"/>
  <c r="T321" i="9"/>
  <c r="F321" i="9"/>
  <c r="AY320" i="9"/>
  <c r="AU320" i="9"/>
  <c r="AN320" i="9"/>
  <c r="AA320" i="9"/>
  <c r="O320" i="9"/>
  <c r="F320" i="9"/>
  <c r="H320" i="9" s="1"/>
  <c r="M319" i="9"/>
  <c r="O319" i="9" s="1"/>
  <c r="L319" i="9"/>
  <c r="M318" i="9"/>
  <c r="O318" i="9" s="1"/>
  <c r="L318" i="9"/>
  <c r="M317" i="9"/>
  <c r="O317" i="9" s="1"/>
  <c r="L317" i="9"/>
  <c r="M316" i="9"/>
  <c r="O316" i="9" s="1"/>
  <c r="L316" i="9"/>
  <c r="M315" i="9"/>
  <c r="O315" i="9" s="1"/>
  <c r="L315" i="9"/>
  <c r="O314" i="9"/>
  <c r="M314" i="9"/>
  <c r="L314" i="9"/>
  <c r="T313" i="9"/>
  <c r="F313" i="9"/>
  <c r="AY312" i="9"/>
  <c r="AU312" i="9"/>
  <c r="AN312" i="9"/>
  <c r="AA312" i="9"/>
  <c r="F312" i="9"/>
  <c r="M311" i="9"/>
  <c r="O311" i="9" s="1"/>
  <c r="L311" i="9"/>
  <c r="O310" i="9"/>
  <c r="M310" i="9"/>
  <c r="L310" i="9"/>
  <c r="M309" i="9"/>
  <c r="O309" i="9" s="1"/>
  <c r="L309" i="9"/>
  <c r="O308" i="9"/>
  <c r="M308" i="9"/>
  <c r="L308" i="9"/>
  <c r="M307" i="9"/>
  <c r="O307" i="9" s="1"/>
  <c r="L307" i="9"/>
  <c r="M306" i="9"/>
  <c r="O306" i="9" s="1"/>
  <c r="L306" i="9"/>
  <c r="T305" i="9"/>
  <c r="F305" i="9"/>
  <c r="AY304" i="9"/>
  <c r="AU304" i="9"/>
  <c r="AN304" i="9"/>
  <c r="AA304" i="9"/>
  <c r="F304" i="9"/>
  <c r="H304" i="9" s="1"/>
  <c r="M303" i="9"/>
  <c r="O303" i="9" s="1"/>
  <c r="L303" i="9"/>
  <c r="M302" i="9"/>
  <c r="O302" i="9" s="1"/>
  <c r="L302" i="9"/>
  <c r="O301" i="9"/>
  <c r="M301" i="9"/>
  <c r="L301" i="9"/>
  <c r="M300" i="9"/>
  <c r="O300" i="9" s="1"/>
  <c r="AY299" i="9"/>
  <c r="AU299" i="9"/>
  <c r="AQ299" i="9"/>
  <c r="AN299" i="9"/>
  <c r="AA299" i="9"/>
  <c r="F299" i="9"/>
  <c r="H299" i="9" s="1"/>
  <c r="M298" i="9"/>
  <c r="O298" i="9" s="1"/>
  <c r="L298" i="9"/>
  <c r="O297" i="9"/>
  <c r="M297" i="9"/>
  <c r="L297" i="9"/>
  <c r="M296" i="9"/>
  <c r="O296" i="9" s="1"/>
  <c r="L296" i="9"/>
  <c r="AY295" i="9"/>
  <c r="AU295" i="9"/>
  <c r="AQ295" i="9"/>
  <c r="AN295" i="9"/>
  <c r="AA295" i="9"/>
  <c r="F295" i="9"/>
  <c r="H295" i="9" s="1"/>
  <c r="AY293" i="9"/>
  <c r="AU293" i="9"/>
  <c r="AN293" i="9"/>
  <c r="AA293" i="9"/>
  <c r="F293" i="9"/>
  <c r="H293" i="9" s="1"/>
  <c r="AY292" i="9"/>
  <c r="AU292" i="9"/>
  <c r="AN292" i="9"/>
  <c r="AA292" i="9"/>
  <c r="F292" i="9"/>
  <c r="H292" i="9" s="1"/>
  <c r="AY291" i="9"/>
  <c r="AU291" i="9"/>
  <c r="AN291" i="9"/>
  <c r="AA291" i="9"/>
  <c r="F291" i="9"/>
  <c r="H291" i="9" s="1"/>
  <c r="AY290" i="9"/>
  <c r="AU290" i="9"/>
  <c r="AN290" i="9"/>
  <c r="AA290" i="9"/>
  <c r="F290" i="9"/>
  <c r="H290" i="9" s="1"/>
  <c r="AY289" i="9"/>
  <c r="AU289" i="9"/>
  <c r="AN289" i="9"/>
  <c r="AA289" i="9"/>
  <c r="F289" i="9"/>
  <c r="H289" i="9" s="1"/>
  <c r="AY288" i="9"/>
  <c r="AU288" i="9"/>
  <c r="AN288" i="9"/>
  <c r="AA288" i="9"/>
  <c r="F288" i="9"/>
  <c r="H288" i="9" s="1"/>
  <c r="AY287" i="9"/>
  <c r="AU287" i="9"/>
  <c r="AQ287" i="9"/>
  <c r="AN287" i="9"/>
  <c r="AA287" i="9"/>
  <c r="F287" i="9"/>
  <c r="H287" i="9" s="1"/>
  <c r="AY286" i="9"/>
  <c r="AU286" i="9"/>
  <c r="AQ286" i="9"/>
  <c r="AN286" i="9"/>
  <c r="AA286" i="9"/>
  <c r="F286" i="9"/>
  <c r="H286" i="9" s="1"/>
  <c r="AY285" i="9"/>
  <c r="AU285" i="9"/>
  <c r="AQ285" i="9"/>
  <c r="AN285" i="9"/>
  <c r="AA285" i="9"/>
  <c r="F285" i="9"/>
  <c r="H285" i="9" s="1"/>
  <c r="AY284" i="9"/>
  <c r="AU284" i="9"/>
  <c r="AQ284" i="9"/>
  <c r="AN284" i="9"/>
  <c r="AA284" i="9"/>
  <c r="F284" i="9"/>
  <c r="H284" i="9" s="1"/>
  <c r="AY283" i="9"/>
  <c r="AU283" i="9"/>
  <c r="AQ283" i="9"/>
  <c r="AN283" i="9"/>
  <c r="AA283" i="9"/>
  <c r="F283" i="9"/>
  <c r="H283" i="9" s="1"/>
  <c r="AY282" i="9"/>
  <c r="AU282" i="9"/>
  <c r="AQ282" i="9"/>
  <c r="AN282" i="9"/>
  <c r="AA282" i="9"/>
  <c r="F282" i="9"/>
  <c r="H282" i="9" s="1"/>
  <c r="AY281" i="9"/>
  <c r="AU281" i="9"/>
  <c r="AQ281" i="9"/>
  <c r="AN281" i="9"/>
  <c r="AA281" i="9"/>
  <c r="F281" i="9"/>
  <c r="H281" i="9" s="1"/>
  <c r="AY280" i="9"/>
  <c r="AU280" i="9"/>
  <c r="AQ280" i="9"/>
  <c r="AN280" i="9"/>
  <c r="AA280" i="9"/>
  <c r="F280" i="9"/>
  <c r="H280" i="9" s="1"/>
  <c r="AY279" i="9"/>
  <c r="AU279" i="9"/>
  <c r="AQ279" i="9"/>
  <c r="AN279" i="9"/>
  <c r="AA279" i="9"/>
  <c r="F279" i="9"/>
  <c r="H279" i="9" s="1"/>
  <c r="AY278" i="9"/>
  <c r="AU278" i="9"/>
  <c r="AQ278" i="9"/>
  <c r="AN278" i="9"/>
  <c r="AA278" i="9"/>
  <c r="F278" i="9"/>
  <c r="H278" i="9" s="1"/>
  <c r="AY277" i="9"/>
  <c r="AU277" i="9"/>
  <c r="AQ277" i="9"/>
  <c r="AN277" i="9"/>
  <c r="AA277" i="9"/>
  <c r="F277" i="9"/>
  <c r="H277" i="9" s="1"/>
  <c r="AY276" i="9"/>
  <c r="AU276" i="9"/>
  <c r="AQ276" i="9"/>
  <c r="AN276" i="9"/>
  <c r="AA276" i="9"/>
  <c r="F276" i="9"/>
  <c r="H276" i="9" s="1"/>
  <c r="AY275" i="9"/>
  <c r="AU275" i="9"/>
  <c r="AQ275" i="9"/>
  <c r="AN275" i="9"/>
  <c r="AA275" i="9"/>
  <c r="F275" i="9"/>
  <c r="H275" i="9" s="1"/>
  <c r="AY274" i="9"/>
  <c r="AU274" i="9"/>
  <c r="AQ274" i="9"/>
  <c r="AN274" i="9"/>
  <c r="AA274" i="9"/>
  <c r="F274" i="9"/>
  <c r="H274" i="9" s="1"/>
  <c r="AY273" i="9"/>
  <c r="AU273" i="9"/>
  <c r="AQ273" i="9"/>
  <c r="AN273" i="9"/>
  <c r="AA273" i="9"/>
  <c r="F273" i="9"/>
  <c r="H273" i="9" s="1"/>
  <c r="AY272" i="9"/>
  <c r="AU272" i="9"/>
  <c r="AQ272" i="9"/>
  <c r="AN272" i="9"/>
  <c r="AA272" i="9"/>
  <c r="F272" i="9"/>
  <c r="H272" i="9" s="1"/>
  <c r="AY271" i="9"/>
  <c r="AU271" i="9"/>
  <c r="AQ271" i="9"/>
  <c r="AN271" i="9"/>
  <c r="AA271" i="9"/>
  <c r="F271" i="9"/>
  <c r="H271" i="9" s="1"/>
  <c r="AY270" i="9"/>
  <c r="AU270" i="9"/>
  <c r="AQ270" i="9"/>
  <c r="AN270" i="9"/>
  <c r="AA270" i="9"/>
  <c r="F270" i="9"/>
  <c r="H270" i="9" s="1"/>
  <c r="AY269" i="9"/>
  <c r="AU269" i="9"/>
  <c r="AQ269" i="9"/>
  <c r="AN269" i="9"/>
  <c r="AA269" i="9"/>
  <c r="F269" i="9"/>
  <c r="H269" i="9" s="1"/>
  <c r="AY268" i="9"/>
  <c r="AU268" i="9"/>
  <c r="AQ268" i="9"/>
  <c r="AN268" i="9"/>
  <c r="AA268" i="9"/>
  <c r="F268" i="9"/>
  <c r="H268" i="9" s="1"/>
  <c r="AY267" i="9"/>
  <c r="AU267" i="9"/>
  <c r="AQ267" i="9"/>
  <c r="AN267" i="9"/>
  <c r="AA267" i="9"/>
  <c r="F267" i="9"/>
  <c r="H267" i="9" s="1"/>
  <c r="AY266" i="9"/>
  <c r="AU266" i="9"/>
  <c r="AQ266" i="9"/>
  <c r="AN266" i="9"/>
  <c r="AA266" i="9"/>
  <c r="F266" i="9"/>
  <c r="H266" i="9" s="1"/>
  <c r="AY265" i="9"/>
  <c r="AU265" i="9"/>
  <c r="AQ265" i="9"/>
  <c r="AN265" i="9"/>
  <c r="AA265" i="9"/>
  <c r="F265" i="9"/>
  <c r="H265" i="9" s="1"/>
  <c r="AY264" i="9"/>
  <c r="AU264" i="9"/>
  <c r="AQ264" i="9"/>
  <c r="AN264" i="9"/>
  <c r="AA264" i="9"/>
  <c r="F264" i="9"/>
  <c r="H264" i="9" s="1"/>
  <c r="AY263" i="9"/>
  <c r="AU263" i="9"/>
  <c r="AQ263" i="9"/>
  <c r="AN263" i="9"/>
  <c r="AA263" i="9"/>
  <c r="F263" i="9"/>
  <c r="H263" i="9" s="1"/>
  <c r="AY262" i="9"/>
  <c r="AU262" i="9"/>
  <c r="AQ262" i="9"/>
  <c r="AN262" i="9"/>
  <c r="AA262" i="9"/>
  <c r="H262" i="9"/>
  <c r="F262" i="9"/>
  <c r="AY261" i="9"/>
  <c r="AU261" i="9"/>
  <c r="AQ261" i="9"/>
  <c r="AN261" i="9"/>
  <c r="AA261" i="9"/>
  <c r="F261" i="9"/>
  <c r="H261" i="9" s="1"/>
  <c r="AY260" i="9"/>
  <c r="AU260" i="9"/>
  <c r="AQ260" i="9"/>
  <c r="AN260" i="9"/>
  <c r="AA260" i="9"/>
  <c r="F260" i="9"/>
  <c r="H260" i="9" s="1"/>
  <c r="AY259" i="9"/>
  <c r="AU259" i="9"/>
  <c r="AQ259" i="9"/>
  <c r="AN259" i="9"/>
  <c r="AA259" i="9"/>
  <c r="F259" i="9"/>
  <c r="H259" i="9" s="1"/>
  <c r="AY258" i="9"/>
  <c r="AU258" i="9"/>
  <c r="AQ258" i="9"/>
  <c r="AN258" i="9"/>
  <c r="AA258" i="9"/>
  <c r="F258" i="9"/>
  <c r="H258" i="9" s="1"/>
  <c r="AY257" i="9"/>
  <c r="AU257" i="9"/>
  <c r="AQ257" i="9"/>
  <c r="AN257" i="9"/>
  <c r="AA257" i="9"/>
  <c r="F257" i="9"/>
  <c r="H257" i="9" s="1"/>
  <c r="AY256" i="9"/>
  <c r="AU256" i="9"/>
  <c r="AQ256" i="9"/>
  <c r="AN256" i="9"/>
  <c r="AA256" i="9"/>
  <c r="F256" i="9"/>
  <c r="H256" i="9" s="1"/>
  <c r="AY255" i="9"/>
  <c r="AU255" i="9"/>
  <c r="AQ255" i="9"/>
  <c r="AN255" i="9"/>
  <c r="AA255" i="9"/>
  <c r="G255" i="9"/>
  <c r="F255" i="9"/>
  <c r="AY254" i="9"/>
  <c r="AU254" i="9"/>
  <c r="AQ254" i="9"/>
  <c r="AN254" i="9"/>
  <c r="AA254" i="9"/>
  <c r="F254" i="9"/>
  <c r="H254" i="9" s="1"/>
  <c r="AY253" i="9"/>
  <c r="AU253" i="9"/>
  <c r="AQ253" i="9"/>
  <c r="AN253" i="9"/>
  <c r="AA253" i="9"/>
  <c r="H253" i="9"/>
  <c r="F253" i="9"/>
  <c r="AY252" i="9"/>
  <c r="AU252" i="9"/>
  <c r="AQ252" i="9"/>
  <c r="AN252" i="9"/>
  <c r="AA252" i="9"/>
  <c r="F252" i="9"/>
  <c r="H252" i="9" s="1"/>
  <c r="AY251" i="9"/>
  <c r="AU251" i="9"/>
  <c r="AQ251" i="9"/>
  <c r="AN251" i="9"/>
  <c r="AA251" i="9"/>
  <c r="H251" i="9"/>
  <c r="F251" i="9"/>
  <c r="AY250" i="9"/>
  <c r="AU250" i="9"/>
  <c r="AQ250" i="9"/>
  <c r="AN250" i="9"/>
  <c r="AA250" i="9"/>
  <c r="F250" i="9"/>
  <c r="H250" i="9" s="1"/>
  <c r="AY249" i="9"/>
  <c r="AU249" i="9"/>
  <c r="AQ249" i="9"/>
  <c r="AN249" i="9"/>
  <c r="AA249" i="9"/>
  <c r="H249" i="9"/>
  <c r="F249" i="9"/>
  <c r="AY248" i="9"/>
  <c r="AU248" i="9"/>
  <c r="AQ248" i="9"/>
  <c r="AN248" i="9"/>
  <c r="AA248" i="9"/>
  <c r="F248" i="9"/>
  <c r="H248" i="9" s="1"/>
  <c r="AY247" i="9"/>
  <c r="AU247" i="9"/>
  <c r="AQ247" i="9"/>
  <c r="AN247" i="9"/>
  <c r="AA247" i="9"/>
  <c r="H247" i="9"/>
  <c r="F247" i="9"/>
  <c r="AY246" i="9"/>
  <c r="AU246" i="9"/>
  <c r="AQ246" i="9"/>
  <c r="AN246" i="9"/>
  <c r="AA246" i="9"/>
  <c r="F246" i="9"/>
  <c r="H246" i="9" s="1"/>
  <c r="AY245" i="9"/>
  <c r="AU245" i="9"/>
  <c r="AQ245" i="9"/>
  <c r="AN245" i="9"/>
  <c r="AA245" i="9"/>
  <c r="F245" i="9"/>
  <c r="H245" i="9" s="1"/>
  <c r="AY244" i="9"/>
  <c r="AU244" i="9"/>
  <c r="AQ244" i="9"/>
  <c r="AN244" i="9"/>
  <c r="AA244" i="9"/>
  <c r="F244" i="9"/>
  <c r="H244" i="9" s="1"/>
  <c r="AY243" i="9"/>
  <c r="AU243" i="9"/>
  <c r="AQ243" i="9"/>
  <c r="AN243" i="9"/>
  <c r="AA243" i="9"/>
  <c r="F243" i="9"/>
  <c r="H243" i="9" s="1"/>
  <c r="M242" i="9"/>
  <c r="O242" i="9" s="1"/>
  <c r="L242" i="9"/>
  <c r="M241" i="9"/>
  <c r="O241" i="9" s="1"/>
  <c r="L241" i="9"/>
  <c r="M240" i="9"/>
  <c r="O240" i="9" s="1"/>
  <c r="L240" i="9"/>
  <c r="O239" i="9"/>
  <c r="M239" i="9"/>
  <c r="L239" i="9"/>
  <c r="M238" i="9"/>
  <c r="O238" i="9" s="1"/>
  <c r="L238" i="9"/>
  <c r="M237" i="9"/>
  <c r="O237" i="9" s="1"/>
  <c r="L237" i="9"/>
  <c r="M236" i="9"/>
  <c r="O236" i="9" s="1"/>
  <c r="L236" i="9"/>
  <c r="T235" i="9"/>
  <c r="R235" i="9" s="1"/>
  <c r="S235" i="9" s="1"/>
  <c r="F235" i="9"/>
  <c r="H235" i="9" s="1"/>
  <c r="AY234" i="9"/>
  <c r="AU234" i="9"/>
  <c r="AN234" i="9"/>
  <c r="AA234" i="9"/>
  <c r="G234" i="9"/>
  <c r="F234" i="9"/>
  <c r="H234" i="9" s="1"/>
  <c r="M233" i="9"/>
  <c r="O233" i="9" s="1"/>
  <c r="L233" i="9"/>
  <c r="M232" i="9"/>
  <c r="O232" i="9" s="1"/>
  <c r="L232" i="9"/>
  <c r="O231" i="9"/>
  <c r="M231" i="9"/>
  <c r="L231" i="9"/>
  <c r="M230" i="9"/>
  <c r="O230" i="9" s="1"/>
  <c r="L230" i="9"/>
  <c r="M229" i="9"/>
  <c r="O229" i="9" s="1"/>
  <c r="L229" i="9"/>
  <c r="M228" i="9"/>
  <c r="O228" i="9" s="1"/>
  <c r="L228" i="9"/>
  <c r="O227" i="9"/>
  <c r="M227" i="9"/>
  <c r="L227" i="9"/>
  <c r="S226" i="9"/>
  <c r="H226" i="9"/>
  <c r="F226" i="9"/>
  <c r="AY225" i="9"/>
  <c r="AU225" i="9"/>
  <c r="AN225" i="9"/>
  <c r="AA225" i="9"/>
  <c r="G225" i="9"/>
  <c r="F225" i="9"/>
  <c r="AY224" i="9"/>
  <c r="AU224" i="9"/>
  <c r="AQ224" i="9"/>
  <c r="AN224" i="9"/>
  <c r="AA224" i="9"/>
  <c r="F224" i="9"/>
  <c r="H224" i="9" s="1"/>
  <c r="M223" i="9"/>
  <c r="O223" i="9" s="1"/>
  <c r="L223" i="9"/>
  <c r="O222" i="9"/>
  <c r="M222" i="9"/>
  <c r="L222" i="9"/>
  <c r="M221" i="9"/>
  <c r="O221" i="9" s="1"/>
  <c r="L221" i="9"/>
  <c r="M220" i="9"/>
  <c r="O220" i="9" s="1"/>
  <c r="L220" i="9"/>
  <c r="M219" i="9"/>
  <c r="O219" i="9" s="1"/>
  <c r="L219" i="9"/>
  <c r="AY218" i="9"/>
  <c r="AU218" i="9"/>
  <c r="AQ218" i="9"/>
  <c r="AN218" i="9"/>
  <c r="AA218" i="9"/>
  <c r="F218" i="9"/>
  <c r="H218" i="9" s="1"/>
  <c r="M217" i="9"/>
  <c r="O217" i="9" s="1"/>
  <c r="L217" i="9"/>
  <c r="O216" i="9"/>
  <c r="M216" i="9"/>
  <c r="L216" i="9"/>
  <c r="M215" i="9"/>
  <c r="O215" i="9" s="1"/>
  <c r="L215" i="9"/>
  <c r="M214" i="9"/>
  <c r="O214" i="9" s="1"/>
  <c r="L214" i="9"/>
  <c r="M213" i="9"/>
  <c r="O213" i="9" s="1"/>
  <c r="L213" i="9"/>
  <c r="AY212" i="9"/>
  <c r="AU212" i="9"/>
  <c r="AQ212" i="9"/>
  <c r="AN212" i="9"/>
  <c r="AA212" i="9"/>
  <c r="F212" i="9"/>
  <c r="H212" i="9" s="1"/>
  <c r="M210" i="9"/>
  <c r="O210" i="9" s="1"/>
  <c r="L210" i="9"/>
  <c r="O209" i="9"/>
  <c r="M209" i="9"/>
  <c r="L209" i="9"/>
  <c r="M208" i="9"/>
  <c r="O208" i="9" s="1"/>
  <c r="L208" i="9"/>
  <c r="M207" i="9"/>
  <c r="O207" i="9" s="1"/>
  <c r="L207" i="9"/>
  <c r="M206" i="9"/>
  <c r="O206" i="9" s="1"/>
  <c r="M205" i="9"/>
  <c r="O205" i="9" s="1"/>
  <c r="AY204" i="9"/>
  <c r="AU204" i="9"/>
  <c r="AQ204" i="9"/>
  <c r="AN204" i="9"/>
  <c r="AA204" i="9"/>
  <c r="F204" i="9"/>
  <c r="H204" i="9" s="1"/>
  <c r="M203" i="9"/>
  <c r="O203" i="9" s="1"/>
  <c r="L203" i="9"/>
  <c r="M202" i="9"/>
  <c r="O202" i="9" s="1"/>
  <c r="L202" i="9"/>
  <c r="O201" i="9"/>
  <c r="M201" i="9"/>
  <c r="L201" i="9"/>
  <c r="M200" i="9"/>
  <c r="O200" i="9" s="1"/>
  <c r="L200" i="9"/>
  <c r="AY199" i="9"/>
  <c r="AU199" i="9"/>
  <c r="AQ199" i="9"/>
  <c r="AN199" i="9"/>
  <c r="AA199" i="9"/>
  <c r="F199" i="9"/>
  <c r="H199" i="9" s="1"/>
  <c r="M198" i="9"/>
  <c r="O198" i="9" s="1"/>
  <c r="O197" i="9" s="1"/>
  <c r="AY197" i="9"/>
  <c r="AU197" i="9"/>
  <c r="AN197" i="9"/>
  <c r="AA197" i="9"/>
  <c r="H197" i="9"/>
  <c r="F197" i="9"/>
  <c r="AY196" i="9"/>
  <c r="AU196" i="9"/>
  <c r="AQ196" i="9"/>
  <c r="AN196" i="9"/>
  <c r="AA196" i="9"/>
  <c r="F196" i="9"/>
  <c r="H196" i="9" s="1"/>
  <c r="AY195" i="9"/>
  <c r="AU195" i="9"/>
  <c r="AQ195" i="9"/>
  <c r="AN195" i="9"/>
  <c r="AA195" i="9"/>
  <c r="H195" i="9"/>
  <c r="F195" i="9"/>
  <c r="AY194" i="9"/>
  <c r="AU194" i="9"/>
  <c r="AQ194" i="9"/>
  <c r="AN194" i="9"/>
  <c r="AA194" i="9"/>
  <c r="F194" i="9"/>
  <c r="H194" i="9" s="1"/>
  <c r="AY193" i="9"/>
  <c r="AU193" i="9"/>
  <c r="AQ193" i="9"/>
  <c r="AN193" i="9"/>
  <c r="AA193" i="9"/>
  <c r="H193" i="9"/>
  <c r="F193" i="9"/>
  <c r="AY192" i="9"/>
  <c r="AU192" i="9"/>
  <c r="AQ192" i="9"/>
  <c r="AN192" i="9"/>
  <c r="AA192" i="9"/>
  <c r="F192" i="9"/>
  <c r="H192" i="9" s="1"/>
  <c r="AY191" i="9"/>
  <c r="AU191" i="9"/>
  <c r="AQ191" i="9"/>
  <c r="AN191" i="9"/>
  <c r="AA191" i="9"/>
  <c r="H191" i="9"/>
  <c r="F191" i="9"/>
  <c r="AY190" i="9"/>
  <c r="AU190" i="9"/>
  <c r="AQ190" i="9"/>
  <c r="AN190" i="9"/>
  <c r="AA190" i="9"/>
  <c r="F190" i="9"/>
  <c r="H190" i="9" s="1"/>
  <c r="AY189" i="9"/>
  <c r="AU189" i="9"/>
  <c r="AQ189" i="9"/>
  <c r="AN189" i="9"/>
  <c r="AA189" i="9"/>
  <c r="F189" i="9"/>
  <c r="H189" i="9" s="1"/>
  <c r="M188" i="9"/>
  <c r="O188" i="9" s="1"/>
  <c r="L188" i="9"/>
  <c r="O187" i="9"/>
  <c r="M187" i="9"/>
  <c r="L187" i="9"/>
  <c r="M186" i="9"/>
  <c r="O186" i="9" s="1"/>
  <c r="L186" i="9"/>
  <c r="AY185" i="9"/>
  <c r="AU185" i="9"/>
  <c r="AQ185" i="9"/>
  <c r="AN185" i="9"/>
  <c r="AA185" i="9"/>
  <c r="F185" i="9"/>
  <c r="H185" i="9" s="1"/>
  <c r="AY184" i="9"/>
  <c r="AU184" i="9"/>
  <c r="AQ184" i="9"/>
  <c r="AN184" i="9"/>
  <c r="AA184" i="9"/>
  <c r="F184" i="9"/>
  <c r="H184" i="9" s="1"/>
  <c r="AY183" i="9"/>
  <c r="AU183" i="9"/>
  <c r="AQ183" i="9"/>
  <c r="AN183" i="9"/>
  <c r="AA183" i="9"/>
  <c r="F183" i="9"/>
  <c r="H183" i="9" s="1"/>
  <c r="AY182" i="9"/>
  <c r="AU182" i="9"/>
  <c r="AQ182" i="9"/>
  <c r="AN182" i="9"/>
  <c r="AA182" i="9"/>
  <c r="F182" i="9"/>
  <c r="H182" i="9" s="1"/>
  <c r="AY181" i="9"/>
  <c r="AU181" i="9"/>
  <c r="AQ181" i="9"/>
  <c r="AN181" i="9"/>
  <c r="AA181" i="9"/>
  <c r="F181" i="9"/>
  <c r="H181" i="9" s="1"/>
  <c r="AY180" i="9"/>
  <c r="AU180" i="9"/>
  <c r="AQ180" i="9"/>
  <c r="AN180" i="9"/>
  <c r="AA180" i="9"/>
  <c r="F180" i="9"/>
  <c r="H180" i="9" s="1"/>
  <c r="AY179" i="9"/>
  <c r="AU179" i="9"/>
  <c r="AQ179" i="9"/>
  <c r="AN179" i="9"/>
  <c r="AA179" i="9"/>
  <c r="F179" i="9"/>
  <c r="H179" i="9" s="1"/>
  <c r="AY178" i="9"/>
  <c r="AU178" i="9"/>
  <c r="AQ178" i="9"/>
  <c r="AN178" i="9"/>
  <c r="AA178" i="9"/>
  <c r="F178" i="9"/>
  <c r="H178" i="9" s="1"/>
  <c r="AY177" i="9"/>
  <c r="AU177" i="9"/>
  <c r="AQ177" i="9"/>
  <c r="AN177" i="9"/>
  <c r="AA177" i="9"/>
  <c r="F177" i="9"/>
  <c r="H177" i="9" s="1"/>
  <c r="AY176" i="9"/>
  <c r="AU176" i="9"/>
  <c r="AQ176" i="9"/>
  <c r="AN176" i="9"/>
  <c r="AA176" i="9"/>
  <c r="F176" i="9"/>
  <c r="H176" i="9" s="1"/>
  <c r="AY175" i="9"/>
  <c r="AU175" i="9"/>
  <c r="AQ175" i="9"/>
  <c r="AN175" i="9"/>
  <c r="AA175" i="9"/>
  <c r="F175" i="9"/>
  <c r="H175" i="9" s="1"/>
  <c r="AY174" i="9"/>
  <c r="AU174" i="9"/>
  <c r="AQ174" i="9"/>
  <c r="AN174" i="9"/>
  <c r="AA174" i="9"/>
  <c r="F174" i="9"/>
  <c r="H174" i="9" s="1"/>
  <c r="AY173" i="9"/>
  <c r="AU173" i="9"/>
  <c r="AQ173" i="9"/>
  <c r="AN173" i="9"/>
  <c r="AA173" i="9"/>
  <c r="F173" i="9"/>
  <c r="H173" i="9" s="1"/>
  <c r="AY172" i="9"/>
  <c r="AU172" i="9"/>
  <c r="AQ172" i="9"/>
  <c r="AN172" i="9"/>
  <c r="AA172" i="9"/>
  <c r="F172" i="9"/>
  <c r="H172" i="9" s="1"/>
  <c r="AY171" i="9"/>
  <c r="AU171" i="9"/>
  <c r="AQ171" i="9"/>
  <c r="AN171" i="9"/>
  <c r="AA171" i="9"/>
  <c r="F171" i="9"/>
  <c r="H171" i="9" s="1"/>
  <c r="AY170" i="9"/>
  <c r="AU170" i="9"/>
  <c r="AQ170" i="9"/>
  <c r="AN170" i="9"/>
  <c r="AA170" i="9"/>
  <c r="F170" i="9"/>
  <c r="H170" i="9" s="1"/>
  <c r="AY169" i="9"/>
  <c r="AU169" i="9"/>
  <c r="AQ169" i="9"/>
  <c r="AN169" i="9"/>
  <c r="AA169" i="9"/>
  <c r="F169" i="9"/>
  <c r="H169" i="9" s="1"/>
  <c r="AY168" i="9"/>
  <c r="AU168" i="9"/>
  <c r="AQ168" i="9"/>
  <c r="AN168" i="9"/>
  <c r="AA168" i="9"/>
  <c r="F168" i="9"/>
  <c r="H168" i="9" s="1"/>
  <c r="AY167" i="9"/>
  <c r="AU167" i="9"/>
  <c r="AQ167" i="9"/>
  <c r="AN167" i="9"/>
  <c r="AA167" i="9"/>
  <c r="F167" i="9"/>
  <c r="H167" i="9" s="1"/>
  <c r="AY166" i="9"/>
  <c r="AU166" i="9"/>
  <c r="AQ166" i="9"/>
  <c r="AN166" i="9"/>
  <c r="AA166" i="9"/>
  <c r="F166" i="9"/>
  <c r="H166" i="9" s="1"/>
  <c r="M165" i="9"/>
  <c r="O165" i="9" s="1"/>
  <c r="L165" i="9"/>
  <c r="M164" i="9"/>
  <c r="O164" i="9" s="1"/>
  <c r="L164" i="9"/>
  <c r="M163" i="9"/>
  <c r="O163" i="9" s="1"/>
  <c r="L163" i="9"/>
  <c r="AY162" i="9"/>
  <c r="AU162" i="9"/>
  <c r="AQ162" i="9"/>
  <c r="AN162" i="9"/>
  <c r="AA162" i="9"/>
  <c r="F162" i="9"/>
  <c r="H162" i="9" s="1"/>
  <c r="M161" i="9"/>
  <c r="O161" i="9" s="1"/>
  <c r="L161" i="9"/>
  <c r="O160" i="9"/>
  <c r="M160" i="9"/>
  <c r="L160" i="9"/>
  <c r="M159" i="9"/>
  <c r="O159" i="9" s="1"/>
  <c r="L159" i="9"/>
  <c r="AY158" i="9"/>
  <c r="AU158" i="9"/>
  <c r="AQ158" i="9"/>
  <c r="AN158" i="9"/>
  <c r="AA158" i="9"/>
  <c r="F158" i="9"/>
  <c r="H158" i="9" s="1"/>
  <c r="M157" i="9"/>
  <c r="O157" i="9" s="1"/>
  <c r="L157" i="9"/>
  <c r="M156" i="9"/>
  <c r="O156" i="9" s="1"/>
  <c r="L156" i="9"/>
  <c r="M155" i="9"/>
  <c r="O155" i="9" s="1"/>
  <c r="L155" i="9"/>
  <c r="AY154" i="9"/>
  <c r="AU154" i="9"/>
  <c r="AQ154" i="9"/>
  <c r="AN154" i="9"/>
  <c r="AA154" i="9"/>
  <c r="F154" i="9"/>
  <c r="H154" i="9" s="1"/>
  <c r="M153" i="9"/>
  <c r="O153" i="9" s="1"/>
  <c r="L153" i="9"/>
  <c r="O152" i="9"/>
  <c r="M152" i="9"/>
  <c r="L152" i="9"/>
  <c r="M151" i="9"/>
  <c r="O151" i="9" s="1"/>
  <c r="L151" i="9"/>
  <c r="M150" i="9"/>
  <c r="O150" i="9" s="1"/>
  <c r="L150" i="9"/>
  <c r="M149" i="9"/>
  <c r="O149" i="9" s="1"/>
  <c r="L149" i="9"/>
  <c r="O148" i="9"/>
  <c r="M148" i="9"/>
  <c r="L148" i="9"/>
  <c r="M147" i="9"/>
  <c r="O147" i="9" s="1"/>
  <c r="L147" i="9"/>
  <c r="T146" i="9"/>
  <c r="F146" i="9"/>
  <c r="AY145" i="9"/>
  <c r="AU145" i="9"/>
  <c r="AN145" i="9"/>
  <c r="AA145" i="9"/>
  <c r="G145" i="9"/>
  <c r="F145" i="9"/>
  <c r="N144" i="9"/>
  <c r="M144" i="9"/>
  <c r="O144" i="9" s="1"/>
  <c r="L144" i="9"/>
  <c r="N143" i="9"/>
  <c r="M143" i="9"/>
  <c r="L143" i="9"/>
  <c r="M142" i="9"/>
  <c r="O142" i="9" s="1"/>
  <c r="L142" i="9"/>
  <c r="AY141" i="9"/>
  <c r="AU141" i="9"/>
  <c r="AQ141" i="9"/>
  <c r="AN141" i="9"/>
  <c r="AA141" i="9"/>
  <c r="F141" i="9"/>
  <c r="H141" i="9" s="1"/>
  <c r="AY140" i="9"/>
  <c r="AU140" i="9"/>
  <c r="AQ140" i="9"/>
  <c r="AN140" i="9"/>
  <c r="AA140" i="9"/>
  <c r="F140" i="9"/>
  <c r="H140" i="9" s="1"/>
  <c r="N139" i="9"/>
  <c r="M139" i="9"/>
  <c r="O139" i="9" s="1"/>
  <c r="L139" i="9"/>
  <c r="N138" i="9"/>
  <c r="M138" i="9"/>
  <c r="L138" i="9"/>
  <c r="M137" i="9"/>
  <c r="O137" i="9" s="1"/>
  <c r="L137" i="9"/>
  <c r="M136" i="9"/>
  <c r="O136" i="9" s="1"/>
  <c r="L136" i="9"/>
  <c r="M135" i="9"/>
  <c r="O135" i="9" s="1"/>
  <c r="L135" i="9"/>
  <c r="O134" i="9"/>
  <c r="M134" i="9"/>
  <c r="L134" i="9"/>
  <c r="AY133" i="9"/>
  <c r="AU133" i="9"/>
  <c r="AN133" i="9"/>
  <c r="AA133" i="9"/>
  <c r="F133" i="9"/>
  <c r="O132" i="9"/>
  <c r="O130" i="9" s="1"/>
  <c r="M132" i="9"/>
  <c r="L132" i="9"/>
  <c r="F131" i="9"/>
  <c r="AY130" i="9"/>
  <c r="AU130" i="9"/>
  <c r="AN130" i="9"/>
  <c r="AA130" i="9"/>
  <c r="H130" i="9"/>
  <c r="F130" i="9"/>
  <c r="AY129" i="9"/>
  <c r="AU129" i="9"/>
  <c r="AQ129" i="9"/>
  <c r="AN129" i="9"/>
  <c r="AA129" i="9"/>
  <c r="F129" i="9"/>
  <c r="H129" i="9" s="1"/>
  <c r="N127" i="9"/>
  <c r="M127" i="9"/>
  <c r="O127" i="9" s="1"/>
  <c r="L127" i="9"/>
  <c r="N126" i="9"/>
  <c r="M126" i="9"/>
  <c r="L126" i="9"/>
  <c r="M125" i="9"/>
  <c r="O125" i="9" s="1"/>
  <c r="L125" i="9"/>
  <c r="AY124" i="9"/>
  <c r="AU124" i="9"/>
  <c r="AQ124" i="9"/>
  <c r="AN124" i="9"/>
  <c r="AA124" i="9"/>
  <c r="F124" i="9"/>
  <c r="H124" i="9" s="1"/>
  <c r="M123" i="9"/>
  <c r="O123" i="9" s="1"/>
  <c r="L123" i="9"/>
  <c r="M122" i="9"/>
  <c r="O122" i="9" s="1"/>
  <c r="L122" i="9"/>
  <c r="O121" i="9"/>
  <c r="M121" i="9"/>
  <c r="L121" i="9"/>
  <c r="AY120" i="9"/>
  <c r="AU120" i="9"/>
  <c r="AQ120" i="9"/>
  <c r="AN120" i="9"/>
  <c r="AA120" i="9"/>
  <c r="H120" i="9"/>
  <c r="F120" i="9"/>
  <c r="O119" i="9"/>
  <c r="M119" i="9"/>
  <c r="L119" i="9"/>
  <c r="F118" i="9"/>
  <c r="AY117" i="9"/>
  <c r="AU117" i="9"/>
  <c r="AN117" i="9"/>
  <c r="AA117" i="9"/>
  <c r="O117" i="9"/>
  <c r="F117" i="9"/>
  <c r="H117" i="9" s="1"/>
  <c r="N116" i="9"/>
  <c r="M116" i="9"/>
  <c r="L116" i="9"/>
  <c r="N115" i="9"/>
  <c r="M115" i="9"/>
  <c r="O115" i="9" s="1"/>
  <c r="L115" i="9"/>
  <c r="M114" i="9"/>
  <c r="O114" i="9" s="1"/>
  <c r="L114" i="9"/>
  <c r="O113" i="9"/>
  <c r="M113" i="9"/>
  <c r="L113" i="9"/>
  <c r="M112" i="9"/>
  <c r="O112" i="9" s="1"/>
  <c r="L112" i="9"/>
  <c r="M111" i="9"/>
  <c r="O111" i="9" s="1"/>
  <c r="L111" i="9"/>
  <c r="M110" i="9"/>
  <c r="O110" i="9" s="1"/>
  <c r="L110" i="9"/>
  <c r="F109" i="9"/>
  <c r="AY108" i="9"/>
  <c r="AU108" i="9"/>
  <c r="AN108" i="9"/>
  <c r="AA108" i="9"/>
  <c r="F108" i="9"/>
  <c r="M106" i="9"/>
  <c r="O106" i="9" s="1"/>
  <c r="L106" i="9"/>
  <c r="O105" i="9"/>
  <c r="M105" i="9"/>
  <c r="L105" i="9"/>
  <c r="M104" i="9"/>
  <c r="O104" i="9" s="1"/>
  <c r="L104" i="9"/>
  <c r="AY103" i="9"/>
  <c r="AU103" i="9"/>
  <c r="AQ103" i="9"/>
  <c r="AN103" i="9"/>
  <c r="AA103" i="9"/>
  <c r="F103" i="9"/>
  <c r="H103" i="9" s="1"/>
  <c r="AY101" i="9"/>
  <c r="AU101" i="9"/>
  <c r="AQ101" i="9"/>
  <c r="AN101" i="9"/>
  <c r="AA101" i="9"/>
  <c r="F101" i="9"/>
  <c r="H101" i="9" s="1"/>
  <c r="AY99" i="9"/>
  <c r="AU99" i="9"/>
  <c r="AQ99" i="9"/>
  <c r="AN99" i="9"/>
  <c r="AA99" i="9"/>
  <c r="F99" i="9"/>
  <c r="H99" i="9" s="1"/>
  <c r="M98" i="9"/>
  <c r="O98" i="9" s="1"/>
  <c r="L98" i="9"/>
  <c r="M97" i="9"/>
  <c r="O97" i="9" s="1"/>
  <c r="L97" i="9"/>
  <c r="M96" i="9"/>
  <c r="O96" i="9" s="1"/>
  <c r="L96" i="9"/>
  <c r="O95" i="9"/>
  <c r="M95" i="9"/>
  <c r="L95" i="9"/>
  <c r="M94" i="9"/>
  <c r="O94" i="9" s="1"/>
  <c r="L94" i="9"/>
  <c r="M93" i="9"/>
  <c r="O93" i="9" s="1"/>
  <c r="L93" i="9"/>
  <c r="M92" i="9"/>
  <c r="O92" i="9" s="1"/>
  <c r="L92" i="9"/>
  <c r="O91" i="9"/>
  <c r="M91" i="9"/>
  <c r="L91" i="9"/>
  <c r="T90" i="9"/>
  <c r="H90" i="9"/>
  <c r="F90" i="9"/>
  <c r="AY89" i="9"/>
  <c r="AU89" i="9"/>
  <c r="AN89" i="9"/>
  <c r="AA89" i="9"/>
  <c r="H89" i="9"/>
  <c r="F89" i="9"/>
  <c r="O88" i="9"/>
  <c r="M88" i="9"/>
  <c r="L88" i="9"/>
  <c r="M87" i="9"/>
  <c r="O87" i="9" s="1"/>
  <c r="L87" i="9"/>
  <c r="M86" i="9"/>
  <c r="O86" i="9" s="1"/>
  <c r="L86" i="9"/>
  <c r="M85" i="9"/>
  <c r="O85" i="9" s="1"/>
  <c r="L85" i="9"/>
  <c r="AY84" i="9"/>
  <c r="AU84" i="9"/>
  <c r="AN84" i="9"/>
  <c r="AA84" i="9"/>
  <c r="H84" i="9"/>
  <c r="F84" i="9"/>
  <c r="O83" i="9"/>
  <c r="M83" i="9"/>
  <c r="L83" i="9"/>
  <c r="M82" i="9"/>
  <c r="O82" i="9" s="1"/>
  <c r="L82" i="9"/>
  <c r="M81" i="9"/>
  <c r="O81" i="9" s="1"/>
  <c r="L81" i="9"/>
  <c r="M80" i="9"/>
  <c r="O80" i="9" s="1"/>
  <c r="L80" i="9"/>
  <c r="O79" i="9"/>
  <c r="M79" i="9"/>
  <c r="L79" i="9"/>
  <c r="M78" i="9"/>
  <c r="O78" i="9" s="1"/>
  <c r="L78" i="9"/>
  <c r="M77" i="9"/>
  <c r="O77" i="9" s="1"/>
  <c r="L77" i="9"/>
  <c r="M76" i="9"/>
  <c r="O76" i="9" s="1"/>
  <c r="L76" i="9"/>
  <c r="T75" i="9"/>
  <c r="F75" i="9"/>
  <c r="H75" i="9" s="1"/>
  <c r="AY74" i="9"/>
  <c r="AU74" i="9"/>
  <c r="AN74" i="9"/>
  <c r="AA74" i="9"/>
  <c r="F74" i="9"/>
  <c r="H74" i="9" s="1"/>
  <c r="M73" i="9"/>
  <c r="O73" i="9" s="1"/>
  <c r="L73" i="9"/>
  <c r="M72" i="9"/>
  <c r="O72" i="9" s="1"/>
  <c r="L72" i="9"/>
  <c r="M71" i="9"/>
  <c r="O71" i="9" s="1"/>
  <c r="L71" i="9"/>
  <c r="O70" i="9"/>
  <c r="M70" i="9"/>
  <c r="L70" i="9"/>
  <c r="AY69" i="9"/>
  <c r="AU69" i="9"/>
  <c r="AN69" i="9"/>
  <c r="AA69" i="9"/>
  <c r="F69" i="9"/>
  <c r="H69" i="9" s="1"/>
  <c r="AY68" i="9"/>
  <c r="AU68" i="9"/>
  <c r="AQ68" i="9"/>
  <c r="AN68" i="9"/>
  <c r="AA68" i="9"/>
  <c r="F68" i="9"/>
  <c r="H68" i="9" s="1"/>
  <c r="AY67" i="9"/>
  <c r="AU67" i="9"/>
  <c r="AQ67" i="9"/>
  <c r="AN67" i="9"/>
  <c r="AA67" i="9"/>
  <c r="F67" i="9"/>
  <c r="AY66" i="9"/>
  <c r="AU66" i="9"/>
  <c r="AQ66" i="9"/>
  <c r="AN66" i="9"/>
  <c r="AA66" i="9"/>
  <c r="H66" i="9"/>
  <c r="F66" i="9"/>
  <c r="AY65" i="9"/>
  <c r="AU65" i="9"/>
  <c r="AQ65" i="9"/>
  <c r="AN65" i="9"/>
  <c r="AA65" i="9"/>
  <c r="G65" i="9"/>
  <c r="G67" i="9" s="1"/>
  <c r="F65" i="9"/>
  <c r="H65" i="9" s="1"/>
  <c r="M64" i="9"/>
  <c r="O64" i="9" s="1"/>
  <c r="L64" i="9"/>
  <c r="M63" i="9"/>
  <c r="O63" i="9" s="1"/>
  <c r="L63" i="9"/>
  <c r="AY62" i="9"/>
  <c r="AU62" i="9"/>
  <c r="AN62" i="9"/>
  <c r="AA62" i="9"/>
  <c r="F62" i="9"/>
  <c r="H62" i="9" s="1"/>
  <c r="AY61" i="9"/>
  <c r="AU61" i="9"/>
  <c r="AQ61" i="9"/>
  <c r="AN61" i="9"/>
  <c r="AA61" i="9"/>
  <c r="F61" i="9"/>
  <c r="H61" i="9" s="1"/>
  <c r="AY59" i="9"/>
  <c r="AU59" i="9"/>
  <c r="AN59" i="9"/>
  <c r="AA59" i="9"/>
  <c r="G59" i="9"/>
  <c r="F59" i="9"/>
  <c r="H59" i="9" s="1"/>
  <c r="AY58" i="9"/>
  <c r="AU58" i="9"/>
  <c r="AN58" i="9"/>
  <c r="AA58" i="9"/>
  <c r="F58" i="9"/>
  <c r="H58" i="9" s="1"/>
  <c r="M57" i="9"/>
  <c r="O57" i="9" s="1"/>
  <c r="O56" i="9" s="1"/>
  <c r="L57" i="9"/>
  <c r="AY56" i="9"/>
  <c r="AU56" i="9"/>
  <c r="AN56" i="9"/>
  <c r="AA56" i="9"/>
  <c r="F56" i="9"/>
  <c r="H56" i="9" s="1"/>
  <c r="N55" i="9"/>
  <c r="M55" i="9"/>
  <c r="L55" i="9"/>
  <c r="N54" i="9"/>
  <c r="M54" i="9"/>
  <c r="L54" i="9"/>
  <c r="M53" i="9"/>
  <c r="O53" i="9" s="1"/>
  <c r="L53" i="9"/>
  <c r="AY52" i="9"/>
  <c r="AU52" i="9"/>
  <c r="AQ52" i="9"/>
  <c r="AN52" i="9"/>
  <c r="AA52" i="9"/>
  <c r="F52" i="9"/>
  <c r="H52" i="9" s="1"/>
  <c r="M51" i="9"/>
  <c r="O51" i="9" s="1"/>
  <c r="L51" i="9"/>
  <c r="O50" i="9"/>
  <c r="M50" i="9"/>
  <c r="L50" i="9"/>
  <c r="M49" i="9"/>
  <c r="O49" i="9" s="1"/>
  <c r="L49" i="9"/>
  <c r="M48" i="9"/>
  <c r="O48" i="9" s="1"/>
  <c r="O43" i="9" s="1"/>
  <c r="L48" i="9"/>
  <c r="M47" i="9"/>
  <c r="O47" i="9" s="1"/>
  <c r="L47" i="9"/>
  <c r="O46" i="9"/>
  <c r="M46" i="9"/>
  <c r="L46" i="9"/>
  <c r="M45" i="9"/>
  <c r="O45" i="9" s="1"/>
  <c r="L45" i="9"/>
  <c r="T44" i="9"/>
  <c r="V44" i="9" s="1"/>
  <c r="F44" i="9"/>
  <c r="AY43" i="9"/>
  <c r="AU43" i="9"/>
  <c r="AN43" i="9"/>
  <c r="AA43" i="9"/>
  <c r="F43" i="9"/>
  <c r="M42" i="9"/>
  <c r="O42" i="9" s="1"/>
  <c r="O40" i="9" s="1"/>
  <c r="L42" i="9"/>
  <c r="T41" i="9"/>
  <c r="F41" i="9"/>
  <c r="AY40" i="9"/>
  <c r="AU40" i="9"/>
  <c r="AN40" i="9"/>
  <c r="AA40" i="9"/>
  <c r="H40" i="9"/>
  <c r="F40" i="9"/>
  <c r="O38" i="9"/>
  <c r="M38" i="9"/>
  <c r="L38" i="9"/>
  <c r="M37" i="9"/>
  <c r="O37" i="9" s="1"/>
  <c r="L37" i="9"/>
  <c r="M36" i="9"/>
  <c r="O36" i="9" s="1"/>
  <c r="L36" i="9"/>
  <c r="AY35" i="9"/>
  <c r="AU35" i="9"/>
  <c r="AQ35" i="9"/>
  <c r="AN35" i="9"/>
  <c r="AA35" i="9"/>
  <c r="F35" i="9"/>
  <c r="H35" i="9" s="1"/>
  <c r="M34" i="9"/>
  <c r="O34" i="9" s="1"/>
  <c r="O31" i="9" s="1"/>
  <c r="L34" i="9"/>
  <c r="M33" i="9"/>
  <c r="O33" i="9" s="1"/>
  <c r="L33" i="9"/>
  <c r="O32" i="9"/>
  <c r="M32" i="9"/>
  <c r="L32" i="9"/>
  <c r="AY31" i="9"/>
  <c r="AU31" i="9"/>
  <c r="AQ31" i="9"/>
  <c r="AN31" i="9"/>
  <c r="AA31" i="9"/>
  <c r="F31" i="9"/>
  <c r="H31" i="9" s="1"/>
  <c r="AY30" i="9"/>
  <c r="AU30" i="9"/>
  <c r="AQ30" i="9"/>
  <c r="AN30" i="9"/>
  <c r="AA30" i="9"/>
  <c r="F30" i="9"/>
  <c r="H30" i="9" s="1"/>
  <c r="M29" i="9"/>
  <c r="O29" i="9" s="1"/>
  <c r="O28" i="9" s="1"/>
  <c r="L29" i="9"/>
  <c r="AY28" i="9"/>
  <c r="AU28" i="9"/>
  <c r="AN28" i="9"/>
  <c r="AA28" i="9"/>
  <c r="H28" i="9"/>
  <c r="F28" i="9"/>
  <c r="O27" i="9"/>
  <c r="O25" i="9" s="1"/>
  <c r="M27" i="9"/>
  <c r="L27" i="9"/>
  <c r="T26" i="9"/>
  <c r="F26" i="9"/>
  <c r="AY25" i="9"/>
  <c r="AU25" i="9"/>
  <c r="AN25" i="9"/>
  <c r="AA25" i="9"/>
  <c r="F25" i="9"/>
  <c r="H25" i="9" s="1"/>
  <c r="M24" i="9"/>
  <c r="O24" i="9" s="1"/>
  <c r="O22" i="9" s="1"/>
  <c r="L24" i="9"/>
  <c r="T23" i="9"/>
  <c r="F23" i="9"/>
  <c r="AY22" i="9"/>
  <c r="AU22" i="9"/>
  <c r="AN22" i="9"/>
  <c r="AA22" i="9"/>
  <c r="F22" i="9"/>
  <c r="H22" i="9" s="1"/>
  <c r="M21" i="9"/>
  <c r="O21" i="9" s="1"/>
  <c r="O20" i="9" s="1"/>
  <c r="L21" i="9"/>
  <c r="AY20" i="9"/>
  <c r="AU20" i="9"/>
  <c r="AQ20" i="9"/>
  <c r="AN20" i="9"/>
  <c r="AA20" i="9"/>
  <c r="G20" i="9"/>
  <c r="G133" i="9" s="1"/>
  <c r="F20" i="9"/>
  <c r="H20" i="9" s="1"/>
  <c r="M19" i="9"/>
  <c r="O19" i="9" s="1"/>
  <c r="L19" i="9"/>
  <c r="M18" i="9"/>
  <c r="O18" i="9" s="1"/>
  <c r="L18" i="9"/>
  <c r="M17" i="9"/>
  <c r="O17" i="9" s="1"/>
  <c r="L17" i="9"/>
  <c r="O16" i="9"/>
  <c r="M16" i="9"/>
  <c r="L16" i="9"/>
  <c r="M15" i="9"/>
  <c r="O15" i="9" s="1"/>
  <c r="L15" i="9"/>
  <c r="M14" i="9"/>
  <c r="O14" i="9" s="1"/>
  <c r="L14" i="9"/>
  <c r="M13" i="9"/>
  <c r="O13" i="9" s="1"/>
  <c r="L13" i="9"/>
  <c r="F12" i="9"/>
  <c r="AY11" i="9"/>
  <c r="AU11" i="9"/>
  <c r="AN11" i="9"/>
  <c r="AA11" i="9"/>
  <c r="F11" i="9"/>
  <c r="AY9" i="9"/>
  <c r="AU9" i="9"/>
  <c r="AN9" i="9"/>
  <c r="AA9" i="9"/>
  <c r="H9" i="9"/>
  <c r="F9" i="9"/>
  <c r="AY8" i="9"/>
  <c r="AU8" i="9"/>
  <c r="AN8" i="9"/>
  <c r="AA8" i="9"/>
  <c r="F8" i="9"/>
  <c r="H8" i="9" s="1"/>
  <c r="Q5" i="9"/>
  <c r="I5" i="9"/>
  <c r="C35" i="8"/>
  <c r="E32" i="8"/>
  <c r="B32" i="8"/>
  <c r="B31" i="8"/>
  <c r="B26" i="8"/>
  <c r="B25" i="8"/>
  <c r="B22" i="8"/>
  <c r="B20" i="8"/>
  <c r="E19" i="8"/>
  <c r="E18" i="8"/>
  <c r="E17" i="8"/>
  <c r="B17" i="8"/>
  <c r="E16" i="8"/>
  <c r="E15" i="8"/>
  <c r="E35" i="8" s="1"/>
  <c r="I12" i="8"/>
  <c r="F12" i="8"/>
  <c r="D12" i="8"/>
  <c r="D29" i="8" s="1"/>
  <c r="D21" i="8" l="1"/>
  <c r="F21" i="8" s="1"/>
  <c r="D28" i="8"/>
  <c r="F28" i="8" s="1"/>
  <c r="R44" i="9"/>
  <c r="S44" i="9" s="1"/>
  <c r="O212" i="9"/>
  <c r="O225" i="9"/>
  <c r="O234" i="9"/>
  <c r="H312" i="9"/>
  <c r="D14" i="8"/>
  <c r="F14" i="8" s="1"/>
  <c r="D17" i="8"/>
  <c r="D19" i="8"/>
  <c r="D25" i="8"/>
  <c r="F25" i="8" s="1"/>
  <c r="D30" i="8"/>
  <c r="F30" i="8" s="1"/>
  <c r="D32" i="8"/>
  <c r="AU366" i="9"/>
  <c r="H11" i="9"/>
  <c r="H43" i="9"/>
  <c r="O55" i="9"/>
  <c r="O103" i="9"/>
  <c r="O116" i="9"/>
  <c r="O138" i="9"/>
  <c r="O143" i="9"/>
  <c r="H255" i="9"/>
  <c r="I255" i="9" s="1"/>
  <c r="J255" i="9" s="1"/>
  <c r="P255" i="9" s="1"/>
  <c r="O304" i="9"/>
  <c r="H67" i="9"/>
  <c r="O120" i="9"/>
  <c r="H145" i="9"/>
  <c r="I145" i="9" s="1"/>
  <c r="J145" i="9" s="1"/>
  <c r="P145" i="9" s="1"/>
  <c r="O218" i="9"/>
  <c r="H341" i="9"/>
  <c r="H360" i="9"/>
  <c r="D22" i="8"/>
  <c r="F22" i="8" s="1"/>
  <c r="D18" i="8"/>
  <c r="B35" i="8"/>
  <c r="D24" i="8"/>
  <c r="F24" i="8" s="1"/>
  <c r="D26" i="8"/>
  <c r="F26" i="8" s="1"/>
  <c r="D31" i="8"/>
  <c r="F31" i="8" s="1"/>
  <c r="O62" i="9"/>
  <c r="H108" i="9"/>
  <c r="O126" i="9"/>
  <c r="O124" i="9" s="1"/>
  <c r="O141" i="9"/>
  <c r="O145" i="9"/>
  <c r="O158" i="9"/>
  <c r="H225" i="9"/>
  <c r="I225" i="9" s="1"/>
  <c r="J225" i="9" s="1"/>
  <c r="P225" i="9" s="1"/>
  <c r="O312" i="9"/>
  <c r="O343" i="9"/>
  <c r="H357" i="9"/>
  <c r="I22" i="9"/>
  <c r="J22" i="9" s="1"/>
  <c r="P22" i="9" s="1"/>
  <c r="I9" i="9"/>
  <c r="I28" i="9"/>
  <c r="I11" i="9"/>
  <c r="J11" i="9" s="1"/>
  <c r="I30" i="9"/>
  <c r="J30" i="9" s="1"/>
  <c r="P30" i="9" s="1"/>
  <c r="I31" i="9"/>
  <c r="J31" i="9" s="1"/>
  <c r="P31" i="9" s="1"/>
  <c r="I8" i="9"/>
  <c r="J8" i="9" s="1"/>
  <c r="P8" i="9" s="1"/>
  <c r="I20" i="9"/>
  <c r="J20" i="9" s="1"/>
  <c r="P20" i="9" s="1"/>
  <c r="I25" i="9"/>
  <c r="J25" i="9" s="1"/>
  <c r="P25" i="9" s="1"/>
  <c r="O11" i="9"/>
  <c r="I68" i="9"/>
  <c r="J68" i="9" s="1"/>
  <c r="P68" i="9" s="1"/>
  <c r="I69" i="9"/>
  <c r="J69" i="9" s="1"/>
  <c r="I75" i="9"/>
  <c r="J75" i="9" s="1"/>
  <c r="I108" i="9"/>
  <c r="J108" i="9" s="1"/>
  <c r="I117" i="9"/>
  <c r="J117" i="9" s="1"/>
  <c r="P117" i="9" s="1"/>
  <c r="I154" i="9"/>
  <c r="J154" i="9" s="1"/>
  <c r="I162" i="9"/>
  <c r="J162" i="9" s="1"/>
  <c r="P162" i="9" s="1"/>
  <c r="J28" i="9"/>
  <c r="P28" i="9" s="1"/>
  <c r="I40" i="9"/>
  <c r="H133" i="9"/>
  <c r="I260" i="9"/>
  <c r="I259" i="9"/>
  <c r="I258" i="9"/>
  <c r="I257" i="9"/>
  <c r="I118" i="9"/>
  <c r="J118" i="9" s="1"/>
  <c r="P118" i="9" s="1"/>
  <c r="I109" i="9"/>
  <c r="J109" i="9" s="1"/>
  <c r="Q358" i="9"/>
  <c r="Q226" i="9"/>
  <c r="T226" i="9" s="1"/>
  <c r="Q131" i="9"/>
  <c r="T131" i="9" s="1"/>
  <c r="R131" i="9" s="1"/>
  <c r="S131" i="9" s="1"/>
  <c r="Q109" i="9"/>
  <c r="T109" i="9" s="1"/>
  <c r="R109" i="9" s="1"/>
  <c r="S109" i="9" s="1"/>
  <c r="I59" i="9"/>
  <c r="J59" i="9" s="1"/>
  <c r="P59" i="9" s="1"/>
  <c r="I61" i="9"/>
  <c r="J61" i="9" s="1"/>
  <c r="P61" i="9" s="1"/>
  <c r="I62" i="9"/>
  <c r="J62" i="9" s="1"/>
  <c r="P62" i="9" s="1"/>
  <c r="I65" i="9"/>
  <c r="J65" i="9" s="1"/>
  <c r="P65" i="9" s="1"/>
  <c r="I67" i="9"/>
  <c r="J67" i="9" s="1"/>
  <c r="P67" i="9" s="1"/>
  <c r="I74" i="9"/>
  <c r="J74" i="9" s="1"/>
  <c r="P74" i="9" s="1"/>
  <c r="I99" i="9"/>
  <c r="J99" i="9" s="1"/>
  <c r="P99" i="9" s="1"/>
  <c r="I101" i="9"/>
  <c r="J101" i="9" s="1"/>
  <c r="P101" i="9" s="1"/>
  <c r="I103" i="9"/>
  <c r="J103" i="9" s="1"/>
  <c r="I140" i="9"/>
  <c r="J140" i="9" s="1"/>
  <c r="P140" i="9" s="1"/>
  <c r="I141" i="9"/>
  <c r="J141" i="9" s="1"/>
  <c r="P141" i="9" s="1"/>
  <c r="I158" i="9"/>
  <c r="J158" i="9" s="1"/>
  <c r="P158" i="9" s="1"/>
  <c r="I166" i="9"/>
  <c r="J166" i="9" s="1"/>
  <c r="P166" i="9" s="1"/>
  <c r="I167" i="9"/>
  <c r="J167" i="9" s="1"/>
  <c r="P167" i="9" s="1"/>
  <c r="I168" i="9"/>
  <c r="J168" i="9" s="1"/>
  <c r="P168" i="9" s="1"/>
  <c r="I169" i="9"/>
  <c r="J169" i="9" s="1"/>
  <c r="P169" i="9" s="1"/>
  <c r="I170" i="9"/>
  <c r="J170" i="9" s="1"/>
  <c r="P170" i="9" s="1"/>
  <c r="I171" i="9"/>
  <c r="J171" i="9" s="1"/>
  <c r="P171" i="9" s="1"/>
  <c r="J9" i="9"/>
  <c r="P9" i="9" s="1"/>
  <c r="AA366" i="9"/>
  <c r="Q12" i="9"/>
  <c r="T12" i="9" s="1"/>
  <c r="R12" i="9" s="1"/>
  <c r="S12" i="9" s="1"/>
  <c r="I35" i="9"/>
  <c r="J35" i="9" s="1"/>
  <c r="O35" i="9"/>
  <c r="J40" i="9"/>
  <c r="P40" i="9" s="1"/>
  <c r="I43" i="9"/>
  <c r="J43" i="9" s="1"/>
  <c r="P43" i="9" s="1"/>
  <c r="I52" i="9"/>
  <c r="J52" i="9" s="1"/>
  <c r="P52" i="9" s="1"/>
  <c r="O54" i="9"/>
  <c r="O52" i="9" s="1"/>
  <c r="I56" i="9"/>
  <c r="J56" i="9" s="1"/>
  <c r="P56" i="9" s="1"/>
  <c r="O69" i="9"/>
  <c r="O74" i="9"/>
  <c r="O84" i="9"/>
  <c r="O89" i="9"/>
  <c r="O108" i="9"/>
  <c r="O133" i="9"/>
  <c r="O154" i="9"/>
  <c r="O162" i="9"/>
  <c r="I172" i="9"/>
  <c r="J172" i="9" s="1"/>
  <c r="P172" i="9" s="1"/>
  <c r="I173" i="9"/>
  <c r="I174" i="9"/>
  <c r="I175" i="9"/>
  <c r="I176" i="9"/>
  <c r="J176" i="9" s="1"/>
  <c r="P176" i="9" s="1"/>
  <c r="I177" i="9"/>
  <c r="I178" i="9"/>
  <c r="I179" i="9"/>
  <c r="I189" i="9"/>
  <c r="J189" i="9" s="1"/>
  <c r="P189" i="9" s="1"/>
  <c r="I190" i="9"/>
  <c r="J190" i="9" s="1"/>
  <c r="P190" i="9" s="1"/>
  <c r="I212" i="9"/>
  <c r="J212" i="9" s="1"/>
  <c r="P212" i="9" s="1"/>
  <c r="I218" i="9"/>
  <c r="J218" i="9" s="1"/>
  <c r="P218" i="9" s="1"/>
  <c r="I224" i="9"/>
  <c r="J224" i="9" s="1"/>
  <c r="P224" i="9" s="1"/>
  <c r="I58" i="9"/>
  <c r="J58" i="9" s="1"/>
  <c r="P58" i="9" s="1"/>
  <c r="I66" i="9"/>
  <c r="J66" i="9" s="1"/>
  <c r="P66" i="9" s="1"/>
  <c r="I84" i="9"/>
  <c r="J84" i="9" s="1"/>
  <c r="P84" i="9" s="1"/>
  <c r="I89" i="9"/>
  <c r="J89" i="9" s="1"/>
  <c r="I90" i="9"/>
  <c r="J90" i="9" s="1"/>
  <c r="I120" i="9"/>
  <c r="J120" i="9" s="1"/>
  <c r="P120" i="9" s="1"/>
  <c r="I124" i="9"/>
  <c r="J124" i="9" s="1"/>
  <c r="I129" i="9"/>
  <c r="J129" i="9" s="1"/>
  <c r="P129" i="9" s="1"/>
  <c r="I130" i="9"/>
  <c r="J130" i="9" s="1"/>
  <c r="P130" i="9" s="1"/>
  <c r="O185" i="9"/>
  <c r="O199" i="9"/>
  <c r="O204" i="9"/>
  <c r="I246" i="9"/>
  <c r="I248" i="9"/>
  <c r="J248" i="9" s="1"/>
  <c r="P248" i="9" s="1"/>
  <c r="I250" i="9"/>
  <c r="I252" i="9"/>
  <c r="I254" i="9"/>
  <c r="I180" i="9"/>
  <c r="J180" i="9" s="1"/>
  <c r="P180" i="9" s="1"/>
  <c r="I181" i="9"/>
  <c r="J181" i="9" s="1"/>
  <c r="P181" i="9" s="1"/>
  <c r="I182" i="9"/>
  <c r="J182" i="9" s="1"/>
  <c r="P182" i="9" s="1"/>
  <c r="I183" i="9"/>
  <c r="J183" i="9" s="1"/>
  <c r="P183" i="9" s="1"/>
  <c r="I184" i="9"/>
  <c r="J184" i="9" s="1"/>
  <c r="P184" i="9" s="1"/>
  <c r="I185" i="9"/>
  <c r="J185" i="9" s="1"/>
  <c r="I199" i="9"/>
  <c r="J199" i="9" s="1"/>
  <c r="I234" i="9"/>
  <c r="J234" i="9" s="1"/>
  <c r="P234" i="9" s="1"/>
  <c r="I235" i="9"/>
  <c r="J235" i="9" s="1"/>
  <c r="I243" i="9"/>
  <c r="J243" i="9" s="1"/>
  <c r="P243" i="9" s="1"/>
  <c r="I244" i="9"/>
  <c r="J244" i="9" s="1"/>
  <c r="P244" i="9" s="1"/>
  <c r="I245" i="9"/>
  <c r="J245" i="9" s="1"/>
  <c r="P245" i="9" s="1"/>
  <c r="I256" i="9"/>
  <c r="J256" i="9" s="1"/>
  <c r="P256" i="9" s="1"/>
  <c r="J173" i="9"/>
  <c r="P173" i="9" s="1"/>
  <c r="J174" i="9"/>
  <c r="P174" i="9" s="1"/>
  <c r="J175" i="9"/>
  <c r="P175" i="9" s="1"/>
  <c r="J177" i="9"/>
  <c r="P177" i="9" s="1"/>
  <c r="J178" i="9"/>
  <c r="P178" i="9" s="1"/>
  <c r="J179" i="9"/>
  <c r="P179" i="9" s="1"/>
  <c r="I247" i="9"/>
  <c r="J247" i="9" s="1"/>
  <c r="P247" i="9" s="1"/>
  <c r="I249" i="9"/>
  <c r="J249" i="9" s="1"/>
  <c r="P249" i="9" s="1"/>
  <c r="I251" i="9"/>
  <c r="J251" i="9" s="1"/>
  <c r="P251" i="9" s="1"/>
  <c r="I253" i="9"/>
  <c r="J253" i="9" s="1"/>
  <c r="P253" i="9" s="1"/>
  <c r="I290" i="9"/>
  <c r="J290" i="9" s="1"/>
  <c r="P290" i="9" s="1"/>
  <c r="I295" i="9"/>
  <c r="J295" i="9" s="1"/>
  <c r="I191" i="9"/>
  <c r="J191" i="9" s="1"/>
  <c r="P191" i="9" s="1"/>
  <c r="I192" i="9"/>
  <c r="J192" i="9" s="1"/>
  <c r="P192" i="9" s="1"/>
  <c r="I193" i="9"/>
  <c r="J193" i="9" s="1"/>
  <c r="P193" i="9" s="1"/>
  <c r="I194" i="9"/>
  <c r="J194" i="9" s="1"/>
  <c r="P194" i="9" s="1"/>
  <c r="I195" i="9"/>
  <c r="J195" i="9" s="1"/>
  <c r="P195" i="9" s="1"/>
  <c r="I196" i="9"/>
  <c r="J196" i="9" s="1"/>
  <c r="P196" i="9" s="1"/>
  <c r="I197" i="9"/>
  <c r="J197" i="9" s="1"/>
  <c r="P197" i="9" s="1"/>
  <c r="I204" i="9"/>
  <c r="J204" i="9" s="1"/>
  <c r="P204" i="9" s="1"/>
  <c r="I226" i="9"/>
  <c r="J226" i="9" s="1"/>
  <c r="J246" i="9"/>
  <c r="P246" i="9" s="1"/>
  <c r="J250" i="9"/>
  <c r="P250" i="9" s="1"/>
  <c r="J252" i="9"/>
  <c r="P252" i="9" s="1"/>
  <c r="J254" i="9"/>
  <c r="P254" i="9" s="1"/>
  <c r="I291" i="9"/>
  <c r="I276" i="9"/>
  <c r="J276" i="9" s="1"/>
  <c r="P276" i="9" s="1"/>
  <c r="I277" i="9"/>
  <c r="J277" i="9" s="1"/>
  <c r="P277" i="9" s="1"/>
  <c r="I278" i="9"/>
  <c r="J278" i="9" s="1"/>
  <c r="P278" i="9" s="1"/>
  <c r="I279" i="9"/>
  <c r="J279" i="9" s="1"/>
  <c r="P279" i="9" s="1"/>
  <c r="I280" i="9"/>
  <c r="J280" i="9" s="1"/>
  <c r="P280" i="9" s="1"/>
  <c r="I281" i="9"/>
  <c r="J281" i="9" s="1"/>
  <c r="P281" i="9" s="1"/>
  <c r="I282" i="9"/>
  <c r="J282" i="9" s="1"/>
  <c r="P282" i="9" s="1"/>
  <c r="I283" i="9"/>
  <c r="J283" i="9" s="1"/>
  <c r="P283" i="9" s="1"/>
  <c r="I284" i="9"/>
  <c r="J284" i="9" s="1"/>
  <c r="P284" i="9" s="1"/>
  <c r="I285" i="9"/>
  <c r="J285" i="9" s="1"/>
  <c r="P285" i="9" s="1"/>
  <c r="I286" i="9"/>
  <c r="J286" i="9" s="1"/>
  <c r="P286" i="9" s="1"/>
  <c r="I287" i="9"/>
  <c r="J287" i="9" s="1"/>
  <c r="P287" i="9" s="1"/>
  <c r="I288" i="9"/>
  <c r="J288" i="9" s="1"/>
  <c r="P288" i="9" s="1"/>
  <c r="I292" i="9"/>
  <c r="J292" i="9" s="1"/>
  <c r="P292" i="9" s="1"/>
  <c r="I299" i="9"/>
  <c r="J299" i="9" s="1"/>
  <c r="I304" i="9"/>
  <c r="J304" i="9" s="1"/>
  <c r="P304" i="9" s="1"/>
  <c r="I312" i="9"/>
  <c r="J312" i="9" s="1"/>
  <c r="P312" i="9" s="1"/>
  <c r="I320" i="9"/>
  <c r="J320" i="9" s="1"/>
  <c r="P320" i="9" s="1"/>
  <c r="J257" i="9"/>
  <c r="P257" i="9" s="1"/>
  <c r="J258" i="9"/>
  <c r="P258" i="9" s="1"/>
  <c r="J259" i="9"/>
  <c r="P259" i="9" s="1"/>
  <c r="J260" i="9"/>
  <c r="P260" i="9" s="1"/>
  <c r="I261" i="9"/>
  <c r="J261" i="9" s="1"/>
  <c r="P261" i="9" s="1"/>
  <c r="I262" i="9"/>
  <c r="J262" i="9" s="1"/>
  <c r="P262" i="9" s="1"/>
  <c r="I263" i="9"/>
  <c r="J263" i="9" s="1"/>
  <c r="P263" i="9" s="1"/>
  <c r="I264" i="9"/>
  <c r="J264" i="9" s="1"/>
  <c r="P264" i="9" s="1"/>
  <c r="I265" i="9"/>
  <c r="J265" i="9" s="1"/>
  <c r="P265" i="9" s="1"/>
  <c r="I266" i="9"/>
  <c r="J266" i="9" s="1"/>
  <c r="P266" i="9" s="1"/>
  <c r="I267" i="9"/>
  <c r="J267" i="9" s="1"/>
  <c r="P267" i="9" s="1"/>
  <c r="I268" i="9"/>
  <c r="J268" i="9" s="1"/>
  <c r="P268" i="9" s="1"/>
  <c r="I269" i="9"/>
  <c r="J269" i="9" s="1"/>
  <c r="P269" i="9" s="1"/>
  <c r="I270" i="9"/>
  <c r="J270" i="9" s="1"/>
  <c r="P270" i="9" s="1"/>
  <c r="I271" i="9"/>
  <c r="J271" i="9" s="1"/>
  <c r="P271" i="9" s="1"/>
  <c r="I272" i="9"/>
  <c r="J272" i="9" s="1"/>
  <c r="P272" i="9" s="1"/>
  <c r="I273" i="9"/>
  <c r="J273" i="9" s="1"/>
  <c r="P273" i="9" s="1"/>
  <c r="I274" i="9"/>
  <c r="J274" i="9" s="1"/>
  <c r="P274" i="9" s="1"/>
  <c r="I275" i="9"/>
  <c r="J275" i="9" s="1"/>
  <c r="P275" i="9" s="1"/>
  <c r="I289" i="9"/>
  <c r="I293" i="9"/>
  <c r="J293" i="9" s="1"/>
  <c r="P293" i="9" s="1"/>
  <c r="O295" i="9"/>
  <c r="O299" i="9"/>
  <c r="I323" i="9"/>
  <c r="I342" i="9"/>
  <c r="J342" i="9" s="1"/>
  <c r="I348" i="9"/>
  <c r="J348" i="9" s="1"/>
  <c r="P348" i="9" s="1"/>
  <c r="I349" i="9"/>
  <c r="J349" i="9" s="1"/>
  <c r="P349" i="9" s="1"/>
  <c r="I350" i="9"/>
  <c r="J350" i="9" s="1"/>
  <c r="P350" i="9" s="1"/>
  <c r="I351" i="9"/>
  <c r="J351" i="9" s="1"/>
  <c r="P351" i="9" s="1"/>
  <c r="I352" i="9"/>
  <c r="J352" i="9" s="1"/>
  <c r="P352" i="9" s="1"/>
  <c r="I357" i="9"/>
  <c r="J357" i="9" s="1"/>
  <c r="P357" i="9" s="1"/>
  <c r="I364" i="9"/>
  <c r="J364" i="9" s="1"/>
  <c r="P364" i="9" s="1"/>
  <c r="J289" i="9"/>
  <c r="P289" i="9" s="1"/>
  <c r="J291" i="9"/>
  <c r="P291" i="9" s="1"/>
  <c r="I343" i="9"/>
  <c r="I362" i="9"/>
  <c r="I331" i="9"/>
  <c r="J331" i="9" s="1"/>
  <c r="P331" i="9" s="1"/>
  <c r="I332" i="9"/>
  <c r="J332" i="9" s="1"/>
  <c r="P332" i="9" s="1"/>
  <c r="I334" i="9"/>
  <c r="J334" i="9" s="1"/>
  <c r="P334" i="9" s="1"/>
  <c r="I336" i="9"/>
  <c r="J336" i="9" s="1"/>
  <c r="P336" i="9" s="1"/>
  <c r="I337" i="9"/>
  <c r="J337" i="9" s="1"/>
  <c r="P337" i="9" s="1"/>
  <c r="I339" i="9"/>
  <c r="J339" i="9" s="1"/>
  <c r="P339" i="9" s="1"/>
  <c r="I340" i="9"/>
  <c r="J340" i="9" s="1"/>
  <c r="P340" i="9" s="1"/>
  <c r="I341" i="9"/>
  <c r="J341" i="9" s="1"/>
  <c r="P341" i="9" s="1"/>
  <c r="I353" i="9"/>
  <c r="J353" i="9" s="1"/>
  <c r="P353" i="9" s="1"/>
  <c r="I360" i="9"/>
  <c r="J360" i="9" s="1"/>
  <c r="P360" i="9" s="1"/>
  <c r="J323" i="9"/>
  <c r="P323" i="9" s="1"/>
  <c r="I326" i="9"/>
  <c r="J326" i="9" s="1"/>
  <c r="P326" i="9" s="1"/>
  <c r="T358" i="9"/>
  <c r="R358" i="9" s="1"/>
  <c r="S358" i="9" s="1"/>
  <c r="I363" i="9"/>
  <c r="J343" i="9"/>
  <c r="P343" i="9" s="1"/>
  <c r="I354" i="9"/>
  <c r="J354" i="9" s="1"/>
  <c r="P354" i="9" s="1"/>
  <c r="I355" i="9"/>
  <c r="J355" i="9" s="1"/>
  <c r="P355" i="9" s="1"/>
  <c r="I356" i="9"/>
  <c r="J356" i="9" s="1"/>
  <c r="P356" i="9" s="1"/>
  <c r="I359" i="9"/>
  <c r="J359" i="9" s="1"/>
  <c r="P359" i="9" s="1"/>
  <c r="J362" i="9"/>
  <c r="P362" i="9" s="1"/>
  <c r="J363" i="9"/>
  <c r="P363" i="9" s="1"/>
  <c r="F29" i="8"/>
  <c r="G29" i="8" s="1"/>
  <c r="H29" i="8" s="1"/>
  <c r="I29" i="8" s="1"/>
  <c r="G14" i="8"/>
  <c r="F17" i="8"/>
  <c r="G17" i="8" s="1"/>
  <c r="H17" i="8" s="1"/>
  <c r="I17" i="8" s="1"/>
  <c r="F18" i="8"/>
  <c r="G18" i="8" s="1"/>
  <c r="H18" i="8" s="1"/>
  <c r="I18" i="8" s="1"/>
  <c r="F19" i="8"/>
  <c r="G19" i="8" s="1"/>
  <c r="H19" i="8" s="1"/>
  <c r="I19" i="8" s="1"/>
  <c r="G21" i="8"/>
  <c r="H21" i="8" s="1"/>
  <c r="I21" i="8" s="1"/>
  <c r="G22" i="8"/>
  <c r="H22" i="8" s="1"/>
  <c r="I22" i="8" s="1"/>
  <c r="G24" i="8"/>
  <c r="H24" i="8" s="1"/>
  <c r="I24" i="8" s="1"/>
  <c r="G25" i="8"/>
  <c r="H25" i="8" s="1"/>
  <c r="I25" i="8" s="1"/>
  <c r="G26" i="8"/>
  <c r="H26" i="8" s="1"/>
  <c r="I26" i="8" s="1"/>
  <c r="G28" i="8"/>
  <c r="H28" i="8" s="1"/>
  <c r="I28" i="8" s="1"/>
  <c r="G30" i="8"/>
  <c r="H30" i="8" s="1"/>
  <c r="I30" i="8" s="1"/>
  <c r="G31" i="8"/>
  <c r="H31" i="8" s="1"/>
  <c r="I31" i="8" s="1"/>
  <c r="F32" i="8"/>
  <c r="G32" i="8" s="1"/>
  <c r="H32" i="8" s="1"/>
  <c r="I32" i="8" s="1"/>
  <c r="D15" i="8"/>
  <c r="F15" i="8"/>
  <c r="D16" i="8"/>
  <c r="F16" i="8" s="1"/>
  <c r="D20" i="8"/>
  <c r="D23" i="8"/>
  <c r="D27" i="8"/>
  <c r="P185" i="9" l="1"/>
  <c r="P124" i="9"/>
  <c r="P108" i="9"/>
  <c r="Q108" i="9" s="1"/>
  <c r="AB108" i="9" s="1"/>
  <c r="P103" i="9"/>
  <c r="P154" i="9"/>
  <c r="P11" i="9"/>
  <c r="P295" i="9"/>
  <c r="Q295" i="9" s="1"/>
  <c r="AB295" i="9" s="1"/>
  <c r="P199" i="9"/>
  <c r="P89" i="9"/>
  <c r="Q354" i="9"/>
  <c r="AB354" i="9" s="1"/>
  <c r="Q353" i="9"/>
  <c r="AB353" i="9" s="1"/>
  <c r="Q359" i="9"/>
  <c r="AB359" i="9" s="1"/>
  <c r="Q355" i="9"/>
  <c r="AB355" i="9"/>
  <c r="Q360" i="9"/>
  <c r="AB360" i="9" s="1"/>
  <c r="Q275" i="9"/>
  <c r="AB275" i="9" s="1"/>
  <c r="Q273" i="9"/>
  <c r="AB273" i="9" s="1"/>
  <c r="Q271" i="9"/>
  <c r="AB271" i="9" s="1"/>
  <c r="Q269" i="9"/>
  <c r="AB269" i="9" s="1"/>
  <c r="Q267" i="9"/>
  <c r="AB267" i="9" s="1"/>
  <c r="Q265" i="9"/>
  <c r="AB265" i="9" s="1"/>
  <c r="Q263" i="9"/>
  <c r="AB263" i="9" s="1"/>
  <c r="Q312" i="9"/>
  <c r="AB312" i="9" s="1"/>
  <c r="Q290" i="9"/>
  <c r="AB290" i="9" s="1"/>
  <c r="Q251" i="9"/>
  <c r="Q247" i="9"/>
  <c r="AB247" i="9" s="1"/>
  <c r="Q244" i="9"/>
  <c r="Q199" i="9"/>
  <c r="AB199" i="9" s="1"/>
  <c r="Q129" i="9"/>
  <c r="AB129" i="9" s="1"/>
  <c r="Q120" i="9"/>
  <c r="AB120" i="9" s="1"/>
  <c r="Q89" i="9"/>
  <c r="Q66" i="9"/>
  <c r="AB66" i="9" s="1"/>
  <c r="Q224" i="9"/>
  <c r="Q212" i="9"/>
  <c r="AB212" i="9" s="1"/>
  <c r="Q43" i="9"/>
  <c r="Q170" i="9"/>
  <c r="AB170" i="9" s="1"/>
  <c r="Q168" i="9"/>
  <c r="Q166" i="9"/>
  <c r="AB166" i="9" s="1"/>
  <c r="Q141" i="9"/>
  <c r="AB141" i="9" s="1"/>
  <c r="Q103" i="9"/>
  <c r="AB103" i="9" s="1"/>
  <c r="Q99" i="9"/>
  <c r="Q67" i="9"/>
  <c r="AB67" i="9" s="1"/>
  <c r="Q61" i="9"/>
  <c r="Q154" i="9"/>
  <c r="AB154" i="9" s="1"/>
  <c r="Q31" i="9"/>
  <c r="AB31" i="9" s="1"/>
  <c r="Q11" i="9"/>
  <c r="Q356" i="9"/>
  <c r="AB356" i="9" s="1"/>
  <c r="Q357" i="9"/>
  <c r="Q274" i="9"/>
  <c r="AB274" i="9" s="1"/>
  <c r="Q272" i="9"/>
  <c r="AB272" i="9" s="1"/>
  <c r="Q270" i="9"/>
  <c r="AB270" i="9" s="1"/>
  <c r="Q268" i="9"/>
  <c r="AB268" i="9" s="1"/>
  <c r="Q266" i="9"/>
  <c r="AB266" i="9" s="1"/>
  <c r="Q264" i="9"/>
  <c r="AB264" i="9" s="1"/>
  <c r="Q320" i="9"/>
  <c r="Q304" i="9"/>
  <c r="AB304" i="9" s="1"/>
  <c r="Q204" i="9"/>
  <c r="AB204" i="9" s="1"/>
  <c r="Q196" i="9"/>
  <c r="AB196" i="9" s="1"/>
  <c r="Q194" i="9"/>
  <c r="AB194" i="9" s="1"/>
  <c r="Q192" i="9"/>
  <c r="AB192" i="9" s="1"/>
  <c r="Q253" i="9"/>
  <c r="Q249" i="9"/>
  <c r="AB249" i="9" s="1"/>
  <c r="Q245" i="9"/>
  <c r="Q243" i="9"/>
  <c r="AB243" i="9" s="1"/>
  <c r="Q234" i="9"/>
  <c r="AB234" i="9" s="1"/>
  <c r="Q130" i="9"/>
  <c r="AB130" i="9" s="1"/>
  <c r="Q124" i="9"/>
  <c r="Q84" i="9"/>
  <c r="AB84" i="9" s="1"/>
  <c r="Q58" i="9"/>
  <c r="AB58" i="9" s="1"/>
  <c r="Q218" i="9"/>
  <c r="AB218" i="9" s="1"/>
  <c r="Q56" i="9"/>
  <c r="Q52" i="9"/>
  <c r="AB52" i="9" s="1"/>
  <c r="Q171" i="9"/>
  <c r="Q169" i="9"/>
  <c r="AB169" i="9" s="1"/>
  <c r="Q167" i="9"/>
  <c r="Q158" i="9"/>
  <c r="AB158" i="9" s="1"/>
  <c r="Q140" i="9"/>
  <c r="Q101" i="9"/>
  <c r="AB101" i="9" s="1"/>
  <c r="Q74" i="9"/>
  <c r="AB74" i="9" s="1"/>
  <c r="Q62" i="9"/>
  <c r="AB62" i="9" s="1"/>
  <c r="Q162" i="9"/>
  <c r="AB162" i="9" s="1"/>
  <c r="Q117" i="9"/>
  <c r="AB117" i="9" s="1"/>
  <c r="Q20" i="9"/>
  <c r="AB20" i="9" s="1"/>
  <c r="Q30" i="9"/>
  <c r="AB30" i="9" s="1"/>
  <c r="Q362" i="9"/>
  <c r="Q326" i="9"/>
  <c r="AB326" i="9" s="1"/>
  <c r="Q323" i="9"/>
  <c r="Q291" i="9"/>
  <c r="AB291" i="9" s="1"/>
  <c r="Q262" i="9"/>
  <c r="AB262" i="9" s="1"/>
  <c r="Q260" i="9"/>
  <c r="AB260" i="9" s="1"/>
  <c r="Q259" i="9"/>
  <c r="AB259" i="9" s="1"/>
  <c r="Q258" i="9"/>
  <c r="AB258" i="9" s="1"/>
  <c r="Q257" i="9"/>
  <c r="AB257" i="9" s="1"/>
  <c r="Q9" i="9"/>
  <c r="AB9" i="9" s="1"/>
  <c r="Q145" i="9"/>
  <c r="Q65" i="9"/>
  <c r="AB65" i="9" s="1"/>
  <c r="Q59" i="9"/>
  <c r="AB59" i="9" s="1"/>
  <c r="Q118" i="9"/>
  <c r="T118" i="9" s="1"/>
  <c r="R118" i="9" s="1"/>
  <c r="S118" i="9" s="1"/>
  <c r="I133" i="9"/>
  <c r="J133" i="9" s="1"/>
  <c r="P133" i="9" s="1"/>
  <c r="Q22" i="9"/>
  <c r="AB22" i="9" s="1"/>
  <c r="P35" i="9"/>
  <c r="Q363" i="9"/>
  <c r="AB363" i="9" s="1"/>
  <c r="Q343" i="9"/>
  <c r="AB343" i="9" s="1"/>
  <c r="Q341" i="9"/>
  <c r="AB341" i="9"/>
  <c r="Q340" i="9"/>
  <c r="AB340" i="9" s="1"/>
  <c r="Q339" i="9"/>
  <c r="AB339" i="9" s="1"/>
  <c r="Q337" i="9"/>
  <c r="AB337" i="9" s="1"/>
  <c r="Q336" i="9"/>
  <c r="AB336" i="9" s="1"/>
  <c r="Q334" i="9"/>
  <c r="Q332" i="9"/>
  <c r="AB332" i="9" s="1"/>
  <c r="Q331" i="9"/>
  <c r="AB331" i="9" s="1"/>
  <c r="Q293" i="9"/>
  <c r="AB293" i="9" s="1"/>
  <c r="Q289" i="9"/>
  <c r="Q364" i="9"/>
  <c r="AB364" i="9" s="1"/>
  <c r="Q352" i="9"/>
  <c r="AB352" i="9" s="1"/>
  <c r="Q351" i="9"/>
  <c r="AB351" i="9" s="1"/>
  <c r="Q350" i="9"/>
  <c r="Q349" i="9"/>
  <c r="AB349" i="9" s="1"/>
  <c r="Q348" i="9"/>
  <c r="Q261" i="9"/>
  <c r="AB261" i="9" s="1"/>
  <c r="Q292" i="9"/>
  <c r="AB292" i="9" s="1"/>
  <c r="Q288" i="9"/>
  <c r="AB288" i="9" s="1"/>
  <c r="Q287" i="9"/>
  <c r="AB287" i="9" s="1"/>
  <c r="Q286" i="9"/>
  <c r="AB286" i="9" s="1"/>
  <c r="Q285" i="9"/>
  <c r="AB285" i="9" s="1"/>
  <c r="Q284" i="9"/>
  <c r="AB284" i="9" s="1"/>
  <c r="Q283" i="9"/>
  <c r="AB283" i="9" s="1"/>
  <c r="Q282" i="9"/>
  <c r="AB282" i="9" s="1"/>
  <c r="Q281" i="9"/>
  <c r="AB281" i="9" s="1"/>
  <c r="Q280" i="9"/>
  <c r="AB280" i="9" s="1"/>
  <c r="Q279" i="9"/>
  <c r="AB279" i="9" s="1"/>
  <c r="Q278" i="9"/>
  <c r="AB278" i="9" s="1"/>
  <c r="Q277" i="9"/>
  <c r="AB277" i="9" s="1"/>
  <c r="Q276" i="9"/>
  <c r="AB276" i="9" s="1"/>
  <c r="Q254" i="9"/>
  <c r="Q252" i="9"/>
  <c r="AB252" i="9" s="1"/>
  <c r="Q250" i="9"/>
  <c r="Q248" i="9"/>
  <c r="AB248" i="9" s="1"/>
  <c r="Q246" i="9"/>
  <c r="Q197" i="9"/>
  <c r="AB197" i="9" s="1"/>
  <c r="Q195" i="9"/>
  <c r="AB195" i="9" s="1"/>
  <c r="Q193" i="9"/>
  <c r="AB193" i="9" s="1"/>
  <c r="Q191" i="9"/>
  <c r="AB191" i="9" s="1"/>
  <c r="Q179" i="9"/>
  <c r="AB179" i="9" s="1"/>
  <c r="Q178" i="9"/>
  <c r="AB178" i="9" s="1"/>
  <c r="Q177" i="9"/>
  <c r="AB177" i="9" s="1"/>
  <c r="Q176" i="9"/>
  <c r="AB176" i="9" s="1"/>
  <c r="Q175" i="9"/>
  <c r="AB175" i="9" s="1"/>
  <c r="Q174" i="9"/>
  <c r="AB174" i="9" s="1"/>
  <c r="Q173" i="9"/>
  <c r="AB173" i="9" s="1"/>
  <c r="Q172" i="9"/>
  <c r="AB172" i="9" s="1"/>
  <c r="Q256" i="9"/>
  <c r="Q185" i="9"/>
  <c r="Q184" i="9"/>
  <c r="AB184" i="9" s="1"/>
  <c r="Q183" i="9"/>
  <c r="AB183" i="9" s="1"/>
  <c r="Q182" i="9"/>
  <c r="AB182" i="9" s="1"/>
  <c r="Q181" i="9"/>
  <c r="AB181" i="9" s="1"/>
  <c r="Q180" i="9"/>
  <c r="AB180" i="9" s="1"/>
  <c r="Q255" i="9"/>
  <c r="AB255" i="9" s="1"/>
  <c r="Q225" i="9"/>
  <c r="AB225" i="9" s="1"/>
  <c r="Q190" i="9"/>
  <c r="AB190" i="9" s="1"/>
  <c r="Q189" i="9"/>
  <c r="AB189" i="9" s="1"/>
  <c r="Q40" i="9"/>
  <c r="AB40" i="9" s="1"/>
  <c r="Q28" i="9"/>
  <c r="AB28" i="9" s="1"/>
  <c r="Q68" i="9"/>
  <c r="Q25" i="9"/>
  <c r="AB25" i="9" s="1"/>
  <c r="Q8" i="9"/>
  <c r="AB8" i="9" s="1"/>
  <c r="P299" i="9"/>
  <c r="P69" i="9"/>
  <c r="F27" i="8"/>
  <c r="G27" i="8" s="1"/>
  <c r="H27" i="8" s="1"/>
  <c r="I27" i="8" s="1"/>
  <c r="G20" i="8"/>
  <c r="H20" i="8" s="1"/>
  <c r="I20" i="8" s="1"/>
  <c r="F20" i="8"/>
  <c r="F35" i="8" s="1"/>
  <c r="F23" i="8"/>
  <c r="G23" i="8" s="1"/>
  <c r="H23" i="8" s="1"/>
  <c r="I23" i="8" s="1"/>
  <c r="H14" i="8"/>
  <c r="D35" i="8"/>
  <c r="G16" i="8"/>
  <c r="H16" i="8" s="1"/>
  <c r="I16" i="8" s="1"/>
  <c r="G15" i="8"/>
  <c r="H15" i="8" s="1"/>
  <c r="I15" i="8" s="1"/>
  <c r="AC25" i="9" l="1"/>
  <c r="AC40" i="9"/>
  <c r="AD40" i="9" s="1"/>
  <c r="AC225" i="9"/>
  <c r="AC181" i="9"/>
  <c r="AD181" i="9" s="1"/>
  <c r="AC191" i="9"/>
  <c r="AC279" i="9"/>
  <c r="AD279" i="9" s="1"/>
  <c r="AC283" i="9"/>
  <c r="AC287" i="9"/>
  <c r="AD287" i="9" s="1"/>
  <c r="AC261" i="9"/>
  <c r="AC349" i="9"/>
  <c r="AD349" i="9" s="1"/>
  <c r="AC351" i="9"/>
  <c r="AC331" i="9"/>
  <c r="AD331" i="9" s="1"/>
  <c r="AC340" i="9"/>
  <c r="AC363" i="9"/>
  <c r="AD363" i="9" s="1"/>
  <c r="AC59" i="9"/>
  <c r="AC9" i="9"/>
  <c r="AD9" i="9" s="1"/>
  <c r="AC262" i="9"/>
  <c r="AW262" i="9" s="1"/>
  <c r="AC20" i="9"/>
  <c r="AD20" i="9" s="1"/>
  <c r="AC74" i="9"/>
  <c r="AC169" i="9"/>
  <c r="AD169" i="9" s="1"/>
  <c r="AC52" i="9"/>
  <c r="AC58" i="9"/>
  <c r="AD58" i="9" s="1"/>
  <c r="AC234" i="9"/>
  <c r="AC192" i="9"/>
  <c r="AD192" i="9" s="1"/>
  <c r="AC204" i="9"/>
  <c r="AC268" i="9"/>
  <c r="AD268" i="9" s="1"/>
  <c r="AC31" i="9"/>
  <c r="AC166" i="9"/>
  <c r="AD166" i="9" s="1"/>
  <c r="AC170" i="9"/>
  <c r="AC120" i="9"/>
  <c r="AD120" i="9" s="1"/>
  <c r="AC265" i="9"/>
  <c r="AC273" i="9"/>
  <c r="AD273" i="9" s="1"/>
  <c r="AC359" i="9"/>
  <c r="AC354" i="9"/>
  <c r="AD354" i="9" s="1"/>
  <c r="AC8" i="9"/>
  <c r="AC190" i="9"/>
  <c r="AD190" i="9" s="1"/>
  <c r="AC255" i="9"/>
  <c r="AC183" i="9"/>
  <c r="AD183" i="9" s="1"/>
  <c r="AC195" i="9"/>
  <c r="AC248" i="9"/>
  <c r="AD248" i="9" s="1"/>
  <c r="AC252" i="9"/>
  <c r="AC277" i="9"/>
  <c r="AD277" i="9" s="1"/>
  <c r="AC281" i="9"/>
  <c r="AC285" i="9"/>
  <c r="AD285" i="9" s="1"/>
  <c r="AC292" i="9"/>
  <c r="AC352" i="9"/>
  <c r="AD352" i="9" s="1"/>
  <c r="AC293" i="9"/>
  <c r="AC332" i="9"/>
  <c r="AD332" i="9" s="1"/>
  <c r="AC337" i="9"/>
  <c r="AC343" i="9"/>
  <c r="AD343" i="9" s="1"/>
  <c r="AC260" i="9"/>
  <c r="AW260" i="9" s="1"/>
  <c r="AC291" i="9"/>
  <c r="AD291" i="9" s="1"/>
  <c r="AC162" i="9"/>
  <c r="AD162" i="9" s="1"/>
  <c r="AC101" i="9"/>
  <c r="AD101" i="9" s="1"/>
  <c r="AC84" i="9"/>
  <c r="AD84" i="9" s="1"/>
  <c r="AC130" i="9"/>
  <c r="AD130" i="9" s="1"/>
  <c r="AC243" i="9"/>
  <c r="AD243" i="9" s="1"/>
  <c r="AC249" i="9"/>
  <c r="AD249" i="9" s="1"/>
  <c r="AC295" i="9"/>
  <c r="AD295" i="9" s="1"/>
  <c r="AC196" i="9"/>
  <c r="AD196" i="9" s="1"/>
  <c r="AC304" i="9"/>
  <c r="AD304" i="9" s="1"/>
  <c r="AC264" i="9"/>
  <c r="AD264" i="9" s="1"/>
  <c r="AC272" i="9"/>
  <c r="AD272" i="9" s="1"/>
  <c r="AC108" i="9"/>
  <c r="AD108" i="9" s="1"/>
  <c r="AC67" i="9"/>
  <c r="AD67" i="9" s="1"/>
  <c r="AC141" i="9"/>
  <c r="AD141" i="9" s="1"/>
  <c r="AC129" i="9"/>
  <c r="AD129" i="9" s="1"/>
  <c r="AC247" i="9"/>
  <c r="AD247" i="9" s="1"/>
  <c r="AC312" i="9"/>
  <c r="AD312" i="9" s="1"/>
  <c r="AC269" i="9"/>
  <c r="AD269" i="9" s="1"/>
  <c r="AC360" i="9"/>
  <c r="AD360" i="9" s="1"/>
  <c r="AC353" i="9"/>
  <c r="AW353" i="9" s="1"/>
  <c r="AC28" i="9"/>
  <c r="AD28" i="9" s="1"/>
  <c r="AC189" i="9"/>
  <c r="AD189" i="9" s="1"/>
  <c r="AC180" i="9"/>
  <c r="AD180" i="9" s="1"/>
  <c r="AC182" i="9"/>
  <c r="AD182" i="9" s="1"/>
  <c r="AC184" i="9"/>
  <c r="AD184" i="9" s="1"/>
  <c r="AC172" i="9"/>
  <c r="AW172" i="9" s="1"/>
  <c r="AC174" i="9"/>
  <c r="AW174" i="9" s="1"/>
  <c r="AC176" i="9"/>
  <c r="AW176" i="9" s="1"/>
  <c r="AC178" i="9"/>
  <c r="AW178" i="9" s="1"/>
  <c r="AC193" i="9"/>
  <c r="AD193" i="9" s="1"/>
  <c r="AC197" i="9"/>
  <c r="AW197" i="9" s="1"/>
  <c r="AC276" i="9"/>
  <c r="AD276" i="9" s="1"/>
  <c r="AC278" i="9"/>
  <c r="AD278" i="9" s="1"/>
  <c r="AC280" i="9"/>
  <c r="AD280" i="9" s="1"/>
  <c r="AC282" i="9"/>
  <c r="AD282" i="9" s="1"/>
  <c r="AC284" i="9"/>
  <c r="AD284" i="9" s="1"/>
  <c r="AC286" i="9"/>
  <c r="AD286" i="9" s="1"/>
  <c r="AC288" i="9"/>
  <c r="AD288" i="9" s="1"/>
  <c r="AC364" i="9"/>
  <c r="AD364" i="9" s="1"/>
  <c r="AC336" i="9"/>
  <c r="AD336" i="9" s="1"/>
  <c r="AC339" i="9"/>
  <c r="AD339" i="9" s="1"/>
  <c r="AC341" i="9"/>
  <c r="AD341" i="9" s="1"/>
  <c r="Q35" i="9"/>
  <c r="AB35" i="9" s="1"/>
  <c r="AC22" i="9"/>
  <c r="AD22" i="9" s="1"/>
  <c r="Q133" i="9"/>
  <c r="AB133" i="9" s="1"/>
  <c r="AC65" i="9"/>
  <c r="AD65" i="9" s="1"/>
  <c r="AC257" i="9"/>
  <c r="AW257" i="9" s="1"/>
  <c r="AC259" i="9"/>
  <c r="AW259" i="9" s="1"/>
  <c r="AC326" i="9"/>
  <c r="AD326" i="9" s="1"/>
  <c r="AC30" i="9"/>
  <c r="AD30" i="9" s="1"/>
  <c r="AC117" i="9"/>
  <c r="AD117" i="9" s="1"/>
  <c r="AC62" i="9"/>
  <c r="AD62" i="9" s="1"/>
  <c r="AC158" i="9"/>
  <c r="AD158" i="9" s="1"/>
  <c r="AC218" i="9"/>
  <c r="AD218" i="9" s="1"/>
  <c r="AC194" i="9"/>
  <c r="AD194" i="9" s="1"/>
  <c r="AC266" i="9"/>
  <c r="AD266" i="9" s="1"/>
  <c r="AC270" i="9"/>
  <c r="AD270" i="9" s="1"/>
  <c r="AC274" i="9"/>
  <c r="AD274" i="9" s="1"/>
  <c r="AC356" i="9"/>
  <c r="AD356" i="9" s="1"/>
  <c r="AC154" i="9"/>
  <c r="AD154" i="9" s="1"/>
  <c r="AC103" i="9"/>
  <c r="AD103" i="9" s="1"/>
  <c r="AC212" i="9"/>
  <c r="AD212" i="9" s="1"/>
  <c r="AC66" i="9"/>
  <c r="AD66" i="9" s="1"/>
  <c r="AC199" i="9"/>
  <c r="AD199" i="9" s="1"/>
  <c r="AC290" i="9"/>
  <c r="AD290" i="9" s="1"/>
  <c r="AC263" i="9"/>
  <c r="AD263" i="9" s="1"/>
  <c r="AC267" i="9"/>
  <c r="AD267" i="9" s="1"/>
  <c r="AC271" i="9"/>
  <c r="AD271" i="9" s="1"/>
  <c r="AC275" i="9"/>
  <c r="AD275" i="9" s="1"/>
  <c r="AC355" i="9"/>
  <c r="AD355" i="9" s="1"/>
  <c r="AB68" i="9"/>
  <c r="AB185" i="9"/>
  <c r="AB246" i="9"/>
  <c r="AB250" i="9"/>
  <c r="AB254" i="9"/>
  <c r="AB348" i="9"/>
  <c r="AB350" i="9"/>
  <c r="AB289" i="9"/>
  <c r="AB334" i="9"/>
  <c r="AB145" i="9"/>
  <c r="T262" i="9"/>
  <c r="AB323" i="9"/>
  <c r="AB362" i="9"/>
  <c r="AB140" i="9"/>
  <c r="AB167" i="9"/>
  <c r="AB171" i="9"/>
  <c r="AB56" i="9"/>
  <c r="AB124" i="9"/>
  <c r="AB245" i="9"/>
  <c r="AB253" i="9"/>
  <c r="AB357" i="9"/>
  <c r="AB11" i="9"/>
  <c r="AB61" i="9"/>
  <c r="AB99" i="9"/>
  <c r="AB168" i="9"/>
  <c r="AB43" i="9"/>
  <c r="AB224" i="9"/>
  <c r="AB89" i="9"/>
  <c r="AB244" i="9"/>
  <c r="AB251" i="9"/>
  <c r="T353" i="9"/>
  <c r="Q69" i="9"/>
  <c r="AB69" i="9" s="1"/>
  <c r="Q299" i="9"/>
  <c r="AC173" i="9"/>
  <c r="AJ173" i="9" s="1"/>
  <c r="AC175" i="9"/>
  <c r="AJ175" i="9" s="1"/>
  <c r="AJ177" i="9"/>
  <c r="AC177" i="9"/>
  <c r="AC179" i="9"/>
  <c r="AJ179" i="9" s="1"/>
  <c r="AC258" i="9"/>
  <c r="AJ258" i="9" s="1"/>
  <c r="AB256" i="9"/>
  <c r="T260" i="9"/>
  <c r="AB320" i="9"/>
  <c r="H35" i="8"/>
  <c r="I14" i="8"/>
  <c r="I35" i="8" s="1"/>
  <c r="G35" i="8"/>
  <c r="AJ172" i="9" l="1"/>
  <c r="AJ259" i="9"/>
  <c r="AJ176" i="9"/>
  <c r="AC133" i="9"/>
  <c r="AC320" i="9"/>
  <c r="AJ320" i="9" s="1"/>
  <c r="AZ260" i="9"/>
  <c r="X260" i="9"/>
  <c r="BC260" i="9"/>
  <c r="AH260" i="9"/>
  <c r="R260" i="9"/>
  <c r="S260" i="9" s="1"/>
  <c r="AW258" i="9"/>
  <c r="T258" i="9"/>
  <c r="AW177" i="9"/>
  <c r="T177" i="9"/>
  <c r="AW173" i="9"/>
  <c r="T173" i="9"/>
  <c r="AC251" i="9"/>
  <c r="AD251" i="9" s="1"/>
  <c r="AC89" i="9"/>
  <c r="AC43" i="9"/>
  <c r="AD43" i="9" s="1"/>
  <c r="AC99" i="9"/>
  <c r="AC11" i="9"/>
  <c r="AD11" i="9" s="1"/>
  <c r="AC253" i="9"/>
  <c r="AC124" i="9"/>
  <c r="AD124" i="9" s="1"/>
  <c r="AC171" i="9"/>
  <c r="AC140" i="9"/>
  <c r="AD140" i="9" s="1"/>
  <c r="AC323" i="9"/>
  <c r="AC145" i="9"/>
  <c r="AD145" i="9" s="1"/>
  <c r="AC289" i="9"/>
  <c r="AC348" i="9"/>
  <c r="AD348" i="9" s="1"/>
  <c r="AC250" i="9"/>
  <c r="AC185" i="9"/>
  <c r="AD185" i="9" s="1"/>
  <c r="AW355" i="9"/>
  <c r="T355" i="9"/>
  <c r="AW271" i="9"/>
  <c r="T271" i="9"/>
  <c r="AW263" i="9"/>
  <c r="T263" i="9"/>
  <c r="AW199" i="9"/>
  <c r="T199" i="9"/>
  <c r="AW212" i="9"/>
  <c r="T212" i="9"/>
  <c r="AW154" i="9"/>
  <c r="T154" i="9"/>
  <c r="AW274" i="9"/>
  <c r="T274" i="9"/>
  <c r="AW266" i="9"/>
  <c r="T266" i="9"/>
  <c r="AW218" i="9"/>
  <c r="T218" i="9"/>
  <c r="AW62" i="9"/>
  <c r="T62" i="9"/>
  <c r="AW30" i="9"/>
  <c r="T30" i="9"/>
  <c r="AW65" i="9"/>
  <c r="T65" i="9"/>
  <c r="AW22" i="9"/>
  <c r="T22" i="9"/>
  <c r="AW341" i="9"/>
  <c r="T341" i="9"/>
  <c r="AW336" i="9"/>
  <c r="T336" i="9"/>
  <c r="AW288" i="9"/>
  <c r="T288" i="9"/>
  <c r="AW284" i="9"/>
  <c r="T284" i="9"/>
  <c r="AW280" i="9"/>
  <c r="T280" i="9"/>
  <c r="AW276" i="9"/>
  <c r="T276" i="9"/>
  <c r="AW193" i="9"/>
  <c r="T193" i="9"/>
  <c r="AW182" i="9"/>
  <c r="T182" i="9"/>
  <c r="AW189" i="9"/>
  <c r="T189" i="9"/>
  <c r="AW360" i="9"/>
  <c r="T360" i="9"/>
  <c r="AW312" i="9"/>
  <c r="T312" i="9"/>
  <c r="AW129" i="9"/>
  <c r="T129" i="9"/>
  <c r="AW67" i="9"/>
  <c r="T67" i="9"/>
  <c r="AW272" i="9"/>
  <c r="T272" i="9"/>
  <c r="AW304" i="9"/>
  <c r="T304" i="9"/>
  <c r="AW295" i="9"/>
  <c r="T295" i="9"/>
  <c r="AW243" i="9"/>
  <c r="T243" i="9"/>
  <c r="AW84" i="9"/>
  <c r="T84" i="9"/>
  <c r="AW162" i="9"/>
  <c r="T162" i="9"/>
  <c r="AW337" i="9"/>
  <c r="T337" i="9"/>
  <c r="AW293" i="9"/>
  <c r="T293" i="9"/>
  <c r="AW292" i="9"/>
  <c r="T292" i="9"/>
  <c r="AW281" i="9"/>
  <c r="T281" i="9"/>
  <c r="AW252" i="9"/>
  <c r="T252" i="9"/>
  <c r="AW195" i="9"/>
  <c r="T195" i="9"/>
  <c r="AW255" i="9"/>
  <c r="T255" i="9"/>
  <c r="AW8" i="9"/>
  <c r="T8" i="9"/>
  <c r="AW359" i="9"/>
  <c r="T359" i="9"/>
  <c r="AW265" i="9"/>
  <c r="T265" i="9"/>
  <c r="AW170" i="9"/>
  <c r="T170" i="9"/>
  <c r="AW31" i="9"/>
  <c r="T31" i="9"/>
  <c r="AW204" i="9"/>
  <c r="T204" i="9"/>
  <c r="AW234" i="9"/>
  <c r="T234" i="9"/>
  <c r="AW52" i="9"/>
  <c r="T52" i="9"/>
  <c r="AW74" i="9"/>
  <c r="T74" i="9"/>
  <c r="AW59" i="9"/>
  <c r="T59" i="9"/>
  <c r="AW340" i="9"/>
  <c r="T340" i="9"/>
  <c r="AW351" i="9"/>
  <c r="T351" i="9"/>
  <c r="AW261" i="9"/>
  <c r="T261" i="9"/>
  <c r="AW283" i="9"/>
  <c r="T283" i="9"/>
  <c r="AW191" i="9"/>
  <c r="T191" i="9"/>
  <c r="AW225" i="9"/>
  <c r="T225" i="9"/>
  <c r="AW25" i="9"/>
  <c r="T25" i="9"/>
  <c r="AD258" i="9"/>
  <c r="AD177" i="9"/>
  <c r="AD173" i="9"/>
  <c r="AB299" i="9"/>
  <c r="AB366" i="9" s="1"/>
  <c r="AB368" i="9" s="1"/>
  <c r="AJ355" i="9"/>
  <c r="AJ271" i="9"/>
  <c r="AJ263" i="9"/>
  <c r="AJ199" i="9"/>
  <c r="AJ212" i="9"/>
  <c r="AJ154" i="9"/>
  <c r="AJ274" i="9"/>
  <c r="AJ266" i="9"/>
  <c r="AJ218" i="9"/>
  <c r="AJ62" i="9"/>
  <c r="AJ30" i="9"/>
  <c r="AD259" i="9"/>
  <c r="AJ257" i="9"/>
  <c r="AJ65" i="9"/>
  <c r="AJ22" i="9"/>
  <c r="AJ341" i="9"/>
  <c r="AJ336" i="9"/>
  <c r="AJ288" i="9"/>
  <c r="AJ284" i="9"/>
  <c r="AJ280" i="9"/>
  <c r="AJ276" i="9"/>
  <c r="AD197" i="9"/>
  <c r="AJ193" i="9"/>
  <c r="AJ178" i="9"/>
  <c r="AD176" i="9"/>
  <c r="AJ174" i="9"/>
  <c r="AD172" i="9"/>
  <c r="AJ182" i="9"/>
  <c r="AJ189" i="9"/>
  <c r="T176" i="9"/>
  <c r="T172" i="9"/>
  <c r="AD353" i="9"/>
  <c r="AJ360" i="9"/>
  <c r="AJ312" i="9"/>
  <c r="AJ129" i="9"/>
  <c r="AJ67" i="9"/>
  <c r="AJ272" i="9"/>
  <c r="AJ304" i="9"/>
  <c r="AJ295" i="9"/>
  <c r="AJ243" i="9"/>
  <c r="AJ84" i="9"/>
  <c r="AJ162" i="9"/>
  <c r="AJ260" i="9"/>
  <c r="AJ337" i="9"/>
  <c r="AJ293" i="9"/>
  <c r="AJ292" i="9"/>
  <c r="AJ281" i="9"/>
  <c r="AJ252" i="9"/>
  <c r="AJ195" i="9"/>
  <c r="AJ255" i="9"/>
  <c r="AJ8" i="9"/>
  <c r="T259" i="9"/>
  <c r="AJ359" i="9"/>
  <c r="AJ265" i="9"/>
  <c r="AJ170" i="9"/>
  <c r="AJ31" i="9"/>
  <c r="AJ204" i="9"/>
  <c r="AJ234" i="9"/>
  <c r="AJ52" i="9"/>
  <c r="AJ74" i="9"/>
  <c r="AJ262" i="9"/>
  <c r="AJ59" i="9"/>
  <c r="AJ340" i="9"/>
  <c r="AJ351" i="9"/>
  <c r="AJ261" i="9"/>
  <c r="AJ283" i="9"/>
  <c r="AJ191" i="9"/>
  <c r="AJ225" i="9"/>
  <c r="AJ25" i="9"/>
  <c r="AC256" i="9"/>
  <c r="AJ256" i="9" s="1"/>
  <c r="AW179" i="9"/>
  <c r="T179" i="9"/>
  <c r="AW175" i="9"/>
  <c r="T175" i="9"/>
  <c r="AC69" i="9"/>
  <c r="AD69" i="9" s="1"/>
  <c r="BC353" i="9"/>
  <c r="X353" i="9"/>
  <c r="R353" i="9"/>
  <c r="S353" i="9" s="1"/>
  <c r="AZ353" i="9"/>
  <c r="AH353" i="9"/>
  <c r="V353" i="9"/>
  <c r="AC244" i="9"/>
  <c r="AD244" i="9" s="1"/>
  <c r="AC224" i="9"/>
  <c r="AD224" i="9" s="1"/>
  <c r="AC168" i="9"/>
  <c r="AD168" i="9" s="1"/>
  <c r="AC61" i="9"/>
  <c r="AD61" i="9" s="1"/>
  <c r="AC357" i="9"/>
  <c r="AD357" i="9" s="1"/>
  <c r="AC245" i="9"/>
  <c r="AD245" i="9" s="1"/>
  <c r="AC56" i="9"/>
  <c r="AD56" i="9" s="1"/>
  <c r="AC167" i="9"/>
  <c r="AD167" i="9" s="1"/>
  <c r="AC362" i="9"/>
  <c r="AD362" i="9" s="1"/>
  <c r="BC262" i="9"/>
  <c r="AH262" i="9"/>
  <c r="R262" i="9"/>
  <c r="S262" i="9" s="1"/>
  <c r="AZ262" i="9"/>
  <c r="X262" i="9"/>
  <c r="AC334" i="9"/>
  <c r="AD334" i="9" s="1"/>
  <c r="AC350" i="9"/>
  <c r="AD350" i="9" s="1"/>
  <c r="AC254" i="9"/>
  <c r="AD254" i="9" s="1"/>
  <c r="AC246" i="9"/>
  <c r="AD246" i="9" s="1"/>
  <c r="AC68" i="9"/>
  <c r="AD68" i="9" s="1"/>
  <c r="AW275" i="9"/>
  <c r="T275" i="9"/>
  <c r="AW267" i="9"/>
  <c r="T267" i="9"/>
  <c r="AW290" i="9"/>
  <c r="T290" i="9"/>
  <c r="AW66" i="9"/>
  <c r="T66" i="9"/>
  <c r="AW103" i="9"/>
  <c r="T103" i="9"/>
  <c r="AW356" i="9"/>
  <c r="T356" i="9"/>
  <c r="AW270" i="9"/>
  <c r="T270" i="9"/>
  <c r="AW194" i="9"/>
  <c r="T194" i="9"/>
  <c r="AW158" i="9"/>
  <c r="T158" i="9"/>
  <c r="AW117" i="9"/>
  <c r="T117" i="9"/>
  <c r="AW326" i="9"/>
  <c r="T326" i="9"/>
  <c r="AC35" i="9"/>
  <c r="AW35" i="9" s="1"/>
  <c r="AW339" i="9"/>
  <c r="T339" i="9"/>
  <c r="AW364" i="9"/>
  <c r="T364" i="9"/>
  <c r="AW286" i="9"/>
  <c r="T286" i="9"/>
  <c r="AW282" i="9"/>
  <c r="T282" i="9"/>
  <c r="AW278" i="9"/>
  <c r="T278" i="9"/>
  <c r="AW184" i="9"/>
  <c r="T184" i="9"/>
  <c r="AW180" i="9"/>
  <c r="T180" i="9"/>
  <c r="AW28" i="9"/>
  <c r="T28" i="9"/>
  <c r="AW269" i="9"/>
  <c r="T269" i="9"/>
  <c r="AW247" i="9"/>
  <c r="T247" i="9"/>
  <c r="AW141" i="9"/>
  <c r="T141" i="9"/>
  <c r="AW108" i="9"/>
  <c r="T108" i="9"/>
  <c r="AW264" i="9"/>
  <c r="T264" i="9"/>
  <c r="AW196" i="9"/>
  <c r="T196" i="9"/>
  <c r="AW249" i="9"/>
  <c r="T249" i="9"/>
  <c r="AW130" i="9"/>
  <c r="T130" i="9"/>
  <c r="AW101" i="9"/>
  <c r="T101" i="9"/>
  <c r="AW291" i="9"/>
  <c r="T291" i="9"/>
  <c r="AW343" i="9"/>
  <c r="T343" i="9"/>
  <c r="AW332" i="9"/>
  <c r="T332" i="9"/>
  <c r="AW352" i="9"/>
  <c r="T352" i="9"/>
  <c r="AW285" i="9"/>
  <c r="T285" i="9"/>
  <c r="AW277" i="9"/>
  <c r="T277" i="9"/>
  <c r="AW248" i="9"/>
  <c r="T248" i="9"/>
  <c r="AW183" i="9"/>
  <c r="T183" i="9"/>
  <c r="AW190" i="9"/>
  <c r="T190" i="9"/>
  <c r="AW354" i="9"/>
  <c r="T354" i="9"/>
  <c r="AW273" i="9"/>
  <c r="T273" i="9"/>
  <c r="AW120" i="9"/>
  <c r="T120" i="9"/>
  <c r="AW166" i="9"/>
  <c r="T166" i="9"/>
  <c r="AW268" i="9"/>
  <c r="T268" i="9"/>
  <c r="AW192" i="9"/>
  <c r="T192" i="9"/>
  <c r="AW58" i="9"/>
  <c r="T58" i="9"/>
  <c r="AW169" i="9"/>
  <c r="T169" i="9"/>
  <c r="AW20" i="9"/>
  <c r="T20" i="9"/>
  <c r="AW9" i="9"/>
  <c r="T9" i="9"/>
  <c r="AW363" i="9"/>
  <c r="T363" i="9"/>
  <c r="AW331" i="9"/>
  <c r="T331" i="9"/>
  <c r="AW349" i="9"/>
  <c r="T349" i="9"/>
  <c r="AW287" i="9"/>
  <c r="T287" i="9"/>
  <c r="AW279" i="9"/>
  <c r="T279" i="9"/>
  <c r="AW181" i="9"/>
  <c r="T181" i="9"/>
  <c r="AW40" i="9"/>
  <c r="T40" i="9"/>
  <c r="AD179" i="9"/>
  <c r="AD175" i="9"/>
  <c r="AJ275" i="9"/>
  <c r="AJ267" i="9"/>
  <c r="AJ290" i="9"/>
  <c r="AJ66" i="9"/>
  <c r="AJ103" i="9"/>
  <c r="AJ356" i="9"/>
  <c r="AJ270" i="9"/>
  <c r="AJ194" i="9"/>
  <c r="AJ158" i="9"/>
  <c r="AJ117" i="9"/>
  <c r="AJ326" i="9"/>
  <c r="AD257" i="9"/>
  <c r="AJ339" i="9"/>
  <c r="AJ364" i="9"/>
  <c r="AJ286" i="9"/>
  <c r="AJ282" i="9"/>
  <c r="AJ278" i="9"/>
  <c r="AJ197" i="9"/>
  <c r="AD178" i="9"/>
  <c r="AD174" i="9"/>
  <c r="AJ184" i="9"/>
  <c r="AJ180" i="9"/>
  <c r="AJ28" i="9"/>
  <c r="T178" i="9"/>
  <c r="T174" i="9"/>
  <c r="AJ353" i="9"/>
  <c r="AJ269" i="9"/>
  <c r="AJ247" i="9"/>
  <c r="AJ141" i="9"/>
  <c r="AJ108" i="9"/>
  <c r="AJ264" i="9"/>
  <c r="AJ196" i="9"/>
  <c r="AJ249" i="9"/>
  <c r="AJ130" i="9"/>
  <c r="AJ101" i="9"/>
  <c r="AJ291" i="9"/>
  <c r="AD260" i="9"/>
  <c r="AJ343" i="9"/>
  <c r="AD337" i="9"/>
  <c r="AJ332" i="9"/>
  <c r="AD293" i="9"/>
  <c r="AJ352" i="9"/>
  <c r="AD292" i="9"/>
  <c r="AJ285" i="9"/>
  <c r="AD281" i="9"/>
  <c r="AJ277" i="9"/>
  <c r="AD252" i="9"/>
  <c r="AJ248" i="9"/>
  <c r="AD195" i="9"/>
  <c r="AJ183" i="9"/>
  <c r="AD255" i="9"/>
  <c r="AJ190" i="9"/>
  <c r="AD8" i="9"/>
  <c r="T257" i="9"/>
  <c r="T197" i="9"/>
  <c r="AJ354" i="9"/>
  <c r="AD359" i="9"/>
  <c r="AJ273" i="9"/>
  <c r="AD265" i="9"/>
  <c r="AJ120" i="9"/>
  <c r="AD170" i="9"/>
  <c r="AJ166" i="9"/>
  <c r="AD31" i="9"/>
  <c r="AJ268" i="9"/>
  <c r="AD204" i="9"/>
  <c r="AJ192" i="9"/>
  <c r="AD234" i="9"/>
  <c r="AJ58" i="9"/>
  <c r="AD52" i="9"/>
  <c r="AJ169" i="9"/>
  <c r="AD74" i="9"/>
  <c r="AJ20" i="9"/>
  <c r="AD262" i="9"/>
  <c r="AJ9" i="9"/>
  <c r="AD59" i="9"/>
  <c r="AJ363" i="9"/>
  <c r="AD340" i="9"/>
  <c r="AJ331" i="9"/>
  <c r="AD351" i="9"/>
  <c r="AJ349" i="9"/>
  <c r="AD261" i="9"/>
  <c r="AJ287" i="9"/>
  <c r="AD283" i="9"/>
  <c r="AJ279" i="9"/>
  <c r="AD191" i="9"/>
  <c r="AJ181" i="9"/>
  <c r="AD225" i="9"/>
  <c r="AJ40" i="9"/>
  <c r="AD25" i="9"/>
  <c r="AJ35" i="9" l="1"/>
  <c r="AZ197" i="9"/>
  <c r="AH197" i="9"/>
  <c r="R197" i="9"/>
  <c r="S197" i="9" s="1"/>
  <c r="BC197" i="9"/>
  <c r="X197" i="9"/>
  <c r="BC178" i="9"/>
  <c r="AH178" i="9"/>
  <c r="V178" i="9"/>
  <c r="AZ178" i="9"/>
  <c r="X178" i="9"/>
  <c r="R178" i="9"/>
  <c r="S178" i="9" s="1"/>
  <c r="AZ40" i="9"/>
  <c r="AH40" i="9"/>
  <c r="V40" i="9"/>
  <c r="BC40" i="9"/>
  <c r="X40" i="9"/>
  <c r="R40" i="9"/>
  <c r="S40" i="9" s="1"/>
  <c r="BC181" i="9"/>
  <c r="AH181" i="9"/>
  <c r="V181" i="9"/>
  <c r="AZ181" i="9"/>
  <c r="X181" i="9"/>
  <c r="R181" i="9"/>
  <c r="S181" i="9" s="1"/>
  <c r="BC279" i="9"/>
  <c r="AH279" i="9"/>
  <c r="V279" i="9"/>
  <c r="AZ279" i="9"/>
  <c r="X279" i="9"/>
  <c r="R279" i="9"/>
  <c r="S279" i="9" s="1"/>
  <c r="BC287" i="9"/>
  <c r="AH287" i="9"/>
  <c r="V287" i="9"/>
  <c r="AZ287" i="9"/>
  <c r="X287" i="9"/>
  <c r="R287" i="9"/>
  <c r="S287" i="9" s="1"/>
  <c r="BC349" i="9"/>
  <c r="X349" i="9"/>
  <c r="R349" i="9"/>
  <c r="S349" i="9" s="1"/>
  <c r="AZ349" i="9"/>
  <c r="AH349" i="9"/>
  <c r="V349" i="9"/>
  <c r="BC331" i="9"/>
  <c r="AH331" i="9"/>
  <c r="V331" i="9"/>
  <c r="AZ331" i="9"/>
  <c r="X331" i="9"/>
  <c r="R331" i="9"/>
  <c r="S331" i="9" s="1"/>
  <c r="BC363" i="9"/>
  <c r="X363" i="9"/>
  <c r="R363" i="9"/>
  <c r="S363" i="9" s="1"/>
  <c r="AZ363" i="9"/>
  <c r="AH363" i="9"/>
  <c r="V363" i="9"/>
  <c r="BC9" i="9"/>
  <c r="X9" i="9"/>
  <c r="R9" i="9"/>
  <c r="S9" i="9" s="1"/>
  <c r="AZ9" i="9"/>
  <c r="AH9" i="9"/>
  <c r="V9" i="9"/>
  <c r="BC20" i="9"/>
  <c r="AH20" i="9"/>
  <c r="V20" i="9"/>
  <c r="AZ20" i="9"/>
  <c r="X20" i="9"/>
  <c r="R20" i="9"/>
  <c r="S20" i="9" s="1"/>
  <c r="AZ169" i="9"/>
  <c r="X169" i="9"/>
  <c r="R169" i="9"/>
  <c r="S169" i="9" s="1"/>
  <c r="BC169" i="9"/>
  <c r="AH169" i="9"/>
  <c r="V169" i="9"/>
  <c r="AZ58" i="9"/>
  <c r="AH58" i="9"/>
  <c r="V58" i="9"/>
  <c r="BC58" i="9"/>
  <c r="X58" i="9"/>
  <c r="R58" i="9"/>
  <c r="S58" i="9" s="1"/>
  <c r="BC192" i="9"/>
  <c r="AH192" i="9"/>
  <c r="V192" i="9"/>
  <c r="AZ192" i="9"/>
  <c r="X192" i="9"/>
  <c r="R192" i="9"/>
  <c r="S192" i="9" s="1"/>
  <c r="BC268" i="9"/>
  <c r="AH268" i="9"/>
  <c r="V268" i="9"/>
  <c r="AZ268" i="9"/>
  <c r="X268" i="9"/>
  <c r="R268" i="9"/>
  <c r="S268" i="9" s="1"/>
  <c r="AZ166" i="9"/>
  <c r="X166" i="9"/>
  <c r="R166" i="9"/>
  <c r="S166" i="9" s="1"/>
  <c r="BC166" i="9"/>
  <c r="AH166" i="9"/>
  <c r="V166" i="9"/>
  <c r="AZ120" i="9"/>
  <c r="X120" i="9"/>
  <c r="R120" i="9"/>
  <c r="S120" i="9" s="1"/>
  <c r="BC120" i="9"/>
  <c r="AH120" i="9"/>
  <c r="V120" i="9"/>
  <c r="BC273" i="9"/>
  <c r="AH273" i="9"/>
  <c r="V273" i="9"/>
  <c r="AZ273" i="9"/>
  <c r="X273" i="9"/>
  <c r="R273" i="9"/>
  <c r="S273" i="9" s="1"/>
  <c r="BC354" i="9"/>
  <c r="AH354" i="9"/>
  <c r="V354" i="9"/>
  <c r="AZ354" i="9"/>
  <c r="X354" i="9"/>
  <c r="R354" i="9"/>
  <c r="S354" i="9" s="1"/>
  <c r="BC190" i="9"/>
  <c r="AH190" i="9"/>
  <c r="V190" i="9"/>
  <c r="AZ190" i="9"/>
  <c r="X190" i="9"/>
  <c r="R190" i="9"/>
  <c r="S190" i="9" s="1"/>
  <c r="BC183" i="9"/>
  <c r="AH183" i="9"/>
  <c r="V183" i="9"/>
  <c r="AZ183" i="9"/>
  <c r="X183" i="9"/>
  <c r="R183" i="9"/>
  <c r="S183" i="9" s="1"/>
  <c r="AZ248" i="9"/>
  <c r="X248" i="9"/>
  <c r="R248" i="9"/>
  <c r="S248" i="9" s="1"/>
  <c r="BC248" i="9"/>
  <c r="AH248" i="9"/>
  <c r="V248" i="9"/>
  <c r="BC277" i="9"/>
  <c r="AH277" i="9"/>
  <c r="V277" i="9"/>
  <c r="AZ277" i="9"/>
  <c r="X277" i="9"/>
  <c r="R277" i="9"/>
  <c r="S277" i="9" s="1"/>
  <c r="BC285" i="9"/>
  <c r="AH285" i="9"/>
  <c r="V285" i="9"/>
  <c r="AZ285" i="9"/>
  <c r="X285" i="9"/>
  <c r="R285" i="9"/>
  <c r="S285" i="9" s="1"/>
  <c r="AZ352" i="9"/>
  <c r="AH352" i="9"/>
  <c r="V352" i="9"/>
  <c r="BC352" i="9"/>
  <c r="X352" i="9"/>
  <c r="R352" i="9"/>
  <c r="S352" i="9" s="1"/>
  <c r="AZ332" i="9"/>
  <c r="X332" i="9"/>
  <c r="R332" i="9"/>
  <c r="S332" i="9" s="1"/>
  <c r="BC332" i="9"/>
  <c r="AH332" i="9"/>
  <c r="V332" i="9"/>
  <c r="AZ343" i="9"/>
  <c r="AH343" i="9"/>
  <c r="V343" i="9"/>
  <c r="BC343" i="9"/>
  <c r="X343" i="9"/>
  <c r="R343" i="9"/>
  <c r="S343" i="9" s="1"/>
  <c r="BC291" i="9"/>
  <c r="X291" i="9"/>
  <c r="R291" i="9"/>
  <c r="S291" i="9" s="1"/>
  <c r="AZ291" i="9"/>
  <c r="AH291" i="9"/>
  <c r="V291" i="9"/>
  <c r="AZ101" i="9"/>
  <c r="X101" i="9"/>
  <c r="R101" i="9"/>
  <c r="S101" i="9" s="1"/>
  <c r="BC101" i="9"/>
  <c r="AH101" i="9"/>
  <c r="V101" i="9"/>
  <c r="BC130" i="9"/>
  <c r="X130" i="9"/>
  <c r="R130" i="9"/>
  <c r="S130" i="9" s="1"/>
  <c r="AZ130" i="9"/>
  <c r="AH130" i="9"/>
  <c r="V130" i="9"/>
  <c r="AZ249" i="9"/>
  <c r="X249" i="9"/>
  <c r="R249" i="9"/>
  <c r="S249" i="9" s="1"/>
  <c r="BC249" i="9"/>
  <c r="AH249" i="9"/>
  <c r="V249" i="9"/>
  <c r="BC196" i="9"/>
  <c r="AH196" i="9"/>
  <c r="V196" i="9"/>
  <c r="AZ196" i="9"/>
  <c r="X196" i="9"/>
  <c r="R196" i="9"/>
  <c r="S196" i="9" s="1"/>
  <c r="BC264" i="9"/>
  <c r="AH264" i="9"/>
  <c r="V264" i="9"/>
  <c r="AZ264" i="9"/>
  <c r="X264" i="9"/>
  <c r="R264" i="9"/>
  <c r="S264" i="9" s="1"/>
  <c r="AZ108" i="9"/>
  <c r="AH108" i="9"/>
  <c r="V108" i="9"/>
  <c r="BC108" i="9"/>
  <c r="X108" i="9"/>
  <c r="R108" i="9"/>
  <c r="S108" i="9" s="1"/>
  <c r="BC141" i="9"/>
  <c r="AH141" i="9"/>
  <c r="V141" i="9"/>
  <c r="AZ141" i="9"/>
  <c r="X141" i="9"/>
  <c r="R141" i="9"/>
  <c r="S141" i="9" s="1"/>
  <c r="AZ247" i="9"/>
  <c r="X247" i="9"/>
  <c r="R247" i="9"/>
  <c r="S247" i="9" s="1"/>
  <c r="BC247" i="9"/>
  <c r="AH247" i="9"/>
  <c r="V247" i="9"/>
  <c r="BC269" i="9"/>
  <c r="AH269" i="9"/>
  <c r="V269" i="9"/>
  <c r="AZ269" i="9"/>
  <c r="X269" i="9"/>
  <c r="R269" i="9"/>
  <c r="S269" i="9" s="1"/>
  <c r="AZ28" i="9"/>
  <c r="AH28" i="9"/>
  <c r="V28" i="9"/>
  <c r="BC28" i="9"/>
  <c r="X28" i="9"/>
  <c r="R28" i="9"/>
  <c r="S28" i="9" s="1"/>
  <c r="BC180" i="9"/>
  <c r="AH180" i="9"/>
  <c r="V180" i="9"/>
  <c r="AZ180" i="9"/>
  <c r="X180" i="9"/>
  <c r="R180" i="9"/>
  <c r="S180" i="9" s="1"/>
  <c r="BC184" i="9"/>
  <c r="AH184" i="9"/>
  <c r="V184" i="9"/>
  <c r="AZ184" i="9"/>
  <c r="X184" i="9"/>
  <c r="R184" i="9"/>
  <c r="S184" i="9" s="1"/>
  <c r="BC278" i="9"/>
  <c r="AH278" i="9"/>
  <c r="V278" i="9"/>
  <c r="AZ278" i="9"/>
  <c r="X278" i="9"/>
  <c r="R278" i="9"/>
  <c r="S278" i="9" s="1"/>
  <c r="BC282" i="9"/>
  <c r="AH282" i="9"/>
  <c r="V282" i="9"/>
  <c r="AZ282" i="9"/>
  <c r="X282" i="9"/>
  <c r="R282" i="9"/>
  <c r="S282" i="9" s="1"/>
  <c r="BC286" i="9"/>
  <c r="AH286" i="9"/>
  <c r="V286" i="9"/>
  <c r="AZ286" i="9"/>
  <c r="X286" i="9"/>
  <c r="R286" i="9"/>
  <c r="S286" i="9" s="1"/>
  <c r="BC364" i="9"/>
  <c r="AH364" i="9"/>
  <c r="V364" i="9"/>
  <c r="AZ364" i="9"/>
  <c r="X364" i="9"/>
  <c r="R364" i="9"/>
  <c r="S364" i="9" s="1"/>
  <c r="BC339" i="9"/>
  <c r="AH339" i="9"/>
  <c r="V339" i="9"/>
  <c r="AZ339" i="9"/>
  <c r="X339" i="9"/>
  <c r="R339" i="9"/>
  <c r="S339" i="9" s="1"/>
  <c r="AW246" i="9"/>
  <c r="T246" i="9"/>
  <c r="AW350" i="9"/>
  <c r="T350" i="9"/>
  <c r="AW167" i="9"/>
  <c r="T167" i="9"/>
  <c r="AW245" i="9"/>
  <c r="T245" i="9"/>
  <c r="AW61" i="9"/>
  <c r="T61" i="9"/>
  <c r="AW224" i="9"/>
  <c r="T224" i="9"/>
  <c r="AW69" i="9"/>
  <c r="T69" i="9"/>
  <c r="BC172" i="9"/>
  <c r="AH172" i="9"/>
  <c r="V172" i="9"/>
  <c r="AZ172" i="9"/>
  <c r="X172" i="9"/>
  <c r="R172" i="9"/>
  <c r="S172" i="9" s="1"/>
  <c r="AW250" i="9"/>
  <c r="T250" i="9"/>
  <c r="AW289" i="9"/>
  <c r="T289" i="9"/>
  <c r="AW323" i="9"/>
  <c r="T323" i="9"/>
  <c r="AW171" i="9"/>
  <c r="T171" i="9"/>
  <c r="AW253" i="9"/>
  <c r="T253" i="9"/>
  <c r="AW99" i="9"/>
  <c r="T99" i="9"/>
  <c r="AW89" i="9"/>
  <c r="T89" i="9"/>
  <c r="BC173" i="9"/>
  <c r="AH173" i="9"/>
  <c r="V173" i="9"/>
  <c r="AZ173" i="9"/>
  <c r="X173" i="9"/>
  <c r="R173" i="9"/>
  <c r="S173" i="9" s="1"/>
  <c r="BC177" i="9"/>
  <c r="AH177" i="9"/>
  <c r="V177" i="9"/>
  <c r="AZ177" i="9"/>
  <c r="X177" i="9"/>
  <c r="R177" i="9"/>
  <c r="S177" i="9" s="1"/>
  <c r="BC258" i="9"/>
  <c r="AH258" i="9"/>
  <c r="V258" i="9"/>
  <c r="AZ258" i="9"/>
  <c r="X258" i="9"/>
  <c r="R258" i="9"/>
  <c r="S258" i="9" s="1"/>
  <c r="AW133" i="9"/>
  <c r="T133" i="9"/>
  <c r="AD35" i="9"/>
  <c r="AJ246" i="9"/>
  <c r="AJ350" i="9"/>
  <c r="AJ167" i="9"/>
  <c r="AJ245" i="9"/>
  <c r="AJ61" i="9"/>
  <c r="AJ224" i="9"/>
  <c r="AJ69" i="9"/>
  <c r="AJ250" i="9"/>
  <c r="AJ289" i="9"/>
  <c r="AJ323" i="9"/>
  <c r="AD171" i="9"/>
  <c r="AJ253" i="9"/>
  <c r="AJ99" i="9"/>
  <c r="AJ89" i="9"/>
  <c r="T35" i="9"/>
  <c r="AJ133" i="9"/>
  <c r="BC257" i="9"/>
  <c r="AH257" i="9"/>
  <c r="V257" i="9"/>
  <c r="AZ257" i="9"/>
  <c r="X257" i="9"/>
  <c r="R257" i="9"/>
  <c r="S257" i="9" s="1"/>
  <c r="BC174" i="9"/>
  <c r="AH174" i="9"/>
  <c r="V174" i="9"/>
  <c r="AZ174" i="9"/>
  <c r="X174" i="9"/>
  <c r="R174" i="9"/>
  <c r="S174" i="9" s="1"/>
  <c r="BC326" i="9"/>
  <c r="AH326" i="9"/>
  <c r="V326" i="9"/>
  <c r="AZ326" i="9"/>
  <c r="X326" i="9"/>
  <c r="R326" i="9"/>
  <c r="S326" i="9" s="1"/>
  <c r="AZ117" i="9"/>
  <c r="AH117" i="9"/>
  <c r="V117" i="9"/>
  <c r="BC117" i="9"/>
  <c r="X117" i="9"/>
  <c r="R117" i="9"/>
  <c r="S117" i="9" s="1"/>
  <c r="BC158" i="9"/>
  <c r="AH158" i="9"/>
  <c r="V158" i="9"/>
  <c r="AZ158" i="9"/>
  <c r="X158" i="9"/>
  <c r="R158" i="9"/>
  <c r="S158" i="9" s="1"/>
  <c r="BC194" i="9"/>
  <c r="AH194" i="9"/>
  <c r="V194" i="9"/>
  <c r="AZ194" i="9"/>
  <c r="X194" i="9"/>
  <c r="R194" i="9"/>
  <c r="S194" i="9" s="1"/>
  <c r="BC270" i="9"/>
  <c r="AH270" i="9"/>
  <c r="V270" i="9"/>
  <c r="AZ270" i="9"/>
  <c r="X270" i="9"/>
  <c r="R270" i="9"/>
  <c r="S270" i="9" s="1"/>
  <c r="AZ356" i="9"/>
  <c r="AH356" i="9"/>
  <c r="V356" i="9"/>
  <c r="BC356" i="9"/>
  <c r="X356" i="9"/>
  <c r="R356" i="9"/>
  <c r="S356" i="9" s="1"/>
  <c r="BC103" i="9"/>
  <c r="AH103" i="9"/>
  <c r="V103" i="9"/>
  <c r="AZ103" i="9"/>
  <c r="X103" i="9"/>
  <c r="R103" i="9"/>
  <c r="S103" i="9" s="1"/>
  <c r="BC66" i="9"/>
  <c r="AH66" i="9"/>
  <c r="V66" i="9"/>
  <c r="AZ66" i="9"/>
  <c r="X66" i="9"/>
  <c r="R66" i="9"/>
  <c r="S66" i="9" s="1"/>
  <c r="AZ290" i="9"/>
  <c r="AH290" i="9"/>
  <c r="V290" i="9"/>
  <c r="BC290" i="9"/>
  <c r="X290" i="9"/>
  <c r="R290" i="9"/>
  <c r="S290" i="9" s="1"/>
  <c r="BC267" i="9"/>
  <c r="AH267" i="9"/>
  <c r="V267" i="9"/>
  <c r="AZ267" i="9"/>
  <c r="X267" i="9"/>
  <c r="R267" i="9"/>
  <c r="S267" i="9" s="1"/>
  <c r="BC275" i="9"/>
  <c r="AH275" i="9"/>
  <c r="V275" i="9"/>
  <c r="AZ275" i="9"/>
  <c r="X275" i="9"/>
  <c r="R275" i="9"/>
  <c r="S275" i="9" s="1"/>
  <c r="AW68" i="9"/>
  <c r="T68" i="9"/>
  <c r="AW254" i="9"/>
  <c r="T254" i="9"/>
  <c r="AW334" i="9"/>
  <c r="T334" i="9"/>
  <c r="AW362" i="9"/>
  <c r="T362" i="9"/>
  <c r="AW56" i="9"/>
  <c r="T56" i="9"/>
  <c r="AW357" i="9"/>
  <c r="T357" i="9"/>
  <c r="AW168" i="9"/>
  <c r="T168" i="9"/>
  <c r="AW244" i="9"/>
  <c r="T244" i="9"/>
  <c r="BC175" i="9"/>
  <c r="AH175" i="9"/>
  <c r="V175" i="9"/>
  <c r="AZ175" i="9"/>
  <c r="X175" i="9"/>
  <c r="R175" i="9"/>
  <c r="S175" i="9" s="1"/>
  <c r="BC179" i="9"/>
  <c r="AH179" i="9"/>
  <c r="V179" i="9"/>
  <c r="AZ179" i="9"/>
  <c r="X179" i="9"/>
  <c r="R179" i="9"/>
  <c r="S179" i="9" s="1"/>
  <c r="AW256" i="9"/>
  <c r="T256" i="9"/>
  <c r="BC259" i="9"/>
  <c r="AH259" i="9"/>
  <c r="V259" i="9"/>
  <c r="AZ259" i="9"/>
  <c r="X259" i="9"/>
  <c r="R259" i="9"/>
  <c r="S259" i="9" s="1"/>
  <c r="BC176" i="9"/>
  <c r="AH176" i="9"/>
  <c r="V176" i="9"/>
  <c r="AZ176" i="9"/>
  <c r="X176" i="9"/>
  <c r="R176" i="9"/>
  <c r="S176" i="9" s="1"/>
  <c r="AD299" i="9"/>
  <c r="AC299" i="9"/>
  <c r="BC25" i="9"/>
  <c r="X25" i="9"/>
  <c r="R25" i="9"/>
  <c r="S25" i="9" s="1"/>
  <c r="AZ25" i="9"/>
  <c r="AH25" i="9"/>
  <c r="V25" i="9"/>
  <c r="BC225" i="9"/>
  <c r="X225" i="9"/>
  <c r="R225" i="9"/>
  <c r="S225" i="9" s="1"/>
  <c r="AZ225" i="9"/>
  <c r="AH225" i="9"/>
  <c r="V225" i="9"/>
  <c r="BC191" i="9"/>
  <c r="AH191" i="9"/>
  <c r="V191" i="9"/>
  <c r="AZ191" i="9"/>
  <c r="X191" i="9"/>
  <c r="R191" i="9"/>
  <c r="S191" i="9" s="1"/>
  <c r="BC283" i="9"/>
  <c r="AH283" i="9"/>
  <c r="V283" i="9"/>
  <c r="AZ283" i="9"/>
  <c r="X283" i="9"/>
  <c r="R283" i="9"/>
  <c r="S283" i="9" s="1"/>
  <c r="AZ261" i="9"/>
  <c r="X261" i="9"/>
  <c r="R261" i="9"/>
  <c r="S261" i="9" s="1"/>
  <c r="BC261" i="9"/>
  <c r="V261" i="9"/>
  <c r="AH261" i="9"/>
  <c r="BC351" i="9"/>
  <c r="X351" i="9"/>
  <c r="R351" i="9"/>
  <c r="S351" i="9" s="1"/>
  <c r="AZ351" i="9"/>
  <c r="AH351" i="9"/>
  <c r="V351" i="9"/>
  <c r="BC340" i="9"/>
  <c r="AH340" i="9"/>
  <c r="V340" i="9"/>
  <c r="AZ340" i="9"/>
  <c r="X340" i="9"/>
  <c r="R340" i="9"/>
  <c r="S340" i="9" s="1"/>
  <c r="AZ59" i="9"/>
  <c r="AH59" i="9"/>
  <c r="V59" i="9"/>
  <c r="BC59" i="9"/>
  <c r="X59" i="9"/>
  <c r="R59" i="9"/>
  <c r="S59" i="9" s="1"/>
  <c r="AZ74" i="9"/>
  <c r="AH74" i="9"/>
  <c r="V74" i="9"/>
  <c r="BC74" i="9"/>
  <c r="X74" i="9"/>
  <c r="R74" i="9"/>
  <c r="S74" i="9" s="1"/>
  <c r="AZ52" i="9"/>
  <c r="X52" i="9"/>
  <c r="R52" i="9"/>
  <c r="S52" i="9" s="1"/>
  <c r="BC52" i="9"/>
  <c r="V52" i="9"/>
  <c r="AH52" i="9"/>
  <c r="AZ234" i="9"/>
  <c r="AH234" i="9"/>
  <c r="V234" i="9"/>
  <c r="BC234" i="9"/>
  <c r="X234" i="9"/>
  <c r="R234" i="9"/>
  <c r="S234" i="9" s="1"/>
  <c r="AZ204" i="9"/>
  <c r="X204" i="9"/>
  <c r="R204" i="9"/>
  <c r="S204" i="9" s="1"/>
  <c r="BC204" i="9"/>
  <c r="AH204" i="9"/>
  <c r="V204" i="9"/>
  <c r="BC31" i="9"/>
  <c r="AH31" i="9"/>
  <c r="AZ31" i="9"/>
  <c r="X31" i="9"/>
  <c r="R31" i="9"/>
  <c r="S31" i="9" s="1"/>
  <c r="V31" i="9"/>
  <c r="AZ170" i="9"/>
  <c r="X170" i="9"/>
  <c r="R170" i="9"/>
  <c r="S170" i="9" s="1"/>
  <c r="BC170" i="9"/>
  <c r="AH170" i="9"/>
  <c r="V170" i="9"/>
  <c r="BC265" i="9"/>
  <c r="AH265" i="9"/>
  <c r="V265" i="9"/>
  <c r="AZ265" i="9"/>
  <c r="X265" i="9"/>
  <c r="R265" i="9"/>
  <c r="S265" i="9" s="1"/>
  <c r="AZ359" i="9"/>
  <c r="AH359" i="9"/>
  <c r="V359" i="9"/>
  <c r="BC359" i="9"/>
  <c r="X359" i="9"/>
  <c r="R359" i="9"/>
  <c r="S359" i="9" s="1"/>
  <c r="AZ8" i="9"/>
  <c r="AH8" i="9"/>
  <c r="V8" i="9"/>
  <c r="BC8" i="9"/>
  <c r="X8" i="9"/>
  <c r="R8" i="9"/>
  <c r="BC255" i="9"/>
  <c r="AH255" i="9"/>
  <c r="V255" i="9"/>
  <c r="AZ255" i="9"/>
  <c r="X255" i="9"/>
  <c r="R255" i="9"/>
  <c r="S255" i="9" s="1"/>
  <c r="BC195" i="9"/>
  <c r="AH195" i="9"/>
  <c r="V195" i="9"/>
  <c r="AZ195" i="9"/>
  <c r="X195" i="9"/>
  <c r="R195" i="9"/>
  <c r="S195" i="9" s="1"/>
  <c r="AZ252" i="9"/>
  <c r="X252" i="9"/>
  <c r="R252" i="9"/>
  <c r="S252" i="9" s="1"/>
  <c r="BC252" i="9"/>
  <c r="AH252" i="9"/>
  <c r="V252" i="9"/>
  <c r="BC281" i="9"/>
  <c r="AH281" i="9"/>
  <c r="V281" i="9"/>
  <c r="AZ281" i="9"/>
  <c r="X281" i="9"/>
  <c r="R281" i="9"/>
  <c r="S281" i="9" s="1"/>
  <c r="AZ292" i="9"/>
  <c r="AH292" i="9"/>
  <c r="V292" i="9"/>
  <c r="BC292" i="9"/>
  <c r="X292" i="9"/>
  <c r="R292" i="9"/>
  <c r="S292" i="9" s="1"/>
  <c r="BC293" i="9"/>
  <c r="X293" i="9"/>
  <c r="R293" i="9"/>
  <c r="S293" i="9" s="1"/>
  <c r="AZ293" i="9"/>
  <c r="AH293" i="9"/>
  <c r="V293" i="9"/>
  <c r="BC337" i="9"/>
  <c r="AH337" i="9"/>
  <c r="V337" i="9"/>
  <c r="AZ337" i="9"/>
  <c r="X337" i="9"/>
  <c r="R337" i="9"/>
  <c r="S337" i="9" s="1"/>
  <c r="BC162" i="9"/>
  <c r="AH162" i="9"/>
  <c r="V162" i="9"/>
  <c r="AZ162" i="9"/>
  <c r="X162" i="9"/>
  <c r="R162" i="9"/>
  <c r="S162" i="9" s="1"/>
  <c r="BC84" i="9"/>
  <c r="X84" i="9"/>
  <c r="R84" i="9"/>
  <c r="S84" i="9" s="1"/>
  <c r="AZ84" i="9"/>
  <c r="AH84" i="9"/>
  <c r="V84" i="9"/>
  <c r="AZ243" i="9"/>
  <c r="X243" i="9"/>
  <c r="R243" i="9"/>
  <c r="S243" i="9" s="1"/>
  <c r="BC243" i="9"/>
  <c r="AH243" i="9"/>
  <c r="V243" i="9"/>
  <c r="AZ295" i="9"/>
  <c r="X295" i="9"/>
  <c r="R295" i="9"/>
  <c r="S295" i="9" s="1"/>
  <c r="BC295" i="9"/>
  <c r="AH295" i="9"/>
  <c r="V295" i="9"/>
  <c r="AZ304" i="9"/>
  <c r="AH304" i="9"/>
  <c r="V304" i="9"/>
  <c r="BC304" i="9"/>
  <c r="X304" i="9"/>
  <c r="R304" i="9"/>
  <c r="S304" i="9" s="1"/>
  <c r="BC272" i="9"/>
  <c r="AH272" i="9"/>
  <c r="V272" i="9"/>
  <c r="AZ272" i="9"/>
  <c r="X272" i="9"/>
  <c r="R272" i="9"/>
  <c r="S272" i="9" s="1"/>
  <c r="AZ67" i="9"/>
  <c r="X67" i="9"/>
  <c r="R67" i="9"/>
  <c r="S67" i="9" s="1"/>
  <c r="BC67" i="9"/>
  <c r="AH67" i="9"/>
  <c r="V67" i="9"/>
  <c r="BC129" i="9"/>
  <c r="AH129" i="9"/>
  <c r="V129" i="9"/>
  <c r="AZ129" i="9"/>
  <c r="X129" i="9"/>
  <c r="R129" i="9"/>
  <c r="S129" i="9" s="1"/>
  <c r="AZ312" i="9"/>
  <c r="AH312" i="9"/>
  <c r="V312" i="9"/>
  <c r="BC312" i="9"/>
  <c r="X312" i="9"/>
  <c r="R312" i="9"/>
  <c r="S312" i="9" s="1"/>
  <c r="AZ360" i="9"/>
  <c r="AH360" i="9"/>
  <c r="V360" i="9"/>
  <c r="BC360" i="9"/>
  <c r="X360" i="9"/>
  <c r="R360" i="9"/>
  <c r="S360" i="9" s="1"/>
  <c r="BC189" i="9"/>
  <c r="AH189" i="9"/>
  <c r="V189" i="9"/>
  <c r="AZ189" i="9"/>
  <c r="X189" i="9"/>
  <c r="R189" i="9"/>
  <c r="S189" i="9" s="1"/>
  <c r="BC182" i="9"/>
  <c r="AH182" i="9"/>
  <c r="V182" i="9"/>
  <c r="AZ182" i="9"/>
  <c r="X182" i="9"/>
  <c r="R182" i="9"/>
  <c r="S182" i="9" s="1"/>
  <c r="BC193" i="9"/>
  <c r="AH193" i="9"/>
  <c r="V193" i="9"/>
  <c r="AZ193" i="9"/>
  <c r="X193" i="9"/>
  <c r="R193" i="9"/>
  <c r="S193" i="9" s="1"/>
  <c r="BC276" i="9"/>
  <c r="AH276" i="9"/>
  <c r="V276" i="9"/>
  <c r="AZ276" i="9"/>
  <c r="X276" i="9"/>
  <c r="R276" i="9"/>
  <c r="S276" i="9" s="1"/>
  <c r="BC280" i="9"/>
  <c r="AH280" i="9"/>
  <c r="V280" i="9"/>
  <c r="AZ280" i="9"/>
  <c r="X280" i="9"/>
  <c r="R280" i="9"/>
  <c r="S280" i="9" s="1"/>
  <c r="BC284" i="9"/>
  <c r="AH284" i="9"/>
  <c r="V284" i="9"/>
  <c r="AZ284" i="9"/>
  <c r="X284" i="9"/>
  <c r="R284" i="9"/>
  <c r="S284" i="9" s="1"/>
  <c r="AZ288" i="9"/>
  <c r="AH288" i="9"/>
  <c r="V288" i="9"/>
  <c r="BC288" i="9"/>
  <c r="X288" i="9"/>
  <c r="R288" i="9"/>
  <c r="S288" i="9" s="1"/>
  <c r="BC336" i="9"/>
  <c r="AH336" i="9"/>
  <c r="V336" i="9"/>
  <c r="AZ336" i="9"/>
  <c r="X336" i="9"/>
  <c r="R336" i="9"/>
  <c r="S336" i="9" s="1"/>
  <c r="AZ341" i="9"/>
  <c r="AH341" i="9"/>
  <c r="V341" i="9"/>
  <c r="BC341" i="9"/>
  <c r="X341" i="9"/>
  <c r="R341" i="9"/>
  <c r="S341" i="9" s="1"/>
  <c r="AZ22" i="9"/>
  <c r="AH22" i="9"/>
  <c r="V22" i="9"/>
  <c r="BC22" i="9"/>
  <c r="X22" i="9"/>
  <c r="R22" i="9"/>
  <c r="S22" i="9" s="1"/>
  <c r="BC65" i="9"/>
  <c r="AH65" i="9"/>
  <c r="V65" i="9"/>
  <c r="AZ65" i="9"/>
  <c r="X65" i="9"/>
  <c r="R65" i="9"/>
  <c r="S65" i="9" s="1"/>
  <c r="BC30" i="9"/>
  <c r="AH30" i="9"/>
  <c r="V30" i="9"/>
  <c r="AZ30" i="9"/>
  <c r="X30" i="9"/>
  <c r="R30" i="9"/>
  <c r="S30" i="9" s="1"/>
  <c r="AZ62" i="9"/>
  <c r="AH62" i="9"/>
  <c r="V62" i="9"/>
  <c r="BC62" i="9"/>
  <c r="X62" i="9"/>
  <c r="R62" i="9"/>
  <c r="S62" i="9" s="1"/>
  <c r="BC218" i="9"/>
  <c r="AH218" i="9"/>
  <c r="V218" i="9"/>
  <c r="AZ218" i="9"/>
  <c r="X218" i="9"/>
  <c r="R218" i="9"/>
  <c r="S218" i="9" s="1"/>
  <c r="BC266" i="9"/>
  <c r="AH266" i="9"/>
  <c r="V266" i="9"/>
  <c r="AZ266" i="9"/>
  <c r="X266" i="9"/>
  <c r="R266" i="9"/>
  <c r="S266" i="9" s="1"/>
  <c r="BC274" i="9"/>
  <c r="AH274" i="9"/>
  <c r="V274" i="9"/>
  <c r="AZ274" i="9"/>
  <c r="X274" i="9"/>
  <c r="R274" i="9"/>
  <c r="S274" i="9" s="1"/>
  <c r="BC154" i="9"/>
  <c r="AH154" i="9"/>
  <c r="V154" i="9"/>
  <c r="AZ154" i="9"/>
  <c r="X154" i="9"/>
  <c r="R154" i="9"/>
  <c r="S154" i="9" s="1"/>
  <c r="BC212" i="9"/>
  <c r="AH212" i="9"/>
  <c r="V212" i="9"/>
  <c r="AZ212" i="9"/>
  <c r="X212" i="9"/>
  <c r="R212" i="9"/>
  <c r="S212" i="9" s="1"/>
  <c r="BC199" i="9"/>
  <c r="AH199" i="9"/>
  <c r="V199" i="9"/>
  <c r="AZ199" i="9"/>
  <c r="X199" i="9"/>
  <c r="R199" i="9"/>
  <c r="S199" i="9" s="1"/>
  <c r="BC263" i="9"/>
  <c r="AH263" i="9"/>
  <c r="V263" i="9"/>
  <c r="AZ263" i="9"/>
  <c r="X263" i="9"/>
  <c r="R263" i="9"/>
  <c r="S263" i="9" s="1"/>
  <c r="BC271" i="9"/>
  <c r="AH271" i="9"/>
  <c r="V271" i="9"/>
  <c r="AZ271" i="9"/>
  <c r="X271" i="9"/>
  <c r="R271" i="9"/>
  <c r="S271" i="9" s="1"/>
  <c r="BC355" i="9"/>
  <c r="AH355" i="9"/>
  <c r="V355" i="9"/>
  <c r="AZ355" i="9"/>
  <c r="X355" i="9"/>
  <c r="R355" i="9"/>
  <c r="S355" i="9" s="1"/>
  <c r="AW185" i="9"/>
  <c r="T185" i="9"/>
  <c r="AW348" i="9"/>
  <c r="T348" i="9"/>
  <c r="AW145" i="9"/>
  <c r="T145" i="9"/>
  <c r="AW140" i="9"/>
  <c r="T140" i="9"/>
  <c r="AW124" i="9"/>
  <c r="T124" i="9"/>
  <c r="AW11" i="9"/>
  <c r="T11" i="9"/>
  <c r="AW43" i="9"/>
  <c r="T43" i="9"/>
  <c r="AW251" i="9"/>
  <c r="T251" i="9"/>
  <c r="AW320" i="9"/>
  <c r="T320" i="9"/>
  <c r="AJ68" i="9"/>
  <c r="AJ254" i="9"/>
  <c r="AJ334" i="9"/>
  <c r="AJ362" i="9"/>
  <c r="AJ56" i="9"/>
  <c r="AJ357" i="9"/>
  <c r="AJ168" i="9"/>
  <c r="AJ244" i="9"/>
  <c r="AD256" i="9"/>
  <c r="AJ185" i="9"/>
  <c r="AD250" i="9"/>
  <c r="AJ348" i="9"/>
  <c r="AD289" i="9"/>
  <c r="AJ145" i="9"/>
  <c r="AD323" i="9"/>
  <c r="AJ140" i="9"/>
  <c r="AJ171" i="9"/>
  <c r="AJ124" i="9"/>
  <c r="AD253" i="9"/>
  <c r="AJ11" i="9"/>
  <c r="AD99" i="9"/>
  <c r="AJ43" i="9"/>
  <c r="AD89" i="9"/>
  <c r="AJ251" i="9"/>
  <c r="AD320" i="9"/>
  <c r="AD133" i="9"/>
  <c r="AD366" i="9" l="1"/>
  <c r="AZ320" i="9"/>
  <c r="AH320" i="9"/>
  <c r="V320" i="9"/>
  <c r="BC320" i="9"/>
  <c r="X320" i="9"/>
  <c r="R320" i="9"/>
  <c r="S320" i="9" s="1"/>
  <c r="BC43" i="9"/>
  <c r="X43" i="9"/>
  <c r="R43" i="9"/>
  <c r="S43" i="9" s="1"/>
  <c r="AZ43" i="9"/>
  <c r="V43" i="9"/>
  <c r="AH43" i="9"/>
  <c r="AZ124" i="9"/>
  <c r="X124" i="9"/>
  <c r="R124" i="9"/>
  <c r="S124" i="9" s="1"/>
  <c r="BC124" i="9"/>
  <c r="AH124" i="9"/>
  <c r="V124" i="9"/>
  <c r="BC145" i="9"/>
  <c r="X145" i="9"/>
  <c r="R145" i="9"/>
  <c r="S145" i="9" s="1"/>
  <c r="AZ145" i="9"/>
  <c r="AH145" i="9"/>
  <c r="V145" i="9"/>
  <c r="S8" i="9"/>
  <c r="BC256" i="9"/>
  <c r="AH256" i="9"/>
  <c r="V256" i="9"/>
  <c r="AZ256" i="9"/>
  <c r="X256" i="9"/>
  <c r="R256" i="9"/>
  <c r="S256" i="9" s="1"/>
  <c r="AZ244" i="9"/>
  <c r="X244" i="9"/>
  <c r="R244" i="9"/>
  <c r="S244" i="9" s="1"/>
  <c r="BC244" i="9"/>
  <c r="AH244" i="9"/>
  <c r="V244" i="9"/>
  <c r="AZ168" i="9"/>
  <c r="X168" i="9"/>
  <c r="R168" i="9"/>
  <c r="S168" i="9" s="1"/>
  <c r="BC168" i="9"/>
  <c r="AH168" i="9"/>
  <c r="V168" i="9"/>
  <c r="AZ357" i="9"/>
  <c r="X357" i="9"/>
  <c r="R357" i="9"/>
  <c r="S357" i="9" s="1"/>
  <c r="BC357" i="9"/>
  <c r="AH357" i="9"/>
  <c r="V357" i="9"/>
  <c r="AZ56" i="9"/>
  <c r="AH56" i="9"/>
  <c r="BC56" i="9"/>
  <c r="X56" i="9"/>
  <c r="R56" i="9"/>
  <c r="S56" i="9" s="1"/>
  <c r="V56" i="9"/>
  <c r="AZ362" i="9"/>
  <c r="X362" i="9"/>
  <c r="R362" i="9"/>
  <c r="S362" i="9" s="1"/>
  <c r="BC362" i="9"/>
  <c r="AH362" i="9"/>
  <c r="V362" i="9"/>
  <c r="AZ334" i="9"/>
  <c r="X334" i="9"/>
  <c r="R334" i="9"/>
  <c r="S334" i="9" s="1"/>
  <c r="BC334" i="9"/>
  <c r="AH334" i="9"/>
  <c r="V334" i="9"/>
  <c r="AZ254" i="9"/>
  <c r="X254" i="9"/>
  <c r="R254" i="9"/>
  <c r="S254" i="9" s="1"/>
  <c r="BC254" i="9"/>
  <c r="AH254" i="9"/>
  <c r="V254" i="9"/>
  <c r="AZ68" i="9"/>
  <c r="X68" i="9"/>
  <c r="R68" i="9"/>
  <c r="S68" i="9" s="1"/>
  <c r="BC68" i="9"/>
  <c r="AH68" i="9"/>
  <c r="V68" i="9"/>
  <c r="AZ133" i="9"/>
  <c r="AH133" i="9"/>
  <c r="V133" i="9"/>
  <c r="BC133" i="9"/>
  <c r="X133" i="9"/>
  <c r="R133" i="9"/>
  <c r="S133" i="9" s="1"/>
  <c r="BC89" i="9"/>
  <c r="X89" i="9"/>
  <c r="R89" i="9"/>
  <c r="S89" i="9" s="1"/>
  <c r="AZ89" i="9"/>
  <c r="AH89" i="9"/>
  <c r="V89" i="9"/>
  <c r="AZ99" i="9"/>
  <c r="X99" i="9"/>
  <c r="R99" i="9"/>
  <c r="S99" i="9" s="1"/>
  <c r="BC99" i="9"/>
  <c r="AH99" i="9"/>
  <c r="V99" i="9"/>
  <c r="AZ253" i="9"/>
  <c r="X253" i="9"/>
  <c r="R253" i="9"/>
  <c r="S253" i="9" s="1"/>
  <c r="BC253" i="9"/>
  <c r="AH253" i="9"/>
  <c r="V253" i="9"/>
  <c r="BC171" i="9"/>
  <c r="AH171" i="9"/>
  <c r="X171" i="9"/>
  <c r="R171" i="9"/>
  <c r="S171" i="9" s="1"/>
  <c r="AZ171" i="9"/>
  <c r="V171" i="9"/>
  <c r="BC323" i="9"/>
  <c r="X323" i="9"/>
  <c r="R323" i="9"/>
  <c r="S323" i="9" s="1"/>
  <c r="AH323" i="9"/>
  <c r="AZ323" i="9"/>
  <c r="V323" i="9"/>
  <c r="BC289" i="9"/>
  <c r="X289" i="9"/>
  <c r="R289" i="9"/>
  <c r="S289" i="9" s="1"/>
  <c r="AZ289" i="9"/>
  <c r="AH289" i="9"/>
  <c r="V289" i="9"/>
  <c r="AZ250" i="9"/>
  <c r="X250" i="9"/>
  <c r="R250" i="9"/>
  <c r="S250" i="9" s="1"/>
  <c r="BC250" i="9"/>
  <c r="AH250" i="9"/>
  <c r="V250" i="9"/>
  <c r="AZ69" i="9"/>
  <c r="AH69" i="9"/>
  <c r="V69" i="9"/>
  <c r="BC69" i="9"/>
  <c r="X69" i="9"/>
  <c r="R69" i="9"/>
  <c r="S69" i="9" s="1"/>
  <c r="AZ224" i="9"/>
  <c r="X224" i="9"/>
  <c r="R224" i="9"/>
  <c r="S224" i="9" s="1"/>
  <c r="BC224" i="9"/>
  <c r="AH224" i="9"/>
  <c r="V224" i="9"/>
  <c r="AZ61" i="9"/>
  <c r="X61" i="9"/>
  <c r="R61" i="9"/>
  <c r="S61" i="9" s="1"/>
  <c r="BC61" i="9"/>
  <c r="AH61" i="9"/>
  <c r="V61" i="9"/>
  <c r="AZ245" i="9"/>
  <c r="X245" i="9"/>
  <c r="R245" i="9"/>
  <c r="S245" i="9" s="1"/>
  <c r="BC245" i="9"/>
  <c r="AH245" i="9"/>
  <c r="V245" i="9"/>
  <c r="AZ167" i="9"/>
  <c r="X167" i="9"/>
  <c r="R167" i="9"/>
  <c r="S167" i="9" s="1"/>
  <c r="BC167" i="9"/>
  <c r="AH167" i="9"/>
  <c r="V167" i="9"/>
  <c r="BC350" i="9"/>
  <c r="X350" i="9"/>
  <c r="R350" i="9"/>
  <c r="S350" i="9" s="1"/>
  <c r="AZ350" i="9"/>
  <c r="AH350" i="9"/>
  <c r="V350" i="9"/>
  <c r="AZ246" i="9"/>
  <c r="X246" i="9"/>
  <c r="R246" i="9"/>
  <c r="S246" i="9" s="1"/>
  <c r="BC246" i="9"/>
  <c r="AH246" i="9"/>
  <c r="V246" i="9"/>
  <c r="AZ251" i="9"/>
  <c r="X251" i="9"/>
  <c r="R251" i="9"/>
  <c r="S251" i="9" s="1"/>
  <c r="BC251" i="9"/>
  <c r="AH251" i="9"/>
  <c r="V251" i="9"/>
  <c r="BC11" i="9"/>
  <c r="X11" i="9"/>
  <c r="R11" i="9"/>
  <c r="S11" i="9" s="1"/>
  <c r="AZ11" i="9"/>
  <c r="AH11" i="9"/>
  <c r="V11" i="9"/>
  <c r="AZ140" i="9"/>
  <c r="X140" i="9"/>
  <c r="R140" i="9"/>
  <c r="S140" i="9" s="1"/>
  <c r="BC140" i="9"/>
  <c r="AH140" i="9"/>
  <c r="V140" i="9"/>
  <c r="BC348" i="9"/>
  <c r="X348" i="9"/>
  <c r="R348" i="9"/>
  <c r="S348" i="9" s="1"/>
  <c r="AZ348" i="9"/>
  <c r="AH348" i="9"/>
  <c r="V348" i="9"/>
  <c r="AZ185" i="9"/>
  <c r="X185" i="9"/>
  <c r="R185" i="9"/>
  <c r="S185" i="9" s="1"/>
  <c r="BC185" i="9"/>
  <c r="AH185" i="9"/>
  <c r="V185" i="9"/>
  <c r="AW299" i="9"/>
  <c r="AW366" i="9" s="1"/>
  <c r="T299" i="9"/>
  <c r="BC35" i="9"/>
  <c r="AH35" i="9"/>
  <c r="V35" i="9"/>
  <c r="AZ35" i="9"/>
  <c r="X35" i="9"/>
  <c r="R35" i="9"/>
  <c r="S35" i="9" s="1"/>
  <c r="AJ299" i="9"/>
  <c r="BC299" i="9" l="1"/>
  <c r="AH299" i="9"/>
  <c r="AH366" i="9" s="1"/>
  <c r="R299" i="9"/>
  <c r="S299" i="9" s="1"/>
  <c r="AZ299" i="9"/>
  <c r="X299" i="9"/>
  <c r="R372" i="9"/>
  <c r="S372" i="9"/>
  <c r="T372" i="9"/>
  <c r="W372" i="9" l="1"/>
  <c r="T376" i="9"/>
  <c r="AB373" i="9"/>
  <c r="AA367" i="9"/>
  <c r="AC383" i="9"/>
  <c r="T374" i="9"/>
  <c r="AB372" i="9"/>
  <c r="J24" i="7" l="1"/>
  <c r="J23" i="7"/>
  <c r="K22" i="7"/>
  <c r="J19" i="7"/>
  <c r="J18" i="7"/>
  <c r="T17" i="7"/>
  <c r="K17" i="7"/>
  <c r="J14" i="7"/>
  <c r="J13" i="7"/>
  <c r="T12" i="7"/>
  <c r="K12" i="7"/>
  <c r="L283" i="7" l="1"/>
  <c r="R280" i="7"/>
  <c r="S280" i="7" s="1"/>
  <c r="N254" i="7"/>
  <c r="N253" i="7"/>
  <c r="N252" i="7"/>
  <c r="N243" i="7"/>
  <c r="N241" i="7"/>
  <c r="N238" i="7"/>
  <c r="N237" i="7"/>
  <c r="N236" i="7"/>
  <c r="N235" i="7"/>
  <c r="N233" i="7"/>
  <c r="N230" i="7"/>
  <c r="N227" i="7"/>
  <c r="N226" i="7"/>
  <c r="N225" i="7"/>
  <c r="N224" i="7"/>
  <c r="N223" i="7"/>
  <c r="N222" i="7"/>
  <c r="N219" i="7"/>
  <c r="N218" i="7"/>
  <c r="N217" i="7"/>
  <c r="N216" i="7"/>
  <c r="N215" i="7"/>
  <c r="N214" i="7"/>
  <c r="N211" i="7"/>
  <c r="N210" i="7"/>
  <c r="N209" i="7"/>
  <c r="I168" i="7"/>
  <c r="N155" i="7"/>
  <c r="N154" i="7"/>
  <c r="N153" i="7"/>
  <c r="N152" i="7"/>
  <c r="N151" i="7"/>
  <c r="N150" i="7"/>
  <c r="N149" i="7"/>
  <c r="I147" i="7"/>
  <c r="N146" i="7"/>
  <c r="N145" i="7"/>
  <c r="N144" i="7"/>
  <c r="N143" i="7"/>
  <c r="N142" i="7"/>
  <c r="N141" i="7"/>
  <c r="N140" i="7"/>
  <c r="U139" i="7"/>
  <c r="S139" i="7"/>
  <c r="I138" i="7"/>
  <c r="N136" i="7"/>
  <c r="N135" i="7"/>
  <c r="N134" i="7"/>
  <c r="N133" i="7"/>
  <c r="N132" i="7"/>
  <c r="N130" i="7"/>
  <c r="N129" i="7"/>
  <c r="N128" i="7"/>
  <c r="N127" i="7"/>
  <c r="N126" i="7"/>
  <c r="N123" i="7"/>
  <c r="N122" i="7"/>
  <c r="N121" i="7"/>
  <c r="N120" i="7"/>
  <c r="N110" i="7"/>
  <c r="N109" i="7"/>
  <c r="N108" i="7"/>
  <c r="N87" i="7"/>
  <c r="N86" i="7"/>
  <c r="N85" i="7"/>
  <c r="N83" i="7"/>
  <c r="N82" i="7"/>
  <c r="N81" i="7"/>
  <c r="N79" i="7"/>
  <c r="N78" i="7"/>
  <c r="N77" i="7"/>
  <c r="N75" i="7"/>
  <c r="N74" i="7"/>
  <c r="N73" i="7"/>
  <c r="N72" i="7"/>
  <c r="N71" i="7"/>
  <c r="N70" i="7"/>
  <c r="N69" i="7"/>
  <c r="I67" i="7"/>
  <c r="P66" i="7"/>
  <c r="N66" i="7"/>
  <c r="P65" i="7"/>
  <c r="N65" i="7"/>
  <c r="N64" i="7"/>
  <c r="P61" i="7"/>
  <c r="N61" i="7"/>
  <c r="P60" i="7"/>
  <c r="N60" i="7"/>
  <c r="N59" i="7"/>
  <c r="N58" i="7"/>
  <c r="N57" i="7"/>
  <c r="N56" i="7"/>
  <c r="I55" i="7"/>
  <c r="N54" i="7"/>
  <c r="S53" i="7"/>
  <c r="P49" i="7"/>
  <c r="N49" i="7"/>
  <c r="P48" i="7"/>
  <c r="N48" i="7"/>
  <c r="N47" i="7"/>
  <c r="N45" i="7"/>
  <c r="N44" i="7"/>
  <c r="N43" i="7"/>
  <c r="N41" i="7"/>
  <c r="J9" i="7"/>
  <c r="J8" i="7"/>
  <c r="T7" i="7"/>
  <c r="V250" i="7" s="1"/>
  <c r="T250" i="7" s="1"/>
  <c r="U250" i="7" s="1"/>
  <c r="K7" i="7"/>
  <c r="K13" i="7" s="1"/>
  <c r="L13" i="7" s="1"/>
  <c r="R13" i="7" s="1"/>
  <c r="S13" i="7" s="1"/>
  <c r="V13" i="7" s="1"/>
  <c r="K24" i="7" l="1"/>
  <c r="L24" i="7" s="1"/>
  <c r="R24" i="7" s="1"/>
  <c r="S24" i="7" s="1"/>
  <c r="K18" i="7"/>
  <c r="L18" i="7" s="1"/>
  <c r="R18" i="7" s="1"/>
  <c r="S18" i="7" s="1"/>
  <c r="K9" i="7"/>
  <c r="K19" i="7"/>
  <c r="L19" i="7" s="1"/>
  <c r="R19" i="7" s="1"/>
  <c r="S19" i="7" s="1"/>
  <c r="K23" i="7"/>
  <c r="L23" i="7" s="1"/>
  <c r="R23" i="7" s="1"/>
  <c r="T13" i="7"/>
  <c r="U13" i="7" s="1"/>
  <c r="V53" i="7"/>
  <c r="T53" i="7" s="1"/>
  <c r="U53" i="7" s="1"/>
  <c r="K14" i="7"/>
  <c r="L14" i="7" s="1"/>
  <c r="R14" i="7" s="1"/>
  <c r="S14" i="7" s="1"/>
  <c r="K8" i="7"/>
  <c r="V139" i="7"/>
  <c r="L8" i="7"/>
  <c r="R8" i="7" s="1"/>
  <c r="L9" i="7"/>
  <c r="R9" i="7" s="1"/>
  <c r="K40" i="7"/>
  <c r="L40" i="7" s="1"/>
  <c r="R40" i="7" s="1"/>
  <c r="V280" i="7"/>
  <c r="T280" i="7" s="1"/>
  <c r="U280" i="7" s="1"/>
  <c r="I5" i="1"/>
  <c r="R5" i="1"/>
  <c r="H6" i="1"/>
  <c r="I6" i="1" s="1"/>
  <c r="J6" i="1" s="1"/>
  <c r="P6" i="1" s="1"/>
  <c r="H7" i="1"/>
  <c r="I7" i="1" s="1"/>
  <c r="J7" i="1" s="1"/>
  <c r="P7" i="1" s="1"/>
  <c r="S23" i="7" l="1"/>
  <c r="V23" i="7" s="1"/>
  <c r="V19" i="7"/>
  <c r="T19" i="7" s="1"/>
  <c r="U19" i="7" s="1"/>
  <c r="V24" i="7"/>
  <c r="T24" i="7" s="1"/>
  <c r="U24" i="7" s="1"/>
  <c r="V18" i="7"/>
  <c r="T18" i="7" s="1"/>
  <c r="U18" i="7" s="1"/>
  <c r="V14" i="7"/>
  <c r="T14" i="7" s="1"/>
  <c r="U14" i="7" s="1"/>
  <c r="S40" i="7"/>
  <c r="V40" i="7" s="1"/>
  <c r="T40" i="7" s="1"/>
  <c r="U40" i="7" s="1"/>
  <c r="S8" i="7"/>
  <c r="V8" i="7" s="1"/>
  <c r="T8" i="7" s="1"/>
  <c r="U8" i="7" s="1"/>
  <c r="S9" i="7"/>
  <c r="V9" i="7" s="1"/>
  <c r="T9" i="7" s="1"/>
  <c r="U9" i="7" s="1"/>
  <c r="Q6" i="1"/>
  <c r="T6" i="1" s="1"/>
  <c r="Q7" i="1"/>
  <c r="T7" i="1" s="1"/>
  <c r="T23" i="7" l="1"/>
  <c r="G6" i="6"/>
  <c r="X15" i="7"/>
  <c r="X30" i="7"/>
  <c r="R7" i="1"/>
  <c r="S7" i="1" s="1"/>
  <c r="R6" i="1"/>
  <c r="S6" i="1" s="1"/>
  <c r="H6" i="6"/>
  <c r="U23" i="7" l="1"/>
  <c r="F6" i="6" s="1"/>
  <c r="E6" i="6"/>
  <c r="T234" i="1"/>
  <c r="R234" i="1" s="1"/>
  <c r="G131" i="1"/>
  <c r="N49" i="1"/>
  <c r="N50" i="1"/>
  <c r="N32" i="1"/>
  <c r="N33" i="1"/>
  <c r="P264" i="1"/>
  <c r="G152" i="1"/>
  <c r="G122" i="1"/>
  <c r="G51" i="1"/>
  <c r="G39" i="1"/>
  <c r="N44" i="1"/>
  <c r="N45" i="1"/>
  <c r="I24" i="1"/>
  <c r="J24" i="1" s="1"/>
  <c r="P24" i="1" s="1"/>
  <c r="N21" i="1"/>
  <c r="N22" i="1"/>
  <c r="E5" i="6"/>
  <c r="O8" i="5"/>
  <c r="O7" i="5"/>
  <c r="O6" i="5"/>
  <c r="O12" i="5"/>
  <c r="O11" i="5"/>
  <c r="O10" i="5"/>
  <c r="O9" i="5"/>
  <c r="C11" i="3"/>
  <c r="D11" i="3" s="1"/>
  <c r="G11" i="3" s="1"/>
  <c r="C13" i="3"/>
  <c r="D13" i="3" s="1"/>
  <c r="G13" i="3" s="1"/>
  <c r="C6" i="3"/>
  <c r="D6" i="3" s="1"/>
  <c r="G6" i="3" s="1"/>
  <c r="L29" i="1"/>
  <c r="L28" i="1"/>
  <c r="L27" i="1"/>
  <c r="C23" i="3"/>
  <c r="D23" i="3" s="1"/>
  <c r="G23" i="3" s="1"/>
  <c r="G5" i="3"/>
  <c r="C7" i="3"/>
  <c r="D7" i="3" s="1"/>
  <c r="G7" i="3" s="1"/>
  <c r="D21" i="3"/>
  <c r="G21" i="3" s="1"/>
  <c r="C20" i="3"/>
  <c r="D20" i="3"/>
  <c r="D9" i="3"/>
  <c r="G9" i="3" s="1"/>
  <c r="C30" i="3"/>
  <c r="D30" i="3"/>
  <c r="G30" i="3" s="1"/>
  <c r="C18" i="3"/>
  <c r="D18" i="3" s="1"/>
  <c r="D27" i="3"/>
  <c r="G27" i="3" s="1"/>
  <c r="C29" i="3"/>
  <c r="D29" i="3" s="1"/>
  <c r="G29" i="3" s="1"/>
  <c r="C15" i="3"/>
  <c r="D15" i="3" s="1"/>
  <c r="G15" i="3" s="1"/>
  <c r="C31" i="3"/>
  <c r="D31" i="3" s="1"/>
  <c r="G31" i="3" s="1"/>
  <c r="D12" i="2"/>
  <c r="D29" i="2" s="1"/>
  <c r="F12" i="2"/>
  <c r="I12" i="2"/>
  <c r="B31" i="2"/>
  <c r="C31" i="2" s="1"/>
  <c r="C28" i="3"/>
  <c r="D28" i="3" s="1"/>
  <c r="G28" i="3" s="1"/>
  <c r="L117" i="1"/>
  <c r="L110" i="1"/>
  <c r="C19" i="3"/>
  <c r="C17" i="3"/>
  <c r="C26" i="3"/>
  <c r="D26" i="3" s="1"/>
  <c r="G26" i="3" s="1"/>
  <c r="D4" i="4"/>
  <c r="F4" i="4"/>
  <c r="G4" i="4"/>
  <c r="H4" i="4"/>
  <c r="D5" i="4"/>
  <c r="F5" i="4" s="1"/>
  <c r="G5" i="4"/>
  <c r="H5" i="4"/>
  <c r="D8" i="4"/>
  <c r="F8" i="4" s="1"/>
  <c r="I8" i="4" s="1"/>
  <c r="J8" i="4" s="1"/>
  <c r="G8" i="4"/>
  <c r="H8" i="4"/>
  <c r="D7" i="4"/>
  <c r="F7" i="4" s="1"/>
  <c r="I7" i="4" s="1"/>
  <c r="J7" i="4" s="1"/>
  <c r="G7" i="4"/>
  <c r="H7" i="4"/>
  <c r="D6" i="4"/>
  <c r="F6" i="4" s="1"/>
  <c r="I6" i="4" s="1"/>
  <c r="J6" i="4" s="1"/>
  <c r="G6" i="4"/>
  <c r="H6" i="4"/>
  <c r="D9" i="4"/>
  <c r="F9" i="4" s="1"/>
  <c r="I9" i="4" s="1"/>
  <c r="J9" i="4" s="1"/>
  <c r="K9" i="4" s="1"/>
  <c r="G9" i="4"/>
  <c r="H9" i="4"/>
  <c r="C10" i="3"/>
  <c r="D10" i="3"/>
  <c r="G10" i="3" s="1"/>
  <c r="L237" i="1"/>
  <c r="L238" i="1"/>
  <c r="L236" i="1"/>
  <c r="C16" i="3"/>
  <c r="D16" i="3" s="1"/>
  <c r="G16" i="3" s="1"/>
  <c r="L222" i="1"/>
  <c r="C22" i="3"/>
  <c r="L217" i="1"/>
  <c r="L214" i="1"/>
  <c r="L211" i="1"/>
  <c r="C24" i="3"/>
  <c r="D24" i="3"/>
  <c r="G24" i="3" s="1"/>
  <c r="L203" i="1"/>
  <c r="L38" i="1"/>
  <c r="L45" i="1"/>
  <c r="L44" i="1"/>
  <c r="L43" i="1"/>
  <c r="L42" i="1"/>
  <c r="L41" i="1"/>
  <c r="L40" i="1"/>
  <c r="L25" i="1"/>
  <c r="L21" i="1"/>
  <c r="L22" i="1"/>
  <c r="L20" i="1"/>
  <c r="L19" i="1"/>
  <c r="L18" i="1"/>
  <c r="L17" i="1"/>
  <c r="L16" i="1"/>
  <c r="C24" i="2"/>
  <c r="D24" i="2" s="1"/>
  <c r="F24" i="2" s="1"/>
  <c r="G24" i="2" s="1"/>
  <c r="H24" i="2" s="1"/>
  <c r="I24" i="2" s="1"/>
  <c r="C23" i="2"/>
  <c r="D23" i="2"/>
  <c r="F23" i="2" s="1"/>
  <c r="G23" i="2" s="1"/>
  <c r="H23" i="2" s="1"/>
  <c r="I23" i="2" s="1"/>
  <c r="L227" i="1"/>
  <c r="L225" i="1"/>
  <c r="L221" i="1"/>
  <c r="L220" i="1"/>
  <c r="L219" i="1"/>
  <c r="L210" i="1"/>
  <c r="L209" i="1"/>
  <c r="L202" i="1"/>
  <c r="L201" i="1"/>
  <c r="L195" i="1"/>
  <c r="L194" i="1"/>
  <c r="L193" i="1"/>
  <c r="L120" i="1"/>
  <c r="L119" i="1"/>
  <c r="L114" i="1"/>
  <c r="L113" i="1"/>
  <c r="L107" i="1"/>
  <c r="L106" i="1"/>
  <c r="L105" i="1"/>
  <c r="L104" i="1"/>
  <c r="L94" i="1"/>
  <c r="L93" i="1"/>
  <c r="L92" i="1"/>
  <c r="L71" i="1"/>
  <c r="L70" i="1"/>
  <c r="L67" i="1"/>
  <c r="L66" i="1"/>
  <c r="L69" i="1"/>
  <c r="L139" i="1"/>
  <c r="L138" i="1"/>
  <c r="L137" i="1"/>
  <c r="L136" i="1"/>
  <c r="L135" i="1"/>
  <c r="L134" i="1"/>
  <c r="L133" i="1"/>
  <c r="L130" i="1"/>
  <c r="L129" i="1"/>
  <c r="L128" i="1"/>
  <c r="L127" i="1"/>
  <c r="L126" i="1"/>
  <c r="L125" i="1"/>
  <c r="L124" i="1"/>
  <c r="L63" i="1"/>
  <c r="L62" i="1"/>
  <c r="L57" i="1"/>
  <c r="L58" i="1"/>
  <c r="L59" i="1"/>
  <c r="L50" i="1"/>
  <c r="L49" i="1"/>
  <c r="L12" i="1"/>
  <c r="L11" i="1"/>
  <c r="L10" i="1"/>
  <c r="L33" i="1"/>
  <c r="L32" i="1"/>
  <c r="L48" i="1"/>
  <c r="L31" i="1"/>
  <c r="C12" i="3"/>
  <c r="D12" i="3" s="1"/>
  <c r="G12" i="3" s="1"/>
  <c r="C14" i="3"/>
  <c r="B26" i="2"/>
  <c r="C26" i="2" s="1"/>
  <c r="B25" i="2"/>
  <c r="B17" i="2"/>
  <c r="C17" i="2" s="1"/>
  <c r="L208" i="1"/>
  <c r="L207" i="1"/>
  <c r="L206" i="1"/>
  <c r="L199" i="1"/>
  <c r="L200" i="1"/>
  <c r="L198" i="1"/>
  <c r="L118" i="1"/>
  <c r="L116" i="1"/>
  <c r="L112" i="1"/>
  <c r="L111" i="1"/>
  <c r="L65" i="1"/>
  <c r="L61" i="1"/>
  <c r="L54" i="1"/>
  <c r="L55" i="1"/>
  <c r="L56" i="1"/>
  <c r="L53" i="1"/>
  <c r="D14" i="3"/>
  <c r="G14" i="3" s="1"/>
  <c r="D22" i="3"/>
  <c r="G22" i="3" s="1"/>
  <c r="D8" i="3"/>
  <c r="G8" i="3" s="1"/>
  <c r="D25" i="3"/>
  <c r="G25" i="3" s="1"/>
  <c r="D17" i="3"/>
  <c r="D19" i="3"/>
  <c r="C5" i="3"/>
  <c r="C15" i="2"/>
  <c r="E15" i="2" s="1"/>
  <c r="C16" i="2"/>
  <c r="C18" i="2"/>
  <c r="D18" i="2" s="1"/>
  <c r="C19" i="2"/>
  <c r="C25" i="2"/>
  <c r="D25" i="2" s="1"/>
  <c r="C28" i="2"/>
  <c r="D28" i="2" s="1"/>
  <c r="F28" i="2" s="1"/>
  <c r="G28" i="2" s="1"/>
  <c r="H28" i="2" s="1"/>
  <c r="I28" i="2" s="1"/>
  <c r="C14" i="2"/>
  <c r="D14" i="2" s="1"/>
  <c r="F14" i="2" s="1"/>
  <c r="G14" i="2" s="1"/>
  <c r="H14" i="2" s="1"/>
  <c r="I14" i="2" s="1"/>
  <c r="C21" i="2"/>
  <c r="C30" i="2"/>
  <c r="B22" i="2"/>
  <c r="C22" i="2" s="1"/>
  <c r="B32" i="2"/>
  <c r="C32" i="2" s="1"/>
  <c r="E18" i="2"/>
  <c r="D15" i="2"/>
  <c r="E19" i="2"/>
  <c r="D19" i="2"/>
  <c r="F19" i="2" s="1"/>
  <c r="G19" i="2" s="1"/>
  <c r="H19" i="2" s="1"/>
  <c r="I19" i="2" s="1"/>
  <c r="E16" i="2"/>
  <c r="D16" i="2"/>
  <c r="B20" i="2"/>
  <c r="C20" i="2" s="1"/>
  <c r="C27" i="2"/>
  <c r="D27" i="2" s="1"/>
  <c r="F27" i="2" s="1"/>
  <c r="G27" i="2" s="1"/>
  <c r="H27" i="2" s="1"/>
  <c r="I27" i="2" s="1"/>
  <c r="I15" i="1"/>
  <c r="J15" i="1" s="1"/>
  <c r="J267" i="1"/>
  <c r="D30" i="2"/>
  <c r="F30" i="2" s="1"/>
  <c r="G30" i="2" s="1"/>
  <c r="H30" i="2" s="1"/>
  <c r="I30" i="2" s="1"/>
  <c r="Q270" i="12" l="1"/>
  <c r="Q270" i="7"/>
  <c r="O224" i="12"/>
  <c r="Q224" i="12" s="1"/>
  <c r="O216" i="12"/>
  <c r="Q216" i="12" s="1"/>
  <c r="O58" i="12"/>
  <c r="Q58" i="12" s="1"/>
  <c r="O142" i="12"/>
  <c r="Q142" i="12" s="1"/>
  <c r="O151" i="12"/>
  <c r="Q151" i="12" s="1"/>
  <c r="O71" i="12"/>
  <c r="Q71" i="12" s="1"/>
  <c r="O224" i="7"/>
  <c r="Q224" i="7" s="1"/>
  <c r="O71" i="7"/>
  <c r="Q71" i="7" s="1"/>
  <c r="O151" i="7"/>
  <c r="Q151" i="7" s="1"/>
  <c r="O216" i="7"/>
  <c r="Q216" i="7" s="1"/>
  <c r="O142" i="7"/>
  <c r="Q142" i="7" s="1"/>
  <c r="O58" i="7"/>
  <c r="Q58" i="7" s="1"/>
  <c r="O236" i="12"/>
  <c r="Q236" i="12" s="1"/>
  <c r="O225" i="12"/>
  <c r="Q225" i="12" s="1"/>
  <c r="O210" i="12"/>
  <c r="Q210" i="12" s="1"/>
  <c r="O121" i="12"/>
  <c r="Q121" i="12" s="1"/>
  <c r="O86" i="12"/>
  <c r="Q86" i="12" s="1"/>
  <c r="O82" i="12"/>
  <c r="Q82" i="12" s="1"/>
  <c r="O78" i="12"/>
  <c r="Q78" i="12" s="1"/>
  <c r="O74" i="12"/>
  <c r="Q74" i="12" s="1"/>
  <c r="O145" i="12"/>
  <c r="Q145" i="12" s="1"/>
  <c r="O109" i="12"/>
  <c r="Q109" i="12" s="1"/>
  <c r="O65" i="12"/>
  <c r="Q65" i="12" s="1"/>
  <c r="O44" i="12"/>
  <c r="Q44" i="12" s="1"/>
  <c r="O129" i="12"/>
  <c r="Q129" i="12" s="1"/>
  <c r="O217" i="12"/>
  <c r="Q217" i="12" s="1"/>
  <c r="O154" i="12"/>
  <c r="Q154" i="12" s="1"/>
  <c r="O135" i="12"/>
  <c r="Q135" i="12" s="1"/>
  <c r="O60" i="12"/>
  <c r="Q60" i="12" s="1"/>
  <c r="O48" i="12"/>
  <c r="Q48" i="12" s="1"/>
  <c r="O217" i="7"/>
  <c r="Q217" i="7" s="1"/>
  <c r="O210" i="7"/>
  <c r="Q210" i="7" s="1"/>
  <c r="O145" i="7"/>
  <c r="Q145" i="7" s="1"/>
  <c r="O135" i="7"/>
  <c r="Q135" i="7" s="1"/>
  <c r="O121" i="7"/>
  <c r="Q121" i="7" s="1"/>
  <c r="O82" i="7"/>
  <c r="Q82" i="7" s="1"/>
  <c r="O44" i="7"/>
  <c r="Q44" i="7" s="1"/>
  <c r="O236" i="7"/>
  <c r="Q236" i="7" s="1"/>
  <c r="O86" i="7"/>
  <c r="Q86" i="7" s="1"/>
  <c r="O65" i="7"/>
  <c r="Q65" i="7" s="1"/>
  <c r="O48" i="7"/>
  <c r="Q48" i="7" s="1"/>
  <c r="O225" i="7"/>
  <c r="Q225" i="7" s="1"/>
  <c r="O74" i="7"/>
  <c r="Q74" i="7" s="1"/>
  <c r="O154" i="7"/>
  <c r="Q154" i="7" s="1"/>
  <c r="O129" i="7"/>
  <c r="Q129" i="7" s="1"/>
  <c r="O109" i="7"/>
  <c r="Q109" i="7" s="1"/>
  <c r="O78" i="7"/>
  <c r="Q78" i="7" s="1"/>
  <c r="O60" i="7"/>
  <c r="Q60" i="7" s="1"/>
  <c r="J286" i="13"/>
  <c r="J113" i="13"/>
  <c r="J105" i="13"/>
  <c r="J101" i="13"/>
  <c r="J97" i="13"/>
  <c r="J93" i="13"/>
  <c r="J89" i="13"/>
  <c r="J116" i="13"/>
  <c r="J112" i="13"/>
  <c r="J104" i="13"/>
  <c r="J100" i="13"/>
  <c r="J96" i="13"/>
  <c r="J92" i="13"/>
  <c r="J88" i="13"/>
  <c r="J284" i="13"/>
  <c r="J244" i="13"/>
  <c r="J115" i="13"/>
  <c r="J111" i="13"/>
  <c r="J103" i="13"/>
  <c r="J99" i="13"/>
  <c r="J95" i="13"/>
  <c r="J91" i="13"/>
  <c r="J114" i="13"/>
  <c r="J106" i="13"/>
  <c r="J102" i="13"/>
  <c r="J98" i="13"/>
  <c r="J94" i="13"/>
  <c r="J90" i="13"/>
  <c r="H284" i="12"/>
  <c r="J284" i="12" s="1"/>
  <c r="H244" i="12"/>
  <c r="J244" i="12" s="1"/>
  <c r="H286" i="12"/>
  <c r="J286" i="12" s="1"/>
  <c r="K286" i="12" s="1"/>
  <c r="L286" i="12" s="1"/>
  <c r="R286" i="12" s="1"/>
  <c r="S286" i="12" s="1"/>
  <c r="V286" i="12" s="1"/>
  <c r="H245" i="12"/>
  <c r="J245" i="12" s="1"/>
  <c r="K245" i="12" s="1"/>
  <c r="L245" i="12" s="1"/>
  <c r="R245" i="12" s="1"/>
  <c r="S245" i="12" s="1"/>
  <c r="V245" i="12" s="1"/>
  <c r="H240" i="12"/>
  <c r="J240" i="12" s="1"/>
  <c r="K240" i="12" s="1"/>
  <c r="L240" i="12" s="1"/>
  <c r="H242" i="12"/>
  <c r="J242" i="12" s="1"/>
  <c r="H239" i="12"/>
  <c r="J239" i="12" s="1"/>
  <c r="H234" i="12"/>
  <c r="J234" i="12" s="1"/>
  <c r="K234" i="12" s="1"/>
  <c r="L234" i="12" s="1"/>
  <c r="H231" i="12"/>
  <c r="H212" i="12"/>
  <c r="H116" i="12"/>
  <c r="J116" i="12" s="1"/>
  <c r="K116" i="12" s="1"/>
  <c r="L116" i="12" s="1"/>
  <c r="R116" i="12" s="1"/>
  <c r="S116" i="12" s="1"/>
  <c r="V116" i="12" s="1"/>
  <c r="H112" i="12"/>
  <c r="J112" i="12" s="1"/>
  <c r="K112" i="12" s="1"/>
  <c r="L112" i="12" s="1"/>
  <c r="R112" i="12" s="1"/>
  <c r="S112" i="12" s="1"/>
  <c r="V112" i="12" s="1"/>
  <c r="H104" i="12"/>
  <c r="J104" i="12" s="1"/>
  <c r="K104" i="12" s="1"/>
  <c r="L104" i="12" s="1"/>
  <c r="R104" i="12" s="1"/>
  <c r="S104" i="12" s="1"/>
  <c r="V104" i="12" s="1"/>
  <c r="H100" i="12"/>
  <c r="J100" i="12" s="1"/>
  <c r="K100" i="12" s="1"/>
  <c r="L100" i="12" s="1"/>
  <c r="R100" i="12" s="1"/>
  <c r="S100" i="12" s="1"/>
  <c r="V100" i="12" s="1"/>
  <c r="H96" i="12"/>
  <c r="J96" i="12" s="1"/>
  <c r="K96" i="12" s="1"/>
  <c r="L96" i="12" s="1"/>
  <c r="R96" i="12" s="1"/>
  <c r="S96" i="12" s="1"/>
  <c r="V96" i="12" s="1"/>
  <c r="H92" i="12"/>
  <c r="J92" i="12" s="1"/>
  <c r="K92" i="12" s="1"/>
  <c r="L92" i="12" s="1"/>
  <c r="R92" i="12" s="1"/>
  <c r="S92" i="12" s="1"/>
  <c r="V92" i="12" s="1"/>
  <c r="H88" i="12"/>
  <c r="J88" i="12" s="1"/>
  <c r="K88" i="12" s="1"/>
  <c r="L88" i="12" s="1"/>
  <c r="R88" i="12" s="1"/>
  <c r="S88" i="12" s="1"/>
  <c r="V88" i="12" s="1"/>
  <c r="H84" i="12"/>
  <c r="J84" i="12" s="1"/>
  <c r="K84" i="12" s="1"/>
  <c r="L84" i="12" s="1"/>
  <c r="H80" i="12"/>
  <c r="J80" i="12" s="1"/>
  <c r="K80" i="12" s="1"/>
  <c r="L80" i="12" s="1"/>
  <c r="H76" i="12"/>
  <c r="J76" i="12" s="1"/>
  <c r="K76" i="12" s="1"/>
  <c r="L76" i="12" s="1"/>
  <c r="H220" i="12"/>
  <c r="H208" i="12"/>
  <c r="J208" i="12" s="1"/>
  <c r="K208" i="12" s="1"/>
  <c r="L208" i="12" s="1"/>
  <c r="H119" i="12"/>
  <c r="J119" i="12" s="1"/>
  <c r="K119" i="12" s="1"/>
  <c r="L119" i="12" s="1"/>
  <c r="H115" i="12"/>
  <c r="J115" i="12" s="1"/>
  <c r="K115" i="12" s="1"/>
  <c r="L115" i="12" s="1"/>
  <c r="R115" i="12" s="1"/>
  <c r="S115" i="12" s="1"/>
  <c r="V115" i="12" s="1"/>
  <c r="H111" i="12"/>
  <c r="J111" i="12" s="1"/>
  <c r="K111" i="12" s="1"/>
  <c r="L111" i="12" s="1"/>
  <c r="R111" i="12" s="1"/>
  <c r="S111" i="12" s="1"/>
  <c r="V111" i="12" s="1"/>
  <c r="H107" i="12"/>
  <c r="J107" i="12" s="1"/>
  <c r="K107" i="12" s="1"/>
  <c r="L107" i="12" s="1"/>
  <c r="H103" i="12"/>
  <c r="J103" i="12" s="1"/>
  <c r="K103" i="12" s="1"/>
  <c r="L103" i="12" s="1"/>
  <c r="R103" i="12" s="1"/>
  <c r="H99" i="12"/>
  <c r="J99" i="12" s="1"/>
  <c r="K99" i="12" s="1"/>
  <c r="L99" i="12" s="1"/>
  <c r="R99" i="12" s="1"/>
  <c r="H95" i="12"/>
  <c r="J95" i="12" s="1"/>
  <c r="K95" i="12" s="1"/>
  <c r="L95" i="12" s="1"/>
  <c r="R95" i="12" s="1"/>
  <c r="H91" i="12"/>
  <c r="J91" i="12" s="1"/>
  <c r="K91" i="12" s="1"/>
  <c r="L91" i="12" s="1"/>
  <c r="R91" i="12" s="1"/>
  <c r="H118" i="12"/>
  <c r="J118" i="12" s="1"/>
  <c r="K118" i="12" s="1"/>
  <c r="L118" i="12" s="1"/>
  <c r="R118" i="12" s="1"/>
  <c r="S118" i="12" s="1"/>
  <c r="V118" i="12" s="1"/>
  <c r="H114" i="12"/>
  <c r="J114" i="12" s="1"/>
  <c r="K114" i="12" s="1"/>
  <c r="L114" i="12" s="1"/>
  <c r="R114" i="12" s="1"/>
  <c r="S114" i="12" s="1"/>
  <c r="V114" i="12" s="1"/>
  <c r="H106" i="12"/>
  <c r="J106" i="12" s="1"/>
  <c r="K106" i="12" s="1"/>
  <c r="L106" i="12" s="1"/>
  <c r="R106" i="12" s="1"/>
  <c r="S106" i="12" s="1"/>
  <c r="V106" i="12" s="1"/>
  <c r="H102" i="12"/>
  <c r="J102" i="12" s="1"/>
  <c r="K102" i="12" s="1"/>
  <c r="L102" i="12" s="1"/>
  <c r="R102" i="12" s="1"/>
  <c r="S102" i="12" s="1"/>
  <c r="V102" i="12" s="1"/>
  <c r="H98" i="12"/>
  <c r="J98" i="12" s="1"/>
  <c r="K98" i="12" s="1"/>
  <c r="L98" i="12" s="1"/>
  <c r="R98" i="12" s="1"/>
  <c r="S98" i="12" s="1"/>
  <c r="V98" i="12" s="1"/>
  <c r="H94" i="12"/>
  <c r="J94" i="12" s="1"/>
  <c r="K94" i="12" s="1"/>
  <c r="L94" i="12" s="1"/>
  <c r="R94" i="12" s="1"/>
  <c r="S94" i="12" s="1"/>
  <c r="V94" i="12" s="1"/>
  <c r="H90" i="12"/>
  <c r="J90" i="12" s="1"/>
  <c r="K90" i="12" s="1"/>
  <c r="L90" i="12" s="1"/>
  <c r="R90" i="12" s="1"/>
  <c r="S90" i="12" s="1"/>
  <c r="V90" i="12" s="1"/>
  <c r="H62" i="12"/>
  <c r="J62" i="12" s="1"/>
  <c r="K62" i="12" s="1"/>
  <c r="L62" i="12" s="1"/>
  <c r="R62" i="12" s="1"/>
  <c r="H51" i="12"/>
  <c r="J51" i="12" s="1"/>
  <c r="H228" i="12"/>
  <c r="H117" i="12"/>
  <c r="J117" i="12" s="1"/>
  <c r="K117" i="12" s="1"/>
  <c r="L117" i="12" s="1"/>
  <c r="R117" i="12" s="1"/>
  <c r="S117" i="12" s="1"/>
  <c r="V117" i="12" s="1"/>
  <c r="H113" i="12"/>
  <c r="J113" i="12" s="1"/>
  <c r="K113" i="12" s="1"/>
  <c r="L113" i="12" s="1"/>
  <c r="R113" i="12" s="1"/>
  <c r="S113" i="12" s="1"/>
  <c r="V113" i="12" s="1"/>
  <c r="H105" i="12"/>
  <c r="J105" i="12" s="1"/>
  <c r="K105" i="12" s="1"/>
  <c r="L105" i="12" s="1"/>
  <c r="R105" i="12" s="1"/>
  <c r="S105" i="12" s="1"/>
  <c r="V105" i="12" s="1"/>
  <c r="H101" i="12"/>
  <c r="J101" i="12" s="1"/>
  <c r="K101" i="12" s="1"/>
  <c r="L101" i="12" s="1"/>
  <c r="R101" i="12" s="1"/>
  <c r="S101" i="12" s="1"/>
  <c r="V101" i="12" s="1"/>
  <c r="H97" i="12"/>
  <c r="J97" i="12" s="1"/>
  <c r="K97" i="12" s="1"/>
  <c r="L97" i="12" s="1"/>
  <c r="R97" i="12" s="1"/>
  <c r="S97" i="12" s="1"/>
  <c r="V97" i="12" s="1"/>
  <c r="H93" i="12"/>
  <c r="J93" i="12" s="1"/>
  <c r="K93" i="12" s="1"/>
  <c r="L93" i="12" s="1"/>
  <c r="R93" i="12" s="1"/>
  <c r="S93" i="12" s="1"/>
  <c r="V93" i="12" s="1"/>
  <c r="H89" i="12"/>
  <c r="J89" i="12" s="1"/>
  <c r="K89" i="12" s="1"/>
  <c r="L89" i="12" s="1"/>
  <c r="R89" i="12" s="1"/>
  <c r="S89" i="12" s="1"/>
  <c r="V89" i="12" s="1"/>
  <c r="H286" i="7"/>
  <c r="J286" i="7" s="1"/>
  <c r="K286" i="7" s="1"/>
  <c r="L286" i="7" s="1"/>
  <c r="R286" i="7" s="1"/>
  <c r="S286" i="7" s="1"/>
  <c r="V286" i="7" s="1"/>
  <c r="H245" i="7"/>
  <c r="J245" i="7" s="1"/>
  <c r="H242" i="7"/>
  <c r="J242" i="7" s="1"/>
  <c r="K242" i="7" s="1"/>
  <c r="L242" i="7" s="1"/>
  <c r="H239" i="7"/>
  <c r="J239" i="7" s="1"/>
  <c r="K239" i="7" s="1"/>
  <c r="L239" i="7" s="1"/>
  <c r="R239" i="7" s="1"/>
  <c r="S239" i="7" s="1"/>
  <c r="V239" i="7" s="1"/>
  <c r="H208" i="7"/>
  <c r="J208" i="7" s="1"/>
  <c r="K208" i="7" s="1"/>
  <c r="L208" i="7" s="1"/>
  <c r="H119" i="7"/>
  <c r="J119" i="7" s="1"/>
  <c r="K119" i="7" s="1"/>
  <c r="L119" i="7" s="1"/>
  <c r="H115" i="7"/>
  <c r="J115" i="7" s="1"/>
  <c r="K115" i="7" s="1"/>
  <c r="L115" i="7" s="1"/>
  <c r="R115" i="7" s="1"/>
  <c r="S115" i="7" s="1"/>
  <c r="V115" i="7" s="1"/>
  <c r="H111" i="7"/>
  <c r="J111" i="7" s="1"/>
  <c r="K111" i="7" s="1"/>
  <c r="L111" i="7" s="1"/>
  <c r="R111" i="7" s="1"/>
  <c r="S111" i="7" s="1"/>
  <c r="V111" i="7" s="1"/>
  <c r="H106" i="7"/>
  <c r="J106" i="7" s="1"/>
  <c r="K106" i="7" s="1"/>
  <c r="L106" i="7" s="1"/>
  <c r="R106" i="7" s="1"/>
  <c r="S106" i="7" s="1"/>
  <c r="V106" i="7" s="1"/>
  <c r="H102" i="7"/>
  <c r="J102" i="7" s="1"/>
  <c r="K102" i="7" s="1"/>
  <c r="L102" i="7" s="1"/>
  <c r="R102" i="7" s="1"/>
  <c r="S102" i="7" s="1"/>
  <c r="V102" i="7" s="1"/>
  <c r="H98" i="7"/>
  <c r="J98" i="7" s="1"/>
  <c r="K98" i="7" s="1"/>
  <c r="L98" i="7" s="1"/>
  <c r="R98" i="7" s="1"/>
  <c r="S98" i="7" s="1"/>
  <c r="V98" i="7" s="1"/>
  <c r="H94" i="7"/>
  <c r="J94" i="7" s="1"/>
  <c r="K94" i="7" s="1"/>
  <c r="L94" i="7" s="1"/>
  <c r="R94" i="7" s="1"/>
  <c r="S94" i="7" s="1"/>
  <c r="V94" i="7" s="1"/>
  <c r="H90" i="7"/>
  <c r="J90" i="7" s="1"/>
  <c r="K90" i="7" s="1"/>
  <c r="L90" i="7" s="1"/>
  <c r="R90" i="7" s="1"/>
  <c r="S90" i="7" s="1"/>
  <c r="V90" i="7" s="1"/>
  <c r="H80" i="7"/>
  <c r="J80" i="7" s="1"/>
  <c r="K80" i="7" s="1"/>
  <c r="L80" i="7" s="1"/>
  <c r="H51" i="7"/>
  <c r="J51" i="7" s="1"/>
  <c r="H244" i="7"/>
  <c r="J244" i="7" s="1"/>
  <c r="K244" i="7" s="1"/>
  <c r="L244" i="7" s="1"/>
  <c r="R244" i="7" s="1"/>
  <c r="S244" i="7" s="1"/>
  <c r="V244" i="7" s="1"/>
  <c r="H234" i="7"/>
  <c r="J234" i="7" s="1"/>
  <c r="K234" i="7" s="1"/>
  <c r="L234" i="7" s="1"/>
  <c r="H231" i="7"/>
  <c r="H228" i="7"/>
  <c r="H212" i="7"/>
  <c r="H118" i="7"/>
  <c r="J118" i="7" s="1"/>
  <c r="K118" i="7" s="1"/>
  <c r="L118" i="7" s="1"/>
  <c r="R118" i="7" s="1"/>
  <c r="S118" i="7" s="1"/>
  <c r="V118" i="7" s="1"/>
  <c r="H114" i="7"/>
  <c r="J114" i="7" s="1"/>
  <c r="K114" i="7" s="1"/>
  <c r="L114" i="7" s="1"/>
  <c r="R114" i="7" s="1"/>
  <c r="S114" i="7" s="1"/>
  <c r="V114" i="7" s="1"/>
  <c r="H105" i="7"/>
  <c r="J105" i="7" s="1"/>
  <c r="K105" i="7" s="1"/>
  <c r="L105" i="7" s="1"/>
  <c r="R105" i="7" s="1"/>
  <c r="S105" i="7" s="1"/>
  <c r="V105" i="7" s="1"/>
  <c r="H101" i="7"/>
  <c r="J101" i="7" s="1"/>
  <c r="K101" i="7" s="1"/>
  <c r="L101" i="7" s="1"/>
  <c r="R101" i="7" s="1"/>
  <c r="S101" i="7" s="1"/>
  <c r="V101" i="7" s="1"/>
  <c r="H97" i="7"/>
  <c r="J97" i="7" s="1"/>
  <c r="K97" i="7" s="1"/>
  <c r="L97" i="7" s="1"/>
  <c r="R97" i="7" s="1"/>
  <c r="S97" i="7" s="1"/>
  <c r="V97" i="7" s="1"/>
  <c r="H93" i="7"/>
  <c r="J93" i="7" s="1"/>
  <c r="K93" i="7" s="1"/>
  <c r="L93" i="7" s="1"/>
  <c r="R93" i="7" s="1"/>
  <c r="S93" i="7" s="1"/>
  <c r="V93" i="7" s="1"/>
  <c r="H89" i="7"/>
  <c r="J89" i="7" s="1"/>
  <c r="K89" i="7" s="1"/>
  <c r="L89" i="7" s="1"/>
  <c r="R89" i="7" s="1"/>
  <c r="S89" i="7" s="1"/>
  <c r="V89" i="7" s="1"/>
  <c r="H84" i="7"/>
  <c r="J84" i="7" s="1"/>
  <c r="K84" i="7" s="1"/>
  <c r="L84" i="7" s="1"/>
  <c r="H284" i="7"/>
  <c r="J284" i="7" s="1"/>
  <c r="K284" i="7" s="1"/>
  <c r="L284" i="7" s="1"/>
  <c r="R284" i="7" s="1"/>
  <c r="S284" i="7" s="1"/>
  <c r="V284" i="7" s="1"/>
  <c r="H117" i="7"/>
  <c r="J117" i="7" s="1"/>
  <c r="K117" i="7" s="1"/>
  <c r="L117" i="7" s="1"/>
  <c r="R117" i="7" s="1"/>
  <c r="S117" i="7" s="1"/>
  <c r="V117" i="7" s="1"/>
  <c r="H113" i="7"/>
  <c r="J113" i="7" s="1"/>
  <c r="K113" i="7" s="1"/>
  <c r="L113" i="7" s="1"/>
  <c r="R113" i="7" s="1"/>
  <c r="S113" i="7" s="1"/>
  <c r="V113" i="7" s="1"/>
  <c r="H104" i="7"/>
  <c r="J104" i="7" s="1"/>
  <c r="K104" i="7" s="1"/>
  <c r="L104" i="7" s="1"/>
  <c r="R104" i="7" s="1"/>
  <c r="S104" i="7" s="1"/>
  <c r="V104" i="7" s="1"/>
  <c r="H100" i="7"/>
  <c r="J100" i="7" s="1"/>
  <c r="K100" i="7" s="1"/>
  <c r="L100" i="7" s="1"/>
  <c r="R100" i="7" s="1"/>
  <c r="S100" i="7" s="1"/>
  <c r="V100" i="7" s="1"/>
  <c r="H96" i="7"/>
  <c r="J96" i="7" s="1"/>
  <c r="K96" i="7" s="1"/>
  <c r="L96" i="7" s="1"/>
  <c r="R96" i="7" s="1"/>
  <c r="S96" i="7" s="1"/>
  <c r="V96" i="7" s="1"/>
  <c r="H92" i="7"/>
  <c r="J92" i="7" s="1"/>
  <c r="K92" i="7" s="1"/>
  <c r="L92" i="7" s="1"/>
  <c r="R92" i="7" s="1"/>
  <c r="S92" i="7" s="1"/>
  <c r="V92" i="7" s="1"/>
  <c r="H88" i="7"/>
  <c r="J88" i="7" s="1"/>
  <c r="K88" i="7" s="1"/>
  <c r="L88" i="7" s="1"/>
  <c r="R88" i="7" s="1"/>
  <c r="S88" i="7" s="1"/>
  <c r="V88" i="7" s="1"/>
  <c r="H62" i="7"/>
  <c r="J62" i="7" s="1"/>
  <c r="K62" i="7" s="1"/>
  <c r="L62" i="7" s="1"/>
  <c r="R62" i="7" s="1"/>
  <c r="S62" i="7" s="1"/>
  <c r="V62" i="7" s="1"/>
  <c r="H240" i="7"/>
  <c r="J240" i="7" s="1"/>
  <c r="K240" i="7" s="1"/>
  <c r="L240" i="7" s="1"/>
  <c r="H220" i="7"/>
  <c r="H116" i="7"/>
  <c r="J116" i="7" s="1"/>
  <c r="K116" i="7" s="1"/>
  <c r="L116" i="7" s="1"/>
  <c r="R116" i="7" s="1"/>
  <c r="S116" i="7" s="1"/>
  <c r="V116" i="7" s="1"/>
  <c r="H112" i="7"/>
  <c r="J112" i="7" s="1"/>
  <c r="K112" i="7" s="1"/>
  <c r="L112" i="7" s="1"/>
  <c r="R112" i="7" s="1"/>
  <c r="S112" i="7" s="1"/>
  <c r="V112" i="7" s="1"/>
  <c r="H107" i="7"/>
  <c r="J107" i="7" s="1"/>
  <c r="K107" i="7" s="1"/>
  <c r="L107" i="7" s="1"/>
  <c r="H103" i="7"/>
  <c r="J103" i="7" s="1"/>
  <c r="K103" i="7" s="1"/>
  <c r="L103" i="7" s="1"/>
  <c r="R103" i="7" s="1"/>
  <c r="S103" i="7" s="1"/>
  <c r="V103" i="7" s="1"/>
  <c r="H99" i="7"/>
  <c r="J99" i="7" s="1"/>
  <c r="K99" i="7" s="1"/>
  <c r="L99" i="7" s="1"/>
  <c r="R99" i="7" s="1"/>
  <c r="S99" i="7" s="1"/>
  <c r="V99" i="7" s="1"/>
  <c r="H95" i="7"/>
  <c r="J95" i="7" s="1"/>
  <c r="K95" i="7" s="1"/>
  <c r="L95" i="7" s="1"/>
  <c r="R95" i="7" s="1"/>
  <c r="S95" i="7" s="1"/>
  <c r="V95" i="7" s="1"/>
  <c r="H91" i="7"/>
  <c r="J91" i="7" s="1"/>
  <c r="K91" i="7" s="1"/>
  <c r="L91" i="7" s="1"/>
  <c r="R91" i="7" s="1"/>
  <c r="S91" i="7" s="1"/>
  <c r="V91" i="7" s="1"/>
  <c r="H76" i="7"/>
  <c r="J76" i="7" s="1"/>
  <c r="K76" i="7" s="1"/>
  <c r="L76" i="7" s="1"/>
  <c r="O152" i="12"/>
  <c r="Q152" i="12" s="1"/>
  <c r="O128" i="12"/>
  <c r="Q128" i="12" s="1"/>
  <c r="O72" i="12"/>
  <c r="Q72" i="12" s="1"/>
  <c r="O59" i="12"/>
  <c r="Q59" i="12" s="1"/>
  <c r="O143" i="12"/>
  <c r="Q143" i="12" s="1"/>
  <c r="O134" i="12"/>
  <c r="Q134" i="12" s="1"/>
  <c r="O143" i="7"/>
  <c r="Q143" i="7" s="1"/>
  <c r="O128" i="7"/>
  <c r="Q128" i="7" s="1"/>
  <c r="O59" i="7"/>
  <c r="Q59" i="7" s="1"/>
  <c r="O134" i="7"/>
  <c r="Q134" i="7" s="1"/>
  <c r="O72" i="7"/>
  <c r="Q72" i="7" s="1"/>
  <c r="O152" i="7"/>
  <c r="Q152" i="7" s="1"/>
  <c r="H275" i="12"/>
  <c r="J275" i="12" s="1"/>
  <c r="K275" i="12" s="1"/>
  <c r="L275" i="12" s="1"/>
  <c r="R275" i="12" s="1"/>
  <c r="S275" i="12" s="1"/>
  <c r="V275" i="12" s="1"/>
  <c r="H278" i="12"/>
  <c r="J278" i="12" s="1"/>
  <c r="K278" i="12" s="1"/>
  <c r="L278" i="12" s="1"/>
  <c r="R278" i="12" s="1"/>
  <c r="H275" i="7"/>
  <c r="J275" i="7" s="1"/>
  <c r="K275" i="7" s="1"/>
  <c r="L275" i="7" s="1"/>
  <c r="R275" i="7" s="1"/>
  <c r="S275" i="7" s="1"/>
  <c r="V275" i="7" s="1"/>
  <c r="H278" i="7"/>
  <c r="J278" i="7" s="1"/>
  <c r="M222" i="1"/>
  <c r="O222" i="1" s="1"/>
  <c r="O238" i="12"/>
  <c r="Q238" i="12" s="1"/>
  <c r="O238" i="7"/>
  <c r="Q238" i="7" s="1"/>
  <c r="Q266" i="12"/>
  <c r="Q266" i="7"/>
  <c r="F261" i="1"/>
  <c r="H261" i="1" s="1"/>
  <c r="I261" i="1" s="1"/>
  <c r="H277" i="12"/>
  <c r="J277" i="12" s="1"/>
  <c r="K277" i="12" s="1"/>
  <c r="L277" i="12" s="1"/>
  <c r="R277" i="12" s="1"/>
  <c r="H277" i="7"/>
  <c r="J277" i="7" s="1"/>
  <c r="K277" i="7" s="1"/>
  <c r="L277" i="7" s="1"/>
  <c r="R277" i="7" s="1"/>
  <c r="S277" i="7" s="1"/>
  <c r="V277" i="7" s="1"/>
  <c r="M237" i="1"/>
  <c r="O237" i="1" s="1"/>
  <c r="O253" i="12"/>
  <c r="Q253" i="12" s="1"/>
  <c r="O253" i="7"/>
  <c r="Q253" i="7" s="1"/>
  <c r="H280" i="12"/>
  <c r="H276" i="12"/>
  <c r="J276" i="12" s="1"/>
  <c r="K276" i="12" s="1"/>
  <c r="L276" i="12" s="1"/>
  <c r="R276" i="12" s="1"/>
  <c r="S276" i="12" s="1"/>
  <c r="V276" i="12" s="1"/>
  <c r="H280" i="7"/>
  <c r="H276" i="7"/>
  <c r="J276" i="7" s="1"/>
  <c r="K276" i="7" s="1"/>
  <c r="L276" i="7" s="1"/>
  <c r="R276" i="7" s="1"/>
  <c r="S276" i="7" s="1"/>
  <c r="V276" i="7" s="1"/>
  <c r="O227" i="12"/>
  <c r="Q227" i="12" s="1"/>
  <c r="O233" i="12"/>
  <c r="Q233" i="12" s="1"/>
  <c r="Q231" i="12" s="1"/>
  <c r="O233" i="7"/>
  <c r="Q233" i="7" s="1"/>
  <c r="Q231" i="7" s="1"/>
  <c r="O227" i="7"/>
  <c r="Q227" i="7" s="1"/>
  <c r="M236" i="1"/>
  <c r="O236" i="1" s="1"/>
  <c r="O252" i="12"/>
  <c r="Q252" i="12" s="1"/>
  <c r="O252" i="7"/>
  <c r="Q252" i="7" s="1"/>
  <c r="Q251" i="7" s="1"/>
  <c r="O254" i="12"/>
  <c r="Q254" i="12" s="1"/>
  <c r="O149" i="12"/>
  <c r="Q149" i="12" s="1"/>
  <c r="O69" i="12"/>
  <c r="Q69" i="12" s="1"/>
  <c r="O140" i="12"/>
  <c r="Q140" i="12" s="1"/>
  <c r="O57" i="12"/>
  <c r="Q57" i="12" s="1"/>
  <c r="O223" i="12"/>
  <c r="Q223" i="12" s="1"/>
  <c r="O215" i="12"/>
  <c r="Q215" i="12" s="1"/>
  <c r="O215" i="7"/>
  <c r="Q215" i="7" s="1"/>
  <c r="O69" i="7"/>
  <c r="Q69" i="7" s="1"/>
  <c r="O254" i="7"/>
  <c r="Q254" i="7" s="1"/>
  <c r="O149" i="7"/>
  <c r="Q149" i="7" s="1"/>
  <c r="O57" i="7"/>
  <c r="Q57" i="7" s="1"/>
  <c r="O223" i="7"/>
  <c r="Q223" i="7" s="1"/>
  <c r="O140" i="7"/>
  <c r="Q140" i="7" s="1"/>
  <c r="F16" i="2"/>
  <c r="G16" i="2" s="1"/>
  <c r="H16" i="2" s="1"/>
  <c r="I16" i="2" s="1"/>
  <c r="I4" i="4"/>
  <c r="J4" i="4" s="1"/>
  <c r="O133" i="12"/>
  <c r="Q133" i="12" s="1"/>
  <c r="O126" i="12"/>
  <c r="Q126" i="12" s="1"/>
  <c r="O133" i="7"/>
  <c r="Q133" i="7" s="1"/>
  <c r="O126" i="7"/>
  <c r="Q126" i="7" s="1"/>
  <c r="O222" i="12"/>
  <c r="Q222" i="12" s="1"/>
  <c r="O214" i="12"/>
  <c r="Q214" i="12" s="1"/>
  <c r="O150" i="12"/>
  <c r="Q150" i="12" s="1"/>
  <c r="O56" i="12"/>
  <c r="Q56" i="12" s="1"/>
  <c r="O70" i="12"/>
  <c r="Q70" i="12" s="1"/>
  <c r="O141" i="12"/>
  <c r="Q141" i="12" s="1"/>
  <c r="O222" i="7"/>
  <c r="Q222" i="7" s="1"/>
  <c r="O141" i="7"/>
  <c r="Q141" i="7" s="1"/>
  <c r="O214" i="7"/>
  <c r="Q214" i="7" s="1"/>
  <c r="O70" i="7"/>
  <c r="Q70" i="7" s="1"/>
  <c r="O150" i="7"/>
  <c r="Q150" i="7" s="1"/>
  <c r="O56" i="7"/>
  <c r="Q56" i="7" s="1"/>
  <c r="O241" i="12"/>
  <c r="Q241" i="12" s="1"/>
  <c r="Q240" i="12" s="1"/>
  <c r="O235" i="12"/>
  <c r="Q235" i="12" s="1"/>
  <c r="O243" i="12"/>
  <c r="Q243" i="12" s="1"/>
  <c r="Q242" i="12" s="1"/>
  <c r="O209" i="12"/>
  <c r="Q209" i="12" s="1"/>
  <c r="O43" i="12"/>
  <c r="Q43" i="12" s="1"/>
  <c r="O120" i="12"/>
  <c r="Q120" i="12" s="1"/>
  <c r="O85" i="12"/>
  <c r="Q85" i="12" s="1"/>
  <c r="O81" i="12"/>
  <c r="Q81" i="12" s="1"/>
  <c r="O77" i="12"/>
  <c r="Q77" i="12" s="1"/>
  <c r="O47" i="12"/>
  <c r="Q47" i="12" s="1"/>
  <c r="O132" i="12"/>
  <c r="Q132" i="12" s="1"/>
  <c r="O127" i="12"/>
  <c r="Q127" i="12" s="1"/>
  <c r="O108" i="12"/>
  <c r="Q108" i="12" s="1"/>
  <c r="O64" i="12"/>
  <c r="Q64" i="12" s="1"/>
  <c r="O241" i="7"/>
  <c r="Q241" i="7" s="1"/>
  <c r="Q240" i="7" s="1"/>
  <c r="O108" i="7"/>
  <c r="Q108" i="7" s="1"/>
  <c r="O77" i="7"/>
  <c r="Q77" i="7" s="1"/>
  <c r="O243" i="7"/>
  <c r="Q243" i="7" s="1"/>
  <c r="Q242" i="7" s="1"/>
  <c r="O209" i="7"/>
  <c r="Q209" i="7" s="1"/>
  <c r="O132" i="7"/>
  <c r="Q132" i="7" s="1"/>
  <c r="O120" i="7"/>
  <c r="Q120" i="7" s="1"/>
  <c r="O81" i="7"/>
  <c r="Q81" i="7" s="1"/>
  <c r="O43" i="7"/>
  <c r="Q43" i="7" s="1"/>
  <c r="O235" i="7"/>
  <c r="Q235" i="7" s="1"/>
  <c r="O127" i="7"/>
  <c r="Q127" i="7" s="1"/>
  <c r="O85" i="7"/>
  <c r="Q85" i="7" s="1"/>
  <c r="O64" i="7"/>
  <c r="Q64" i="7" s="1"/>
  <c r="O47" i="7"/>
  <c r="Q47" i="7" s="1"/>
  <c r="H203" i="12"/>
  <c r="J203" i="12" s="1"/>
  <c r="H204" i="12"/>
  <c r="J204" i="12" s="1"/>
  <c r="K204" i="12" s="1"/>
  <c r="L204" i="12" s="1"/>
  <c r="R204" i="12" s="1"/>
  <c r="H202" i="12"/>
  <c r="J202" i="12" s="1"/>
  <c r="H206" i="12"/>
  <c r="J206" i="12" s="1"/>
  <c r="K206" i="12" s="1"/>
  <c r="L206" i="12" s="1"/>
  <c r="R206" i="12" s="1"/>
  <c r="S206" i="12" s="1"/>
  <c r="V206" i="12" s="1"/>
  <c r="H201" i="12"/>
  <c r="J201" i="12" s="1"/>
  <c r="H205" i="12"/>
  <c r="J205" i="12" s="1"/>
  <c r="K205" i="12" s="1"/>
  <c r="L205" i="12" s="1"/>
  <c r="R205" i="12" s="1"/>
  <c r="H203" i="7"/>
  <c r="J203" i="7" s="1"/>
  <c r="K203" i="7" s="1"/>
  <c r="L203" i="7" s="1"/>
  <c r="R203" i="7" s="1"/>
  <c r="S203" i="7" s="1"/>
  <c r="V203" i="7" s="1"/>
  <c r="H206" i="7"/>
  <c r="J206" i="7" s="1"/>
  <c r="K206" i="7" s="1"/>
  <c r="L206" i="7" s="1"/>
  <c r="R206" i="7" s="1"/>
  <c r="S206" i="7" s="1"/>
  <c r="V206" i="7" s="1"/>
  <c r="H202" i="7"/>
  <c r="J202" i="7" s="1"/>
  <c r="K202" i="7" s="1"/>
  <c r="L202" i="7" s="1"/>
  <c r="R202" i="7" s="1"/>
  <c r="S202" i="7" s="1"/>
  <c r="V202" i="7" s="1"/>
  <c r="H205" i="7"/>
  <c r="J205" i="7" s="1"/>
  <c r="K205" i="7" s="1"/>
  <c r="L205" i="7" s="1"/>
  <c r="R205" i="7" s="1"/>
  <c r="S205" i="7" s="1"/>
  <c r="V205" i="7" s="1"/>
  <c r="H201" i="7"/>
  <c r="J201" i="7" s="1"/>
  <c r="K201" i="7" s="1"/>
  <c r="L201" i="7" s="1"/>
  <c r="R201" i="7" s="1"/>
  <c r="S201" i="7" s="1"/>
  <c r="V201" i="7" s="1"/>
  <c r="H204" i="7"/>
  <c r="J204" i="7" s="1"/>
  <c r="K204" i="7" s="1"/>
  <c r="L204" i="7" s="1"/>
  <c r="R204" i="7" s="1"/>
  <c r="S204" i="7" s="1"/>
  <c r="V204" i="7" s="1"/>
  <c r="I5" i="4"/>
  <c r="J5" i="4" s="1"/>
  <c r="O230" i="12"/>
  <c r="Q230" i="12" s="1"/>
  <c r="Q228" i="12" s="1"/>
  <c r="O54" i="12"/>
  <c r="Q54" i="12" s="1"/>
  <c r="Q52" i="12" s="1"/>
  <c r="O41" i="12"/>
  <c r="Q41" i="12" s="1"/>
  <c r="Q39" i="12" s="1"/>
  <c r="O219" i="12"/>
  <c r="Q219" i="12" s="1"/>
  <c r="O219" i="7"/>
  <c r="Q219" i="7" s="1"/>
  <c r="O41" i="7"/>
  <c r="Q41" i="7" s="1"/>
  <c r="Q39" i="7" s="1"/>
  <c r="O230" i="7"/>
  <c r="Q230" i="7" s="1"/>
  <c r="Q228" i="7" s="1"/>
  <c r="O54" i="7"/>
  <c r="Q54" i="7" s="1"/>
  <c r="Q52" i="7" s="1"/>
  <c r="O237" i="12"/>
  <c r="Q237" i="12" s="1"/>
  <c r="O218" i="12"/>
  <c r="Q218" i="12" s="1"/>
  <c r="O130" i="12"/>
  <c r="Q130" i="12" s="1"/>
  <c r="O61" i="12"/>
  <c r="Q61" i="12" s="1"/>
  <c r="O49" i="12"/>
  <c r="Q49" i="12" s="1"/>
  <c r="O155" i="12"/>
  <c r="Q155" i="12" s="1"/>
  <c r="O136" i="12"/>
  <c r="Q136" i="12" s="1"/>
  <c r="O122" i="12"/>
  <c r="Q122" i="12" s="1"/>
  <c r="O87" i="12"/>
  <c r="Q87" i="12" s="1"/>
  <c r="O83" i="12"/>
  <c r="Q83" i="12" s="1"/>
  <c r="O79" i="12"/>
  <c r="Q79" i="12" s="1"/>
  <c r="O75" i="12"/>
  <c r="Q75" i="12" s="1"/>
  <c r="O226" i="12"/>
  <c r="Q226" i="12" s="1"/>
  <c r="O211" i="12"/>
  <c r="Q211" i="12" s="1"/>
  <c r="O110" i="12"/>
  <c r="Q110" i="12" s="1"/>
  <c r="O66" i="12"/>
  <c r="Q66" i="12" s="1"/>
  <c r="O146" i="12"/>
  <c r="Q146" i="12" s="1"/>
  <c r="O45" i="12"/>
  <c r="Q45" i="12" s="1"/>
  <c r="O226" i="7"/>
  <c r="Q226" i="7" s="1"/>
  <c r="O75" i="7"/>
  <c r="Q75" i="7" s="1"/>
  <c r="O61" i="7"/>
  <c r="Q61" i="7" s="1"/>
  <c r="O155" i="7"/>
  <c r="Q155" i="7" s="1"/>
  <c r="O130" i="7"/>
  <c r="Q130" i="7" s="1"/>
  <c r="O110" i="7"/>
  <c r="Q110" i="7" s="1"/>
  <c r="O79" i="7"/>
  <c r="Q79" i="7" s="1"/>
  <c r="O218" i="7"/>
  <c r="Q218" i="7" s="1"/>
  <c r="O211" i="7"/>
  <c r="Q211" i="7" s="1"/>
  <c r="O146" i="7"/>
  <c r="Q146" i="7" s="1"/>
  <c r="O136" i="7"/>
  <c r="Q136" i="7" s="1"/>
  <c r="O122" i="7"/>
  <c r="Q122" i="7" s="1"/>
  <c r="O83" i="7"/>
  <c r="Q83" i="7" s="1"/>
  <c r="O66" i="7"/>
  <c r="Q66" i="7" s="1"/>
  <c r="O49" i="7"/>
  <c r="Q49" i="7" s="1"/>
  <c r="O45" i="7"/>
  <c r="Q45" i="7" s="1"/>
  <c r="O237" i="7"/>
  <c r="Q237" i="7" s="1"/>
  <c r="O87" i="7"/>
  <c r="Q87" i="7" s="1"/>
  <c r="M125" i="1"/>
  <c r="O125" i="1" s="1"/>
  <c r="H270" i="12"/>
  <c r="J270" i="12" s="1"/>
  <c r="K270" i="12" s="1"/>
  <c r="L270" i="12" s="1"/>
  <c r="R270" i="12" s="1"/>
  <c r="S270" i="12" s="1"/>
  <c r="V270" i="12" s="1"/>
  <c r="H271" i="12"/>
  <c r="J271" i="12" s="1"/>
  <c r="H270" i="7"/>
  <c r="J270" i="7" s="1"/>
  <c r="K270" i="7" s="1"/>
  <c r="L270" i="7" s="1"/>
  <c r="R270" i="7" s="1"/>
  <c r="S270" i="7" s="1"/>
  <c r="V270" i="7" s="1"/>
  <c r="H271" i="7"/>
  <c r="J271" i="7" s="1"/>
  <c r="K271" i="7" s="1"/>
  <c r="L271" i="7" s="1"/>
  <c r="F15" i="2"/>
  <c r="M40" i="1"/>
  <c r="O40" i="1" s="1"/>
  <c r="D20" i="2"/>
  <c r="F20" i="2" s="1"/>
  <c r="D32" i="2"/>
  <c r="E32" i="2"/>
  <c r="F32" i="2" s="1"/>
  <c r="M217" i="1"/>
  <c r="O217" i="1" s="1"/>
  <c r="O215" i="1" s="1"/>
  <c r="M211" i="1"/>
  <c r="O211" i="1" s="1"/>
  <c r="O254" i="1"/>
  <c r="K8" i="4"/>
  <c r="K5" i="4"/>
  <c r="M110" i="1"/>
  <c r="O110" i="1" s="1"/>
  <c r="M117" i="1"/>
  <c r="O117" i="1" s="1"/>
  <c r="F29" i="2"/>
  <c r="G29" i="2" s="1"/>
  <c r="H29" i="2" s="1"/>
  <c r="I29" i="2" s="1"/>
  <c r="M238" i="1"/>
  <c r="O238" i="1" s="1"/>
  <c r="M124" i="1"/>
  <c r="O124" i="1" s="1"/>
  <c r="M53" i="1"/>
  <c r="O53" i="1" s="1"/>
  <c r="M41" i="1"/>
  <c r="O41" i="1" s="1"/>
  <c r="M207" i="1"/>
  <c r="O207" i="1" s="1"/>
  <c r="M199" i="1"/>
  <c r="O199" i="1" s="1"/>
  <c r="M17" i="1"/>
  <c r="O17" i="1" s="1"/>
  <c r="M133" i="1"/>
  <c r="O133" i="1" s="1"/>
  <c r="M25" i="1"/>
  <c r="O25" i="1" s="1"/>
  <c r="O23" i="1" s="1"/>
  <c r="M214" i="1"/>
  <c r="O214" i="1" s="1"/>
  <c r="O212" i="1" s="1"/>
  <c r="M203" i="1"/>
  <c r="O203" i="1" s="1"/>
  <c r="M38" i="1"/>
  <c r="O38" i="1" s="1"/>
  <c r="O36" i="1" s="1"/>
  <c r="M67" i="1"/>
  <c r="O67" i="1" s="1"/>
  <c r="M139" i="1"/>
  <c r="O139" i="1" s="1"/>
  <c r="M33" i="1"/>
  <c r="M221" i="1"/>
  <c r="O221" i="1" s="1"/>
  <c r="M210" i="1"/>
  <c r="O210" i="1" s="1"/>
  <c r="M202" i="1"/>
  <c r="O202" i="1" s="1"/>
  <c r="M120" i="1"/>
  <c r="O120" i="1" s="1"/>
  <c r="M114" i="1"/>
  <c r="O114" i="1" s="1"/>
  <c r="M106" i="1"/>
  <c r="O106" i="1" s="1"/>
  <c r="M94" i="1"/>
  <c r="O94" i="1" s="1"/>
  <c r="M71" i="1"/>
  <c r="O71" i="1" s="1"/>
  <c r="M63" i="1"/>
  <c r="O63" i="1" s="1"/>
  <c r="M29" i="1"/>
  <c r="O29" i="1" s="1"/>
  <c r="M21" i="1"/>
  <c r="M12" i="1"/>
  <c r="O12" i="1" s="1"/>
  <c r="M50" i="1"/>
  <c r="M195" i="1"/>
  <c r="O195" i="1" s="1"/>
  <c r="M59" i="1"/>
  <c r="O59" i="1" s="1"/>
  <c r="M130" i="1"/>
  <c r="O130" i="1" s="1"/>
  <c r="M45" i="1"/>
  <c r="O45" i="1" s="1"/>
  <c r="F188" i="1"/>
  <c r="H188" i="1" s="1"/>
  <c r="I188" i="1" s="1"/>
  <c r="F186" i="1"/>
  <c r="H186" i="1" s="1"/>
  <c r="I186" i="1" s="1"/>
  <c r="F187" i="1"/>
  <c r="H187" i="1" s="1"/>
  <c r="I187" i="1" s="1"/>
  <c r="F190" i="1"/>
  <c r="H190" i="1" s="1"/>
  <c r="I190" i="1" s="1"/>
  <c r="F189" i="1"/>
  <c r="H189" i="1" s="1"/>
  <c r="I189" i="1" s="1"/>
  <c r="F185" i="1"/>
  <c r="H185" i="1" s="1"/>
  <c r="I185" i="1" s="1"/>
  <c r="F251" i="1"/>
  <c r="H251" i="1" s="1"/>
  <c r="I251" i="1" s="1"/>
  <c r="J251" i="1" s="1"/>
  <c r="F250" i="1"/>
  <c r="H250" i="1" s="1"/>
  <c r="F255" i="1"/>
  <c r="H255" i="1" s="1"/>
  <c r="I255" i="1" s="1"/>
  <c r="J255" i="1" s="1"/>
  <c r="F254" i="1"/>
  <c r="H254" i="1" s="1"/>
  <c r="F262" i="1"/>
  <c r="H262" i="1" s="1"/>
  <c r="I262" i="1" s="1"/>
  <c r="F259" i="1"/>
  <c r="H259" i="1" s="1"/>
  <c r="D22" i="2"/>
  <c r="F270" i="1"/>
  <c r="H270" i="1" s="1"/>
  <c r="I270" i="1" s="1"/>
  <c r="F223" i="1"/>
  <c r="H223" i="1" s="1"/>
  <c r="F96" i="1"/>
  <c r="H96" i="1" s="1"/>
  <c r="F83" i="1"/>
  <c r="H83" i="1" s="1"/>
  <c r="I83" i="1" s="1"/>
  <c r="J83" i="1" s="1"/>
  <c r="P83" i="1" s="1"/>
  <c r="F73" i="1"/>
  <c r="H73" i="1" s="1"/>
  <c r="F228" i="1"/>
  <c r="H228" i="1" s="1"/>
  <c r="I228" i="1" s="1"/>
  <c r="J228" i="1" s="1"/>
  <c r="P228" i="1" s="1"/>
  <c r="F215" i="1"/>
  <c r="F204" i="1"/>
  <c r="F196" i="1"/>
  <c r="F192" i="1"/>
  <c r="H192" i="1" s="1"/>
  <c r="I192" i="1" s="1"/>
  <c r="J192" i="1" s="1"/>
  <c r="F100" i="1"/>
  <c r="H100" i="1" s="1"/>
  <c r="F98" i="1"/>
  <c r="H98" i="1" s="1"/>
  <c r="I98" i="1" s="1"/>
  <c r="J98" i="1" s="1"/>
  <c r="P98" i="1" s="1"/>
  <c r="F95" i="1"/>
  <c r="H95" i="1" s="1"/>
  <c r="F75" i="1"/>
  <c r="H75" i="1" s="1"/>
  <c r="F77" i="1"/>
  <c r="H77" i="1" s="1"/>
  <c r="F79" i="1"/>
  <c r="H79" i="1" s="1"/>
  <c r="I79" i="1" s="1"/>
  <c r="J79" i="1" s="1"/>
  <c r="P79" i="1" s="1"/>
  <c r="F82" i="1"/>
  <c r="H82" i="1" s="1"/>
  <c r="F85" i="1"/>
  <c r="H85" i="1" s="1"/>
  <c r="I85" i="1" s="1"/>
  <c r="J85" i="1" s="1"/>
  <c r="P85" i="1" s="1"/>
  <c r="F88" i="1"/>
  <c r="H88" i="1" s="1"/>
  <c r="F90" i="1"/>
  <c r="H90" i="1" s="1"/>
  <c r="I90" i="1" s="1"/>
  <c r="F46" i="1"/>
  <c r="H46" i="1" s="1"/>
  <c r="F35" i="1"/>
  <c r="H35" i="1" s="1"/>
  <c r="I35" i="1" s="1"/>
  <c r="F268" i="1"/>
  <c r="H268" i="1" s="1"/>
  <c r="I268" i="1" s="1"/>
  <c r="F101" i="1"/>
  <c r="H101" i="1" s="1"/>
  <c r="F80" i="1"/>
  <c r="H80" i="1" s="1"/>
  <c r="F229" i="1"/>
  <c r="H229" i="1" s="1"/>
  <c r="I229" i="1" s="1"/>
  <c r="J229" i="1" s="1"/>
  <c r="P229" i="1" s="1"/>
  <c r="F224" i="1"/>
  <c r="H224" i="1" s="1"/>
  <c r="I224" i="1" s="1"/>
  <c r="F103" i="1"/>
  <c r="H103" i="1" s="1"/>
  <c r="I103" i="1" s="1"/>
  <c r="J103" i="1" s="1"/>
  <c r="F102" i="1"/>
  <c r="H102" i="1" s="1"/>
  <c r="I102" i="1" s="1"/>
  <c r="F97" i="1"/>
  <c r="H97" i="1" s="1"/>
  <c r="I97" i="1" s="1"/>
  <c r="J97" i="1" s="1"/>
  <c r="P97" i="1" s="1"/>
  <c r="F76" i="1"/>
  <c r="H76" i="1" s="1"/>
  <c r="F81" i="1"/>
  <c r="H81" i="1" s="1"/>
  <c r="I81" i="1" s="1"/>
  <c r="J81" i="1" s="1"/>
  <c r="P81" i="1" s="1"/>
  <c r="F86" i="1"/>
  <c r="H86" i="1" s="1"/>
  <c r="I86" i="1" s="1"/>
  <c r="F91" i="1"/>
  <c r="H91" i="1" s="1"/>
  <c r="I91" i="1" s="1"/>
  <c r="F68" i="1"/>
  <c r="H68" i="1" s="1"/>
  <c r="F60" i="1"/>
  <c r="H60" i="1" s="1"/>
  <c r="I60" i="1" s="1"/>
  <c r="F64" i="1"/>
  <c r="H64" i="1" s="1"/>
  <c r="I64" i="1" s="1"/>
  <c r="J64" i="1" s="1"/>
  <c r="F87" i="1"/>
  <c r="H87" i="1" s="1"/>
  <c r="F72" i="1"/>
  <c r="H72" i="1" s="1"/>
  <c r="I72" i="1" s="1"/>
  <c r="J72" i="1" s="1"/>
  <c r="P72" i="1" s="1"/>
  <c r="F226" i="1"/>
  <c r="H226" i="1" s="1"/>
  <c r="I226" i="1" s="1"/>
  <c r="F218" i="1"/>
  <c r="H218" i="1" s="1"/>
  <c r="F212" i="1"/>
  <c r="F99" i="1"/>
  <c r="H99" i="1" s="1"/>
  <c r="I99" i="1" s="1"/>
  <c r="F74" i="1"/>
  <c r="H74" i="1" s="1"/>
  <c r="I74" i="1" s="1"/>
  <c r="J74" i="1" s="1"/>
  <c r="P74" i="1" s="1"/>
  <c r="F78" i="1"/>
  <c r="H78" i="1" s="1"/>
  <c r="I78" i="1" s="1"/>
  <c r="J78" i="1" s="1"/>
  <c r="P78" i="1" s="1"/>
  <c r="F84" i="1"/>
  <c r="H84" i="1" s="1"/>
  <c r="I84" i="1" s="1"/>
  <c r="J84" i="1" s="1"/>
  <c r="P84" i="1" s="1"/>
  <c r="F89" i="1"/>
  <c r="H89" i="1" s="1"/>
  <c r="I89" i="1" s="1"/>
  <c r="E17" i="2"/>
  <c r="D17" i="2"/>
  <c r="E26" i="2"/>
  <c r="D26" i="2"/>
  <c r="F26" i="2"/>
  <c r="G26" i="2" s="1"/>
  <c r="H26" i="2" s="1"/>
  <c r="I26" i="2" s="1"/>
  <c r="F260" i="1"/>
  <c r="H260" i="1" s="1"/>
  <c r="F264" i="1"/>
  <c r="O250" i="1"/>
  <c r="K6" i="4"/>
  <c r="K7" i="4"/>
  <c r="O266" i="1"/>
  <c r="K4" i="4"/>
  <c r="D31" i="2"/>
  <c r="F31" i="2" s="1"/>
  <c r="M49" i="1"/>
  <c r="O49" i="1" s="1"/>
  <c r="M194" i="1"/>
  <c r="O194" i="1" s="1"/>
  <c r="M129" i="1"/>
  <c r="O129" i="1" s="1"/>
  <c r="M58" i="1"/>
  <c r="O58" i="1" s="1"/>
  <c r="M22" i="1"/>
  <c r="O22" i="1" s="1"/>
  <c r="M66" i="1"/>
  <c r="O66" i="1" s="1"/>
  <c r="M220" i="1"/>
  <c r="O220" i="1" s="1"/>
  <c r="M119" i="1"/>
  <c r="O119" i="1" s="1"/>
  <c r="M138" i="1"/>
  <c r="O138" i="1" s="1"/>
  <c r="M32" i="1"/>
  <c r="O32" i="1" s="1"/>
  <c r="M209" i="1"/>
  <c r="O209" i="1" s="1"/>
  <c r="M201" i="1"/>
  <c r="O201" i="1" s="1"/>
  <c r="M113" i="1"/>
  <c r="O113" i="1" s="1"/>
  <c r="M105" i="1"/>
  <c r="O105" i="1" s="1"/>
  <c r="M93" i="1"/>
  <c r="O93" i="1" s="1"/>
  <c r="M70" i="1"/>
  <c r="O70" i="1" s="1"/>
  <c r="M62" i="1"/>
  <c r="O62" i="1" s="1"/>
  <c r="M44" i="1"/>
  <c r="M28" i="1"/>
  <c r="O28" i="1" s="1"/>
  <c r="M11" i="1"/>
  <c r="O11" i="1" s="1"/>
  <c r="M65" i="1"/>
  <c r="O65" i="1" s="1"/>
  <c r="M31" i="1"/>
  <c r="O31" i="1" s="1"/>
  <c r="M227" i="1"/>
  <c r="O227" i="1" s="1"/>
  <c r="O226" i="1" s="1"/>
  <c r="M225" i="1"/>
  <c r="O225" i="1" s="1"/>
  <c r="O224" i="1" s="1"/>
  <c r="M219" i="1"/>
  <c r="O219" i="1" s="1"/>
  <c r="M116" i="1"/>
  <c r="O116" i="1" s="1"/>
  <c r="M104" i="1"/>
  <c r="O104" i="1" s="1"/>
  <c r="M92" i="1"/>
  <c r="O92" i="1" s="1"/>
  <c r="M69" i="1"/>
  <c r="O69" i="1" s="1"/>
  <c r="M61" i="1"/>
  <c r="O61" i="1" s="1"/>
  <c r="M27" i="1"/>
  <c r="O27" i="1" s="1"/>
  <c r="M10" i="1"/>
  <c r="O10" i="1" s="1"/>
  <c r="M48" i="1"/>
  <c r="O48" i="1" s="1"/>
  <c r="M111" i="1"/>
  <c r="O111" i="1" s="1"/>
  <c r="M193" i="1"/>
  <c r="O193" i="1" s="1"/>
  <c r="O192" i="1" s="1"/>
  <c r="M136" i="1"/>
  <c r="O136" i="1" s="1"/>
  <c r="M118" i="1"/>
  <c r="O118" i="1" s="1"/>
  <c r="M112" i="1"/>
  <c r="O112" i="1" s="1"/>
  <c r="M43" i="1"/>
  <c r="O43" i="1" s="1"/>
  <c r="M208" i="1"/>
  <c r="O208" i="1" s="1"/>
  <c r="M200" i="1"/>
  <c r="O200" i="1" s="1"/>
  <c r="M126" i="1"/>
  <c r="O126" i="1" s="1"/>
  <c r="M55" i="1"/>
  <c r="O55" i="1" s="1"/>
  <c r="M18" i="1"/>
  <c r="O18" i="1" s="1"/>
  <c r="M20" i="1"/>
  <c r="O20" i="1" s="1"/>
  <c r="M56" i="1"/>
  <c r="O56" i="1" s="1"/>
  <c r="Q123" i="1"/>
  <c r="T123" i="1" s="1"/>
  <c r="S123" i="1" s="1"/>
  <c r="Q37" i="1"/>
  <c r="T37" i="1" s="1"/>
  <c r="R37" i="1" s="1"/>
  <c r="F25" i="2"/>
  <c r="G25" i="2" s="1"/>
  <c r="H25" i="2" s="1"/>
  <c r="I25" i="2" s="1"/>
  <c r="F18" i="2"/>
  <c r="G18" i="2" s="1"/>
  <c r="H18" i="2" s="1"/>
  <c r="I18" i="2" s="1"/>
  <c r="D21" i="2"/>
  <c r="F21" i="2" s="1"/>
  <c r="G21" i="2" s="1"/>
  <c r="H21" i="2" s="1"/>
  <c r="I21" i="2" s="1"/>
  <c r="G15" i="2"/>
  <c r="H15" i="2" s="1"/>
  <c r="I15" i="2" s="1"/>
  <c r="M134" i="1"/>
  <c r="O134" i="1" s="1"/>
  <c r="M206" i="1"/>
  <c r="O206" i="1" s="1"/>
  <c r="M198" i="1"/>
  <c r="O198" i="1" s="1"/>
  <c r="M16" i="1"/>
  <c r="O16" i="1" s="1"/>
  <c r="O21" i="1"/>
  <c r="Q15" i="1"/>
  <c r="T15" i="1" s="1"/>
  <c r="R15" i="1" s="1"/>
  <c r="M42" i="1"/>
  <c r="O42" i="1" s="1"/>
  <c r="M54" i="1"/>
  <c r="O54" i="1" s="1"/>
  <c r="M127" i="1"/>
  <c r="O127" i="1" s="1"/>
  <c r="O33" i="1"/>
  <c r="M135" i="1"/>
  <c r="O135" i="1" s="1"/>
  <c r="O44" i="1"/>
  <c r="O50" i="1"/>
  <c r="O47" i="1" s="1"/>
  <c r="O60" i="1"/>
  <c r="O91" i="1"/>
  <c r="S15" i="1"/>
  <c r="I259" i="1"/>
  <c r="J259" i="1" s="1"/>
  <c r="P259" i="1" s="1"/>
  <c r="I76" i="1"/>
  <c r="J76" i="1" s="1"/>
  <c r="P76" i="1" s="1"/>
  <c r="I95" i="1"/>
  <c r="J95" i="1" s="1"/>
  <c r="P95" i="1" s="1"/>
  <c r="J99" i="1"/>
  <c r="P99" i="1" s="1"/>
  <c r="J226" i="1"/>
  <c r="P226" i="1" s="1"/>
  <c r="S234" i="1"/>
  <c r="J261" i="1"/>
  <c r="P261" i="1" s="1"/>
  <c r="J190" i="1"/>
  <c r="P190" i="1" s="1"/>
  <c r="J270" i="1"/>
  <c r="P270" i="1" s="1"/>
  <c r="Q270" i="1" s="1"/>
  <c r="Q24" i="1"/>
  <c r="T24" i="1" s="1"/>
  <c r="R24" i="1" s="1"/>
  <c r="I46" i="1"/>
  <c r="J46" i="1" s="1"/>
  <c r="P46" i="1" s="1"/>
  <c r="I68" i="1"/>
  <c r="J68" i="1" s="1"/>
  <c r="I75" i="1"/>
  <c r="J75" i="1" s="1"/>
  <c r="P75" i="1" s="1"/>
  <c r="I100" i="1"/>
  <c r="J100" i="1" s="1"/>
  <c r="P100" i="1" s="1"/>
  <c r="O68" i="1"/>
  <c r="I88" i="1"/>
  <c r="J88" i="1" s="1"/>
  <c r="P88" i="1" s="1"/>
  <c r="I82" i="1"/>
  <c r="J82" i="1" s="1"/>
  <c r="P82" i="1" s="1"/>
  <c r="I77" i="1"/>
  <c r="J77" i="1" s="1"/>
  <c r="P77" i="1" s="1"/>
  <c r="J91" i="1"/>
  <c r="J89" i="1"/>
  <c r="P89" i="1" s="1"/>
  <c r="J86" i="1"/>
  <c r="P86" i="1" s="1"/>
  <c r="J102" i="1"/>
  <c r="P102" i="1" s="1"/>
  <c r="I218" i="1"/>
  <c r="J218" i="1" s="1"/>
  <c r="O235" i="1"/>
  <c r="I260" i="1"/>
  <c r="J260" i="1" s="1"/>
  <c r="P260" i="1" s="1"/>
  <c r="I254" i="1"/>
  <c r="J254" i="1" s="1"/>
  <c r="I73" i="1"/>
  <c r="J73" i="1" s="1"/>
  <c r="P73" i="1" s="1"/>
  <c r="I96" i="1"/>
  <c r="J96" i="1" s="1"/>
  <c r="P96" i="1" s="1"/>
  <c r="O204" i="1"/>
  <c r="I250" i="1"/>
  <c r="J250" i="1" s="1"/>
  <c r="P250" i="1" s="1"/>
  <c r="Q264" i="1"/>
  <c r="T264" i="1" s="1"/>
  <c r="R264" i="1" s="1"/>
  <c r="I80" i="1"/>
  <c r="J80" i="1" s="1"/>
  <c r="P80" i="1" s="1"/>
  <c r="I87" i="1"/>
  <c r="J87" i="1" s="1"/>
  <c r="P87" i="1" s="1"/>
  <c r="I101" i="1"/>
  <c r="J101" i="1" s="1"/>
  <c r="P101" i="1" s="1"/>
  <c r="J186" i="1"/>
  <c r="P186" i="1" s="1"/>
  <c r="J185" i="1"/>
  <c r="P185" i="1" s="1"/>
  <c r="J188" i="1"/>
  <c r="P188" i="1" s="1"/>
  <c r="J224" i="1"/>
  <c r="P224" i="1" s="1"/>
  <c r="I223" i="1"/>
  <c r="J223" i="1" s="1"/>
  <c r="P223" i="1" s="1"/>
  <c r="O64" i="1"/>
  <c r="J268" i="1"/>
  <c r="P268" i="1" s="1"/>
  <c r="O39" i="1"/>
  <c r="H269" i="12" l="1"/>
  <c r="J269" i="12" s="1"/>
  <c r="K269" i="12" s="1"/>
  <c r="L269" i="12" s="1"/>
  <c r="R269" i="12" s="1"/>
  <c r="H268" i="12"/>
  <c r="J268" i="12" s="1"/>
  <c r="K268" i="12" s="1"/>
  <c r="L268" i="12" s="1"/>
  <c r="R268" i="12" s="1"/>
  <c r="H269" i="7"/>
  <c r="J269" i="7" s="1"/>
  <c r="K269" i="7" s="1"/>
  <c r="L269" i="7" s="1"/>
  <c r="R269" i="7" s="1"/>
  <c r="S269" i="7" s="1"/>
  <c r="V269" i="7" s="1"/>
  <c r="H268" i="7"/>
  <c r="J268" i="7" s="1"/>
  <c r="F17" i="2"/>
  <c r="G17" i="2" s="1"/>
  <c r="H17" i="2" s="1"/>
  <c r="I17" i="2" s="1"/>
  <c r="G32" i="2"/>
  <c r="H32" i="2" s="1"/>
  <c r="I32" i="2" s="1"/>
  <c r="J270" i="13"/>
  <c r="T205" i="7"/>
  <c r="U205" i="7" s="1"/>
  <c r="X205" i="7"/>
  <c r="S205" i="12"/>
  <c r="V205" i="12" s="1"/>
  <c r="S204" i="12"/>
  <c r="V204" i="12" s="1"/>
  <c r="J205" i="13"/>
  <c r="Q234" i="7"/>
  <c r="Q131" i="7"/>
  <c r="Q107" i="7"/>
  <c r="Q80" i="12"/>
  <c r="Q208" i="12"/>
  <c r="Q212" i="12"/>
  <c r="Q125" i="7"/>
  <c r="J276" i="13"/>
  <c r="L278" i="7"/>
  <c r="R278" i="7" s="1"/>
  <c r="S278" i="7" s="1"/>
  <c r="V278" i="7" s="1"/>
  <c r="K278" i="7"/>
  <c r="J278" i="13"/>
  <c r="X103" i="7"/>
  <c r="T103" i="7"/>
  <c r="U103" i="7" s="1"/>
  <c r="X92" i="7"/>
  <c r="T92" i="7"/>
  <c r="U92" i="7" s="1"/>
  <c r="X113" i="7"/>
  <c r="T113" i="7"/>
  <c r="U113" i="7" s="1"/>
  <c r="X89" i="7"/>
  <c r="T89" i="7"/>
  <c r="U89" i="7" s="1"/>
  <c r="X105" i="7"/>
  <c r="T105" i="7"/>
  <c r="U105" i="7" s="1"/>
  <c r="K51" i="7"/>
  <c r="L51" i="7" s="1"/>
  <c r="R51" i="7" s="1"/>
  <c r="S51" i="7" s="1"/>
  <c r="V51" i="7" s="1"/>
  <c r="X98" i="7"/>
  <c r="T98" i="7"/>
  <c r="U98" i="7" s="1"/>
  <c r="X115" i="7"/>
  <c r="T115" i="7"/>
  <c r="U115" i="7" s="1"/>
  <c r="R242" i="7"/>
  <c r="S242" i="7" s="1"/>
  <c r="V242" i="7" s="1"/>
  <c r="T93" i="12"/>
  <c r="U93" i="12" s="1"/>
  <c r="X93" i="12"/>
  <c r="X113" i="12"/>
  <c r="T113" i="12"/>
  <c r="U113" i="12" s="1"/>
  <c r="V62" i="12"/>
  <c r="S62" i="12"/>
  <c r="X102" i="12"/>
  <c r="T102" i="12"/>
  <c r="U102" i="12" s="1"/>
  <c r="S91" i="12"/>
  <c r="V91" i="12" s="1"/>
  <c r="R208" i="12"/>
  <c r="S208" i="12" s="1"/>
  <c r="V208" i="12" s="1"/>
  <c r="X100" i="12"/>
  <c r="T100" i="12"/>
  <c r="U100" i="12" s="1"/>
  <c r="L242" i="12"/>
  <c r="R242" i="12" s="1"/>
  <c r="K242" i="12"/>
  <c r="K244" i="12"/>
  <c r="L244" i="12" s="1"/>
  <c r="R244" i="12" s="1"/>
  <c r="S244" i="12" s="1"/>
  <c r="V244" i="12" s="1"/>
  <c r="H90" i="13"/>
  <c r="I90" i="13" s="1"/>
  <c r="L90" i="13"/>
  <c r="H106" i="13"/>
  <c r="I106" i="13" s="1"/>
  <c r="L106" i="13"/>
  <c r="H95" i="13"/>
  <c r="I95" i="13" s="1"/>
  <c r="L95" i="13"/>
  <c r="H111" i="13"/>
  <c r="I111" i="13" s="1"/>
  <c r="L111" i="13"/>
  <c r="H96" i="13"/>
  <c r="I96" i="13" s="1"/>
  <c r="L96" i="13"/>
  <c r="H116" i="13"/>
  <c r="I116" i="13" s="1"/>
  <c r="L116" i="13"/>
  <c r="J245" i="13"/>
  <c r="H101" i="13"/>
  <c r="I101" i="13" s="1"/>
  <c r="L101" i="13"/>
  <c r="H286" i="13"/>
  <c r="I286" i="13" s="1"/>
  <c r="L286" i="13"/>
  <c r="Q46" i="7"/>
  <c r="H273" i="12"/>
  <c r="J273" i="12" s="1"/>
  <c r="K273" i="12" s="1"/>
  <c r="L273" i="12" s="1"/>
  <c r="R273" i="12" s="1"/>
  <c r="H272" i="12"/>
  <c r="J272" i="12" s="1"/>
  <c r="K272" i="12" s="1"/>
  <c r="L272" i="12" s="1"/>
  <c r="R272" i="12" s="1"/>
  <c r="S272" i="12" s="1"/>
  <c r="V272" i="12" s="1"/>
  <c r="H273" i="7"/>
  <c r="J273" i="7" s="1"/>
  <c r="K273" i="7" s="1"/>
  <c r="L273" i="7" s="1"/>
  <c r="R273" i="7" s="1"/>
  <c r="S273" i="7" s="1"/>
  <c r="V273" i="7" s="1"/>
  <c r="H272" i="7"/>
  <c r="J272" i="7" s="1"/>
  <c r="K272" i="7" s="1"/>
  <c r="L272" i="7" s="1"/>
  <c r="R272" i="7" s="1"/>
  <c r="S272" i="7" s="1"/>
  <c r="V272" i="7" s="1"/>
  <c r="F256" i="1"/>
  <c r="F257" i="1"/>
  <c r="O251" i="1"/>
  <c r="Q267" i="12"/>
  <c r="Q267" i="7"/>
  <c r="F266" i="1"/>
  <c r="H282" i="12"/>
  <c r="H282" i="7"/>
  <c r="X270" i="7"/>
  <c r="T270" i="7"/>
  <c r="U270" i="7" s="1"/>
  <c r="X202" i="7"/>
  <c r="T202" i="7"/>
  <c r="U202" i="7" s="1"/>
  <c r="K201" i="12"/>
  <c r="L201" i="12" s="1"/>
  <c r="R201" i="12" s="1"/>
  <c r="K203" i="12"/>
  <c r="L203" i="12" s="1"/>
  <c r="R203" i="12" s="1"/>
  <c r="S203" i="12" s="1"/>
  <c r="V203" i="12" s="1"/>
  <c r="J202" i="13"/>
  <c r="Q42" i="7"/>
  <c r="Q208" i="7"/>
  <c r="Q131" i="12"/>
  <c r="Q84" i="12"/>
  <c r="R84" i="12" s="1"/>
  <c r="S84" i="12" s="1"/>
  <c r="V84" i="12" s="1"/>
  <c r="Q212" i="7"/>
  <c r="Q220" i="12"/>
  <c r="X276" i="12"/>
  <c r="T276" i="12"/>
  <c r="U276" i="12" s="1"/>
  <c r="T277" i="7"/>
  <c r="U277" i="7" s="1"/>
  <c r="X277" i="7"/>
  <c r="T275" i="7"/>
  <c r="U275" i="7" s="1"/>
  <c r="X275" i="7"/>
  <c r="T91" i="7"/>
  <c r="U91" i="7" s="1"/>
  <c r="X91" i="7"/>
  <c r="R107" i="7"/>
  <c r="S107" i="7" s="1"/>
  <c r="V107" i="7" s="1"/>
  <c r="R240" i="7"/>
  <c r="S240" i="7" s="1"/>
  <c r="V240" i="7" s="1"/>
  <c r="T96" i="7"/>
  <c r="U96" i="7" s="1"/>
  <c r="X96" i="7"/>
  <c r="T117" i="7"/>
  <c r="U117" i="7" s="1"/>
  <c r="X117" i="7"/>
  <c r="T93" i="7"/>
  <c r="U93" i="7" s="1"/>
  <c r="X93" i="7"/>
  <c r="T114" i="7"/>
  <c r="U114" i="7" s="1"/>
  <c r="X114" i="7"/>
  <c r="T102" i="7"/>
  <c r="U102" i="7" s="1"/>
  <c r="X102" i="7"/>
  <c r="K245" i="7"/>
  <c r="L245" i="7" s="1"/>
  <c r="R245" i="7" s="1"/>
  <c r="S245" i="7" s="1"/>
  <c r="V245" i="7" s="1"/>
  <c r="X97" i="12"/>
  <c r="T97" i="12"/>
  <c r="U97" i="12" s="1"/>
  <c r="T117" i="12"/>
  <c r="U117" i="12" s="1"/>
  <c r="X117" i="12"/>
  <c r="T90" i="12"/>
  <c r="U90" i="12" s="1"/>
  <c r="X90" i="12"/>
  <c r="T106" i="12"/>
  <c r="U106" i="12" s="1"/>
  <c r="X106" i="12"/>
  <c r="S95" i="12"/>
  <c r="V95" i="12"/>
  <c r="T111" i="12"/>
  <c r="U111" i="12" s="1"/>
  <c r="X111" i="12"/>
  <c r="T88" i="12"/>
  <c r="U88" i="12" s="1"/>
  <c r="X88" i="12"/>
  <c r="T104" i="12"/>
  <c r="U104" i="12" s="1"/>
  <c r="X104" i="12"/>
  <c r="R240" i="12"/>
  <c r="S240" i="12" s="1"/>
  <c r="V240" i="12" s="1"/>
  <c r="K284" i="12"/>
  <c r="L284" i="12" s="1"/>
  <c r="R284" i="12" s="1"/>
  <c r="S284" i="12" s="1"/>
  <c r="V284" i="12" s="1"/>
  <c r="H94" i="13"/>
  <c r="I94" i="13" s="1"/>
  <c r="L94" i="13"/>
  <c r="H114" i="13"/>
  <c r="I114" i="13" s="1"/>
  <c r="L114" i="13"/>
  <c r="H99" i="13"/>
  <c r="I99" i="13" s="1"/>
  <c r="L99" i="13"/>
  <c r="H115" i="13"/>
  <c r="I115" i="13" s="1"/>
  <c r="L115" i="13"/>
  <c r="H244" i="13"/>
  <c r="I244" i="13" s="1"/>
  <c r="L244" i="13"/>
  <c r="H100" i="13"/>
  <c r="I100" i="13" s="1"/>
  <c r="L100" i="13"/>
  <c r="J234" i="13"/>
  <c r="H89" i="13"/>
  <c r="I89" i="13" s="1"/>
  <c r="L89" i="13"/>
  <c r="H105" i="13"/>
  <c r="I105" i="13" s="1"/>
  <c r="L105" i="13"/>
  <c r="Q55" i="7"/>
  <c r="Q63" i="7"/>
  <c r="H264" i="12"/>
  <c r="J264" i="12" s="1"/>
  <c r="K264" i="12" s="1"/>
  <c r="L264" i="12" s="1"/>
  <c r="R264" i="12" s="1"/>
  <c r="H260" i="12"/>
  <c r="J260" i="12" s="1"/>
  <c r="K260" i="12" s="1"/>
  <c r="L260" i="12" s="1"/>
  <c r="R260" i="12" s="1"/>
  <c r="H256" i="12"/>
  <c r="J256" i="12" s="1"/>
  <c r="K256" i="12" s="1"/>
  <c r="L256" i="12" s="1"/>
  <c r="R256" i="12" s="1"/>
  <c r="H263" i="12"/>
  <c r="J263" i="12" s="1"/>
  <c r="K263" i="12" s="1"/>
  <c r="L263" i="12" s="1"/>
  <c r="R263" i="12" s="1"/>
  <c r="H259" i="12"/>
  <c r="J259" i="12" s="1"/>
  <c r="K259" i="12" s="1"/>
  <c r="L259" i="12" s="1"/>
  <c r="R259" i="12" s="1"/>
  <c r="H262" i="12"/>
  <c r="J262" i="12" s="1"/>
  <c r="K262" i="12" s="1"/>
  <c r="L262" i="12" s="1"/>
  <c r="R262" i="12" s="1"/>
  <c r="H258" i="12"/>
  <c r="J258" i="12" s="1"/>
  <c r="K258" i="12" s="1"/>
  <c r="L258" i="12" s="1"/>
  <c r="R258" i="12" s="1"/>
  <c r="H261" i="12"/>
  <c r="J261" i="12" s="1"/>
  <c r="K261" i="12" s="1"/>
  <c r="L261" i="12" s="1"/>
  <c r="R261" i="12" s="1"/>
  <c r="H257" i="12"/>
  <c r="J257" i="12" s="1"/>
  <c r="K257" i="12" s="1"/>
  <c r="L257" i="12" s="1"/>
  <c r="R257" i="12" s="1"/>
  <c r="H264" i="7"/>
  <c r="J264" i="7" s="1"/>
  <c r="K264" i="7" s="1"/>
  <c r="L264" i="7" s="1"/>
  <c r="R264" i="7" s="1"/>
  <c r="S264" i="7" s="1"/>
  <c r="V264" i="7" s="1"/>
  <c r="H260" i="7"/>
  <c r="J260" i="7" s="1"/>
  <c r="K260" i="7" s="1"/>
  <c r="L260" i="7" s="1"/>
  <c r="R260" i="7" s="1"/>
  <c r="S260" i="7" s="1"/>
  <c r="V260" i="7" s="1"/>
  <c r="H256" i="7"/>
  <c r="J256" i="7" s="1"/>
  <c r="K256" i="7" s="1"/>
  <c r="L256" i="7" s="1"/>
  <c r="R256" i="7" s="1"/>
  <c r="S256" i="7" s="1"/>
  <c r="V256" i="7" s="1"/>
  <c r="H263" i="7"/>
  <c r="J263" i="7" s="1"/>
  <c r="K263" i="7" s="1"/>
  <c r="L263" i="7" s="1"/>
  <c r="R263" i="7" s="1"/>
  <c r="S263" i="7" s="1"/>
  <c r="V263" i="7" s="1"/>
  <c r="H259" i="7"/>
  <c r="J259" i="7" s="1"/>
  <c r="K259" i="7" s="1"/>
  <c r="L259" i="7" s="1"/>
  <c r="R259" i="7" s="1"/>
  <c r="S259" i="7" s="1"/>
  <c r="V259" i="7" s="1"/>
  <c r="H262" i="7"/>
  <c r="J262" i="7" s="1"/>
  <c r="K262" i="7" s="1"/>
  <c r="L262" i="7" s="1"/>
  <c r="R262" i="7" s="1"/>
  <c r="S262" i="7" s="1"/>
  <c r="V262" i="7" s="1"/>
  <c r="H258" i="7"/>
  <c r="J258" i="7" s="1"/>
  <c r="K258" i="7" s="1"/>
  <c r="L258" i="7" s="1"/>
  <c r="R258" i="7" s="1"/>
  <c r="S258" i="7" s="1"/>
  <c r="V258" i="7" s="1"/>
  <c r="H261" i="7"/>
  <c r="J261" i="7" s="1"/>
  <c r="K261" i="7" s="1"/>
  <c r="L261" i="7" s="1"/>
  <c r="R261" i="7" s="1"/>
  <c r="S261" i="7" s="1"/>
  <c r="V261" i="7" s="1"/>
  <c r="H257" i="7"/>
  <c r="J257" i="7" s="1"/>
  <c r="K257" i="7" s="1"/>
  <c r="L257" i="7" s="1"/>
  <c r="R257" i="7" s="1"/>
  <c r="S257" i="7" s="1"/>
  <c r="V257" i="7" s="1"/>
  <c r="L271" i="12"/>
  <c r="K271" i="12"/>
  <c r="T204" i="7"/>
  <c r="U204" i="7" s="1"/>
  <c r="X204" i="7"/>
  <c r="X206" i="7"/>
  <c r="T206" i="7"/>
  <c r="U206" i="7" s="1"/>
  <c r="X206" i="12"/>
  <c r="T206" i="12"/>
  <c r="U206" i="12" s="1"/>
  <c r="J204" i="13"/>
  <c r="Q84" i="7"/>
  <c r="Q80" i="7"/>
  <c r="R80" i="7" s="1"/>
  <c r="S80" i="7" s="1"/>
  <c r="V80" i="7" s="1"/>
  <c r="Q63" i="12"/>
  <c r="Q46" i="12"/>
  <c r="Q234" i="12"/>
  <c r="Q55" i="12"/>
  <c r="Q125" i="12"/>
  <c r="Q282" i="12"/>
  <c r="Q282" i="7"/>
  <c r="Q251" i="12"/>
  <c r="V277" i="12"/>
  <c r="S277" i="12"/>
  <c r="S278" i="12"/>
  <c r="V278" i="12" s="1"/>
  <c r="X95" i="7"/>
  <c r="T95" i="7"/>
  <c r="U95" i="7" s="1"/>
  <c r="T112" i="7"/>
  <c r="U112" i="7" s="1"/>
  <c r="X112" i="7"/>
  <c r="X62" i="7"/>
  <c r="T62" i="7"/>
  <c r="U62" i="7" s="1"/>
  <c r="T100" i="7"/>
  <c r="U100" i="7" s="1"/>
  <c r="X100" i="7"/>
  <c r="X284" i="7"/>
  <c r="T284" i="7"/>
  <c r="U284" i="7" s="1"/>
  <c r="X97" i="7"/>
  <c r="T97" i="7"/>
  <c r="U97" i="7" s="1"/>
  <c r="X118" i="7"/>
  <c r="T118" i="7"/>
  <c r="U118" i="7" s="1"/>
  <c r="R234" i="7"/>
  <c r="S234" i="7" s="1"/>
  <c r="V234" i="7" s="1"/>
  <c r="X90" i="7"/>
  <c r="T90" i="7"/>
  <c r="U90" i="7" s="1"/>
  <c r="X106" i="7"/>
  <c r="T106" i="7"/>
  <c r="U106" i="7" s="1"/>
  <c r="R208" i="7"/>
  <c r="S208" i="7" s="1"/>
  <c r="V208" i="7" s="1"/>
  <c r="T286" i="7"/>
  <c r="U286" i="7" s="1"/>
  <c r="X286" i="7"/>
  <c r="T101" i="12"/>
  <c r="U101" i="12" s="1"/>
  <c r="X101" i="12"/>
  <c r="X94" i="12"/>
  <c r="T94" i="12"/>
  <c r="U94" i="12" s="1"/>
  <c r="X114" i="12"/>
  <c r="T114" i="12"/>
  <c r="U114" i="12" s="1"/>
  <c r="S99" i="12"/>
  <c r="V99" i="12"/>
  <c r="X115" i="12"/>
  <c r="T115" i="12"/>
  <c r="U115" i="12" s="1"/>
  <c r="X92" i="12"/>
  <c r="T92" i="12"/>
  <c r="U92" i="12" s="1"/>
  <c r="X112" i="12"/>
  <c r="T112" i="12"/>
  <c r="U112" i="12" s="1"/>
  <c r="R234" i="12"/>
  <c r="T245" i="12"/>
  <c r="U245" i="12" s="1"/>
  <c r="X245" i="12"/>
  <c r="J51" i="13"/>
  <c r="H98" i="13"/>
  <c r="I98" i="13" s="1"/>
  <c r="L98" i="13"/>
  <c r="H103" i="13"/>
  <c r="I103" i="13" s="1"/>
  <c r="L103" i="13"/>
  <c r="H284" i="13"/>
  <c r="I284" i="13" s="1"/>
  <c r="L284" i="13"/>
  <c r="H88" i="13"/>
  <c r="I88" i="13" s="1"/>
  <c r="L88" i="13"/>
  <c r="H104" i="13"/>
  <c r="I104" i="13" s="1"/>
  <c r="L104" i="13"/>
  <c r="J239" i="13"/>
  <c r="H93" i="13"/>
  <c r="I93" i="13" s="1"/>
  <c r="L93" i="13"/>
  <c r="H113" i="13"/>
  <c r="I113" i="13" s="1"/>
  <c r="L113" i="13"/>
  <c r="J247" i="13"/>
  <c r="J195" i="13"/>
  <c r="J191" i="13"/>
  <c r="J187" i="13"/>
  <c r="J183" i="13"/>
  <c r="J179" i="13"/>
  <c r="J173" i="13"/>
  <c r="H173" i="13" s="1"/>
  <c r="I173" i="13" s="1"/>
  <c r="J169" i="13"/>
  <c r="J125" i="13"/>
  <c r="J194" i="13"/>
  <c r="J190" i="13"/>
  <c r="J186" i="13"/>
  <c r="J182" i="13"/>
  <c r="J178" i="13"/>
  <c r="J172" i="13"/>
  <c r="J131" i="13"/>
  <c r="J55" i="13"/>
  <c r="J193" i="13"/>
  <c r="J189" i="13"/>
  <c r="J185" i="13"/>
  <c r="J181" i="13"/>
  <c r="J177" i="13"/>
  <c r="J171" i="13"/>
  <c r="J168" i="13"/>
  <c r="J192" i="13"/>
  <c r="J188" i="13"/>
  <c r="J184" i="13"/>
  <c r="J180" i="13"/>
  <c r="J176" i="13"/>
  <c r="J170" i="13"/>
  <c r="H249" i="12"/>
  <c r="H247" i="12"/>
  <c r="J247" i="12" s="1"/>
  <c r="H248" i="12"/>
  <c r="J248" i="12" s="1"/>
  <c r="K248" i="12" s="1"/>
  <c r="L248" i="12" s="1"/>
  <c r="R248" i="12" s="1"/>
  <c r="S248" i="12" s="1"/>
  <c r="V248" i="12" s="1"/>
  <c r="H279" i="12"/>
  <c r="J279" i="12" s="1"/>
  <c r="K279" i="12" s="1"/>
  <c r="L279" i="12" s="1"/>
  <c r="R279" i="12" s="1"/>
  <c r="S279" i="12" s="1"/>
  <c r="V279" i="12" s="1"/>
  <c r="H199" i="12"/>
  <c r="J199" i="12" s="1"/>
  <c r="K199" i="12" s="1"/>
  <c r="L199" i="12" s="1"/>
  <c r="R199" i="12" s="1"/>
  <c r="S199" i="12" s="1"/>
  <c r="V199" i="12" s="1"/>
  <c r="H195" i="12"/>
  <c r="J195" i="12" s="1"/>
  <c r="K195" i="12" s="1"/>
  <c r="L195" i="12" s="1"/>
  <c r="R195" i="12" s="1"/>
  <c r="S195" i="12" s="1"/>
  <c r="V195" i="12" s="1"/>
  <c r="H191" i="12"/>
  <c r="J191" i="12" s="1"/>
  <c r="K191" i="12" s="1"/>
  <c r="L191" i="12" s="1"/>
  <c r="R191" i="12" s="1"/>
  <c r="S191" i="12" s="1"/>
  <c r="V191" i="12" s="1"/>
  <c r="H187" i="12"/>
  <c r="J187" i="12" s="1"/>
  <c r="K187" i="12" s="1"/>
  <c r="L187" i="12" s="1"/>
  <c r="R187" i="12" s="1"/>
  <c r="S187" i="12" s="1"/>
  <c r="V187" i="12" s="1"/>
  <c r="H183" i="12"/>
  <c r="J183" i="12" s="1"/>
  <c r="K183" i="12" s="1"/>
  <c r="L183" i="12" s="1"/>
  <c r="R183" i="12" s="1"/>
  <c r="S183" i="12" s="1"/>
  <c r="V183" i="12" s="1"/>
  <c r="H179" i="12"/>
  <c r="J179" i="12" s="1"/>
  <c r="K179" i="12" s="1"/>
  <c r="L179" i="12" s="1"/>
  <c r="R179" i="12" s="1"/>
  <c r="S179" i="12" s="1"/>
  <c r="V179" i="12" s="1"/>
  <c r="H173" i="12"/>
  <c r="J173" i="12" s="1"/>
  <c r="K173" i="12" s="1"/>
  <c r="L173" i="12" s="1"/>
  <c r="R173" i="12" s="1"/>
  <c r="S173" i="12" s="1"/>
  <c r="V173" i="12" s="1"/>
  <c r="T173" i="12" s="1"/>
  <c r="U173" i="12" s="1"/>
  <c r="H169" i="12"/>
  <c r="J169" i="12" s="1"/>
  <c r="K169" i="12" s="1"/>
  <c r="L169" i="12" s="1"/>
  <c r="R169" i="12" s="1"/>
  <c r="S169" i="12" s="1"/>
  <c r="V169" i="12" s="1"/>
  <c r="H167" i="12"/>
  <c r="J167" i="12" s="1"/>
  <c r="K167" i="12" s="1"/>
  <c r="L167" i="12" s="1"/>
  <c r="R167" i="12" s="1"/>
  <c r="H165" i="12"/>
  <c r="J165" i="12" s="1"/>
  <c r="K165" i="12" s="1"/>
  <c r="L165" i="12" s="1"/>
  <c r="R165" i="12" s="1"/>
  <c r="H198" i="12"/>
  <c r="J198" i="12" s="1"/>
  <c r="K198" i="12" s="1"/>
  <c r="L198" i="12" s="1"/>
  <c r="R198" i="12" s="1"/>
  <c r="S198" i="12" s="1"/>
  <c r="V198" i="12" s="1"/>
  <c r="H193" i="12"/>
  <c r="J193" i="12" s="1"/>
  <c r="K193" i="12" s="1"/>
  <c r="L193" i="12" s="1"/>
  <c r="R193" i="12" s="1"/>
  <c r="S193" i="12" s="1"/>
  <c r="V193" i="12" s="1"/>
  <c r="H188" i="12"/>
  <c r="J188" i="12" s="1"/>
  <c r="K188" i="12" s="1"/>
  <c r="L188" i="12" s="1"/>
  <c r="R188" i="12" s="1"/>
  <c r="S188" i="12" s="1"/>
  <c r="V188" i="12" s="1"/>
  <c r="H182" i="12"/>
  <c r="J182" i="12" s="1"/>
  <c r="K182" i="12" s="1"/>
  <c r="L182" i="12" s="1"/>
  <c r="R182" i="12" s="1"/>
  <c r="S182" i="12" s="1"/>
  <c r="V182" i="12" s="1"/>
  <c r="H177" i="12"/>
  <c r="J177" i="12" s="1"/>
  <c r="K177" i="12" s="1"/>
  <c r="L177" i="12" s="1"/>
  <c r="R177" i="12" s="1"/>
  <c r="S177" i="12" s="1"/>
  <c r="V177" i="12" s="1"/>
  <c r="H174" i="12"/>
  <c r="J174" i="12" s="1"/>
  <c r="K174" i="12" s="1"/>
  <c r="L174" i="12" s="1"/>
  <c r="R174" i="12" s="1"/>
  <c r="H166" i="12"/>
  <c r="J166" i="12" s="1"/>
  <c r="K166" i="12" s="1"/>
  <c r="L166" i="12" s="1"/>
  <c r="R166" i="12" s="1"/>
  <c r="H67" i="12"/>
  <c r="H55" i="12"/>
  <c r="J55" i="12" s="1"/>
  <c r="K55" i="12" s="1"/>
  <c r="L55" i="12" s="1"/>
  <c r="R55" i="12" s="1"/>
  <c r="S55" i="12" s="1"/>
  <c r="V55" i="12" s="1"/>
  <c r="H197" i="12"/>
  <c r="J197" i="12" s="1"/>
  <c r="H192" i="12"/>
  <c r="J192" i="12" s="1"/>
  <c r="K192" i="12" s="1"/>
  <c r="L192" i="12" s="1"/>
  <c r="R192" i="12" s="1"/>
  <c r="S192" i="12" s="1"/>
  <c r="V192" i="12" s="1"/>
  <c r="H186" i="12"/>
  <c r="J186" i="12" s="1"/>
  <c r="K186" i="12" s="1"/>
  <c r="L186" i="12" s="1"/>
  <c r="R186" i="12" s="1"/>
  <c r="S186" i="12" s="1"/>
  <c r="V186" i="12" s="1"/>
  <c r="H181" i="12"/>
  <c r="J181" i="12" s="1"/>
  <c r="K181" i="12" s="1"/>
  <c r="L181" i="12" s="1"/>
  <c r="R181" i="12" s="1"/>
  <c r="S181" i="12" s="1"/>
  <c r="V181" i="12" s="1"/>
  <c r="H176" i="12"/>
  <c r="J176" i="12" s="1"/>
  <c r="K176" i="12" s="1"/>
  <c r="L176" i="12" s="1"/>
  <c r="R176" i="12" s="1"/>
  <c r="S176" i="12" s="1"/>
  <c r="V176" i="12" s="1"/>
  <c r="H172" i="12"/>
  <c r="J172" i="12" s="1"/>
  <c r="K172" i="12" s="1"/>
  <c r="L172" i="12" s="1"/>
  <c r="R172" i="12" s="1"/>
  <c r="S172" i="12" s="1"/>
  <c r="V172" i="12" s="1"/>
  <c r="H168" i="12"/>
  <c r="J168" i="12" s="1"/>
  <c r="K168" i="12" s="1"/>
  <c r="L168" i="12" s="1"/>
  <c r="R168" i="12" s="1"/>
  <c r="S168" i="12" s="1"/>
  <c r="V168" i="12" s="1"/>
  <c r="H163" i="12"/>
  <c r="J163" i="12" s="1"/>
  <c r="K163" i="12" s="1"/>
  <c r="L163" i="12" s="1"/>
  <c r="R163" i="12" s="1"/>
  <c r="H161" i="12"/>
  <c r="J161" i="12" s="1"/>
  <c r="K161" i="12" s="1"/>
  <c r="L161" i="12" s="1"/>
  <c r="R161" i="12" s="1"/>
  <c r="H159" i="12"/>
  <c r="J159" i="12" s="1"/>
  <c r="K159" i="12" s="1"/>
  <c r="L159" i="12" s="1"/>
  <c r="R159" i="12" s="1"/>
  <c r="H157" i="12"/>
  <c r="J157" i="12" s="1"/>
  <c r="K157" i="12" s="1"/>
  <c r="L157" i="12" s="1"/>
  <c r="R157" i="12" s="1"/>
  <c r="H147" i="12"/>
  <c r="H138" i="12"/>
  <c r="H125" i="12"/>
  <c r="J125" i="12" s="1"/>
  <c r="K125" i="12" s="1"/>
  <c r="L125" i="12" s="1"/>
  <c r="R125" i="12" s="1"/>
  <c r="H63" i="12"/>
  <c r="J63" i="12" s="1"/>
  <c r="K63" i="12" s="1"/>
  <c r="L63" i="12" s="1"/>
  <c r="R63" i="12" s="1"/>
  <c r="S63" i="12" s="1"/>
  <c r="V63" i="12" s="1"/>
  <c r="H46" i="12"/>
  <c r="J46" i="12" s="1"/>
  <c r="H196" i="12"/>
  <c r="J196" i="12" s="1"/>
  <c r="K196" i="12" s="1"/>
  <c r="L196" i="12" s="1"/>
  <c r="R196" i="12" s="1"/>
  <c r="S196" i="12" s="1"/>
  <c r="V196" i="12" s="1"/>
  <c r="H190" i="12"/>
  <c r="J190" i="12" s="1"/>
  <c r="K190" i="12" s="1"/>
  <c r="L190" i="12" s="1"/>
  <c r="R190" i="12" s="1"/>
  <c r="S190" i="12" s="1"/>
  <c r="V190" i="12" s="1"/>
  <c r="H185" i="12"/>
  <c r="J185" i="12" s="1"/>
  <c r="K185" i="12" s="1"/>
  <c r="L185" i="12" s="1"/>
  <c r="R185" i="12" s="1"/>
  <c r="S185" i="12" s="1"/>
  <c r="V185" i="12" s="1"/>
  <c r="H180" i="12"/>
  <c r="J180" i="12" s="1"/>
  <c r="K180" i="12" s="1"/>
  <c r="L180" i="12" s="1"/>
  <c r="R180" i="12" s="1"/>
  <c r="S180" i="12" s="1"/>
  <c r="V180" i="12" s="1"/>
  <c r="H175" i="12"/>
  <c r="J175" i="12" s="1"/>
  <c r="K175" i="12" s="1"/>
  <c r="L175" i="12" s="1"/>
  <c r="R175" i="12" s="1"/>
  <c r="H171" i="12"/>
  <c r="J171" i="12" s="1"/>
  <c r="K171" i="12" s="1"/>
  <c r="L171" i="12" s="1"/>
  <c r="R171" i="12" s="1"/>
  <c r="S171" i="12" s="1"/>
  <c r="V171" i="12" s="1"/>
  <c r="H131" i="12"/>
  <c r="J131" i="12" s="1"/>
  <c r="K131" i="12" s="1"/>
  <c r="L131" i="12" s="1"/>
  <c r="R131" i="12" s="1"/>
  <c r="S131" i="12" s="1"/>
  <c r="V131" i="12" s="1"/>
  <c r="H53" i="12"/>
  <c r="H200" i="12"/>
  <c r="J200" i="12" s="1"/>
  <c r="K200" i="12" s="1"/>
  <c r="L200" i="12" s="1"/>
  <c r="R200" i="12" s="1"/>
  <c r="H194" i="12"/>
  <c r="J194" i="12" s="1"/>
  <c r="K194" i="12" s="1"/>
  <c r="L194" i="12" s="1"/>
  <c r="R194" i="12" s="1"/>
  <c r="S194" i="12" s="1"/>
  <c r="V194" i="12" s="1"/>
  <c r="H189" i="12"/>
  <c r="J189" i="12" s="1"/>
  <c r="K189" i="12" s="1"/>
  <c r="L189" i="12" s="1"/>
  <c r="R189" i="12" s="1"/>
  <c r="S189" i="12" s="1"/>
  <c r="V189" i="12" s="1"/>
  <c r="H184" i="12"/>
  <c r="J184" i="12" s="1"/>
  <c r="K184" i="12" s="1"/>
  <c r="L184" i="12" s="1"/>
  <c r="R184" i="12" s="1"/>
  <c r="S184" i="12" s="1"/>
  <c r="V184" i="12" s="1"/>
  <c r="H178" i="12"/>
  <c r="J178" i="12" s="1"/>
  <c r="K178" i="12" s="1"/>
  <c r="L178" i="12" s="1"/>
  <c r="R178" i="12" s="1"/>
  <c r="S178" i="12" s="1"/>
  <c r="V178" i="12" s="1"/>
  <c r="H170" i="12"/>
  <c r="J170" i="12" s="1"/>
  <c r="K170" i="12" s="1"/>
  <c r="L170" i="12" s="1"/>
  <c r="R170" i="12" s="1"/>
  <c r="S170" i="12" s="1"/>
  <c r="V170" i="12" s="1"/>
  <c r="H164" i="12"/>
  <c r="J164" i="12" s="1"/>
  <c r="K164" i="12" s="1"/>
  <c r="L164" i="12" s="1"/>
  <c r="R164" i="12" s="1"/>
  <c r="H162" i="12"/>
  <c r="J162" i="12" s="1"/>
  <c r="K162" i="12" s="1"/>
  <c r="L162" i="12" s="1"/>
  <c r="R162" i="12" s="1"/>
  <c r="H160" i="12"/>
  <c r="J160" i="12" s="1"/>
  <c r="K160" i="12" s="1"/>
  <c r="L160" i="12" s="1"/>
  <c r="R160" i="12" s="1"/>
  <c r="H158" i="12"/>
  <c r="J158" i="12" s="1"/>
  <c r="K158" i="12" s="1"/>
  <c r="L158" i="12" s="1"/>
  <c r="R158" i="12" s="1"/>
  <c r="H156" i="12"/>
  <c r="J156" i="12" s="1"/>
  <c r="K156" i="12" s="1"/>
  <c r="L156" i="12" s="1"/>
  <c r="R156" i="12" s="1"/>
  <c r="H137" i="12"/>
  <c r="J137" i="12" s="1"/>
  <c r="K137" i="12" s="1"/>
  <c r="L137" i="12" s="1"/>
  <c r="R137" i="12" s="1"/>
  <c r="H42" i="12"/>
  <c r="J42" i="12" s="1"/>
  <c r="H40" i="12"/>
  <c r="H199" i="7"/>
  <c r="J199" i="7" s="1"/>
  <c r="K199" i="7" s="1"/>
  <c r="L199" i="7" s="1"/>
  <c r="R199" i="7" s="1"/>
  <c r="S199" i="7" s="1"/>
  <c r="V199" i="7" s="1"/>
  <c r="H195" i="7"/>
  <c r="J195" i="7" s="1"/>
  <c r="K195" i="7" s="1"/>
  <c r="L195" i="7" s="1"/>
  <c r="R195" i="7" s="1"/>
  <c r="S195" i="7" s="1"/>
  <c r="V195" i="7" s="1"/>
  <c r="H191" i="7"/>
  <c r="J191" i="7" s="1"/>
  <c r="K191" i="7" s="1"/>
  <c r="L191" i="7" s="1"/>
  <c r="R191" i="7" s="1"/>
  <c r="S191" i="7" s="1"/>
  <c r="V191" i="7" s="1"/>
  <c r="H187" i="7"/>
  <c r="J187" i="7" s="1"/>
  <c r="K187" i="7" s="1"/>
  <c r="L187" i="7" s="1"/>
  <c r="R187" i="7" s="1"/>
  <c r="S187" i="7" s="1"/>
  <c r="V187" i="7" s="1"/>
  <c r="H183" i="7"/>
  <c r="J183" i="7" s="1"/>
  <c r="K183" i="7" s="1"/>
  <c r="L183" i="7" s="1"/>
  <c r="R183" i="7" s="1"/>
  <c r="S183" i="7" s="1"/>
  <c r="V183" i="7" s="1"/>
  <c r="H179" i="7"/>
  <c r="J179" i="7" s="1"/>
  <c r="K179" i="7" s="1"/>
  <c r="L179" i="7" s="1"/>
  <c r="R179" i="7" s="1"/>
  <c r="S179" i="7" s="1"/>
  <c r="V179" i="7" s="1"/>
  <c r="H175" i="7"/>
  <c r="J175" i="7" s="1"/>
  <c r="K175" i="7" s="1"/>
  <c r="L175" i="7" s="1"/>
  <c r="R175" i="7" s="1"/>
  <c r="S175" i="7" s="1"/>
  <c r="V175" i="7" s="1"/>
  <c r="T175" i="7" s="1"/>
  <c r="U175" i="7" s="1"/>
  <c r="H171" i="7"/>
  <c r="J171" i="7" s="1"/>
  <c r="K171" i="7" s="1"/>
  <c r="L171" i="7" s="1"/>
  <c r="R171" i="7" s="1"/>
  <c r="S171" i="7" s="1"/>
  <c r="V171" i="7" s="1"/>
  <c r="H168" i="7"/>
  <c r="J168" i="7" s="1"/>
  <c r="K168" i="7" s="1"/>
  <c r="L168" i="7" s="1"/>
  <c r="R168" i="7" s="1"/>
  <c r="S168" i="7" s="1"/>
  <c r="V168" i="7" s="1"/>
  <c r="H164" i="7"/>
  <c r="J164" i="7" s="1"/>
  <c r="K164" i="7" s="1"/>
  <c r="L164" i="7" s="1"/>
  <c r="R164" i="7" s="1"/>
  <c r="S164" i="7" s="1"/>
  <c r="V164" i="7" s="1"/>
  <c r="H160" i="7"/>
  <c r="J160" i="7" s="1"/>
  <c r="K160" i="7" s="1"/>
  <c r="L160" i="7" s="1"/>
  <c r="R160" i="7" s="1"/>
  <c r="S160" i="7" s="1"/>
  <c r="V160" i="7" s="1"/>
  <c r="H156" i="7"/>
  <c r="J156" i="7" s="1"/>
  <c r="K156" i="7" s="1"/>
  <c r="L156" i="7" s="1"/>
  <c r="R156" i="7" s="1"/>
  <c r="S156" i="7" s="1"/>
  <c r="V156" i="7" s="1"/>
  <c r="H138" i="7"/>
  <c r="H131" i="7"/>
  <c r="J131" i="7" s="1"/>
  <c r="K131" i="7" s="1"/>
  <c r="L131" i="7" s="1"/>
  <c r="R131" i="7" s="1"/>
  <c r="S131" i="7" s="1"/>
  <c r="V131" i="7" s="1"/>
  <c r="H67" i="7"/>
  <c r="H249" i="7"/>
  <c r="H198" i="7"/>
  <c r="J198" i="7" s="1"/>
  <c r="K198" i="7" s="1"/>
  <c r="L198" i="7" s="1"/>
  <c r="R198" i="7" s="1"/>
  <c r="S198" i="7" s="1"/>
  <c r="V198" i="7" s="1"/>
  <c r="H194" i="7"/>
  <c r="J194" i="7" s="1"/>
  <c r="H190" i="7"/>
  <c r="J190" i="7" s="1"/>
  <c r="K190" i="7" s="1"/>
  <c r="L190" i="7" s="1"/>
  <c r="R190" i="7" s="1"/>
  <c r="S190" i="7" s="1"/>
  <c r="V190" i="7" s="1"/>
  <c r="H186" i="7"/>
  <c r="J186" i="7" s="1"/>
  <c r="H182" i="7"/>
  <c r="J182" i="7" s="1"/>
  <c r="H178" i="7"/>
  <c r="J178" i="7" s="1"/>
  <c r="K178" i="7" s="1"/>
  <c r="L178" i="7" s="1"/>
  <c r="R178" i="7" s="1"/>
  <c r="S178" i="7" s="1"/>
  <c r="V178" i="7" s="1"/>
  <c r="H174" i="7"/>
  <c r="J174" i="7" s="1"/>
  <c r="K174" i="7" s="1"/>
  <c r="L174" i="7" s="1"/>
  <c r="R174" i="7" s="1"/>
  <c r="S174" i="7" s="1"/>
  <c r="V174" i="7" s="1"/>
  <c r="H170" i="7"/>
  <c r="J170" i="7" s="1"/>
  <c r="K170" i="7" s="1"/>
  <c r="L170" i="7" s="1"/>
  <c r="R170" i="7" s="1"/>
  <c r="S170" i="7" s="1"/>
  <c r="V170" i="7" s="1"/>
  <c r="H167" i="7"/>
  <c r="J167" i="7" s="1"/>
  <c r="K167" i="7" s="1"/>
  <c r="L167" i="7" s="1"/>
  <c r="R167" i="7" s="1"/>
  <c r="S167" i="7" s="1"/>
  <c r="V167" i="7" s="1"/>
  <c r="H163" i="7"/>
  <c r="J163" i="7" s="1"/>
  <c r="K163" i="7" s="1"/>
  <c r="L163" i="7" s="1"/>
  <c r="R163" i="7" s="1"/>
  <c r="S163" i="7" s="1"/>
  <c r="V163" i="7" s="1"/>
  <c r="H159" i="7"/>
  <c r="J159" i="7" s="1"/>
  <c r="K159" i="7" s="1"/>
  <c r="L159" i="7" s="1"/>
  <c r="R159" i="7" s="1"/>
  <c r="S159" i="7" s="1"/>
  <c r="V159" i="7" s="1"/>
  <c r="H147" i="7"/>
  <c r="H137" i="7"/>
  <c r="J137" i="7" s="1"/>
  <c r="K137" i="7" s="1"/>
  <c r="L137" i="7" s="1"/>
  <c r="R137" i="7" s="1"/>
  <c r="S137" i="7" s="1"/>
  <c r="V137" i="7" s="1"/>
  <c r="H63" i="7"/>
  <c r="J63" i="7" s="1"/>
  <c r="K63" i="7" s="1"/>
  <c r="L63" i="7" s="1"/>
  <c r="R63" i="7" s="1"/>
  <c r="S63" i="7" s="1"/>
  <c r="V63" i="7" s="1"/>
  <c r="H46" i="7"/>
  <c r="J46" i="7" s="1"/>
  <c r="K46" i="7" s="1"/>
  <c r="L46" i="7" s="1"/>
  <c r="R46" i="7" s="1"/>
  <c r="S46" i="7" s="1"/>
  <c r="V46" i="7" s="1"/>
  <c r="H279" i="7"/>
  <c r="J279" i="7" s="1"/>
  <c r="H248" i="7"/>
  <c r="J248" i="7" s="1"/>
  <c r="K248" i="7" s="1"/>
  <c r="L248" i="7" s="1"/>
  <c r="R248" i="7" s="1"/>
  <c r="S248" i="7" s="1"/>
  <c r="V248" i="7" s="1"/>
  <c r="H197" i="7"/>
  <c r="J197" i="7" s="1"/>
  <c r="K197" i="7" s="1"/>
  <c r="L197" i="7" s="1"/>
  <c r="R197" i="7" s="1"/>
  <c r="S197" i="7" s="1"/>
  <c r="V197" i="7" s="1"/>
  <c r="H193" i="7"/>
  <c r="J193" i="7" s="1"/>
  <c r="K193" i="7" s="1"/>
  <c r="L193" i="7" s="1"/>
  <c r="R193" i="7" s="1"/>
  <c r="S193" i="7" s="1"/>
  <c r="V193" i="7" s="1"/>
  <c r="H189" i="7"/>
  <c r="J189" i="7" s="1"/>
  <c r="K189" i="7" s="1"/>
  <c r="L189" i="7" s="1"/>
  <c r="R189" i="7" s="1"/>
  <c r="S189" i="7" s="1"/>
  <c r="V189" i="7" s="1"/>
  <c r="H185" i="7"/>
  <c r="J185" i="7" s="1"/>
  <c r="K185" i="7" s="1"/>
  <c r="L185" i="7" s="1"/>
  <c r="R185" i="7" s="1"/>
  <c r="S185" i="7" s="1"/>
  <c r="V185" i="7" s="1"/>
  <c r="H181" i="7"/>
  <c r="J181" i="7" s="1"/>
  <c r="K181" i="7" s="1"/>
  <c r="L181" i="7" s="1"/>
  <c r="R181" i="7" s="1"/>
  <c r="S181" i="7" s="1"/>
  <c r="V181" i="7" s="1"/>
  <c r="H177" i="7"/>
  <c r="J177" i="7" s="1"/>
  <c r="K177" i="7" s="1"/>
  <c r="L177" i="7" s="1"/>
  <c r="R177" i="7" s="1"/>
  <c r="S177" i="7" s="1"/>
  <c r="V177" i="7" s="1"/>
  <c r="H173" i="7"/>
  <c r="J173" i="7" s="1"/>
  <c r="K173" i="7" s="1"/>
  <c r="L173" i="7" s="1"/>
  <c r="R173" i="7" s="1"/>
  <c r="S173" i="7" s="1"/>
  <c r="V173" i="7" s="1"/>
  <c r="T173" i="7" s="1"/>
  <c r="U173" i="7" s="1"/>
  <c r="H169" i="7"/>
  <c r="J169" i="7" s="1"/>
  <c r="K169" i="7" s="1"/>
  <c r="L169" i="7" s="1"/>
  <c r="R169" i="7" s="1"/>
  <c r="S169" i="7" s="1"/>
  <c r="V169" i="7" s="1"/>
  <c r="H166" i="7"/>
  <c r="J166" i="7" s="1"/>
  <c r="K166" i="7" s="1"/>
  <c r="L166" i="7" s="1"/>
  <c r="R166" i="7" s="1"/>
  <c r="S166" i="7" s="1"/>
  <c r="V166" i="7" s="1"/>
  <c r="H162" i="7"/>
  <c r="J162" i="7" s="1"/>
  <c r="K162" i="7" s="1"/>
  <c r="L162" i="7" s="1"/>
  <c r="R162" i="7" s="1"/>
  <c r="S162" i="7" s="1"/>
  <c r="V162" i="7" s="1"/>
  <c r="H158" i="7"/>
  <c r="J158" i="7" s="1"/>
  <c r="K158" i="7" s="1"/>
  <c r="L158" i="7" s="1"/>
  <c r="R158" i="7" s="1"/>
  <c r="S158" i="7" s="1"/>
  <c r="V158" i="7" s="1"/>
  <c r="H55" i="7"/>
  <c r="J55" i="7" s="1"/>
  <c r="K55" i="7" s="1"/>
  <c r="L55" i="7" s="1"/>
  <c r="R55" i="7" s="1"/>
  <c r="S55" i="7" s="1"/>
  <c r="V55" i="7" s="1"/>
  <c r="H53" i="7"/>
  <c r="H42" i="7"/>
  <c r="J42" i="7" s="1"/>
  <c r="H247" i="7"/>
  <c r="J247" i="7" s="1"/>
  <c r="K247" i="7" s="1"/>
  <c r="L247" i="7" s="1"/>
  <c r="R247" i="7" s="1"/>
  <c r="S247" i="7" s="1"/>
  <c r="V247" i="7" s="1"/>
  <c r="H200" i="7"/>
  <c r="J200" i="7" s="1"/>
  <c r="K200" i="7" s="1"/>
  <c r="L200" i="7" s="1"/>
  <c r="R200" i="7" s="1"/>
  <c r="S200" i="7" s="1"/>
  <c r="V200" i="7" s="1"/>
  <c r="H196" i="7"/>
  <c r="J196" i="7" s="1"/>
  <c r="K196" i="7" s="1"/>
  <c r="L196" i="7" s="1"/>
  <c r="R196" i="7" s="1"/>
  <c r="S196" i="7" s="1"/>
  <c r="V196" i="7" s="1"/>
  <c r="H192" i="7"/>
  <c r="J192" i="7" s="1"/>
  <c r="K192" i="7" s="1"/>
  <c r="L192" i="7" s="1"/>
  <c r="R192" i="7" s="1"/>
  <c r="S192" i="7" s="1"/>
  <c r="V192" i="7" s="1"/>
  <c r="H188" i="7"/>
  <c r="J188" i="7" s="1"/>
  <c r="K188" i="7" s="1"/>
  <c r="L188" i="7" s="1"/>
  <c r="R188" i="7" s="1"/>
  <c r="S188" i="7" s="1"/>
  <c r="V188" i="7" s="1"/>
  <c r="H184" i="7"/>
  <c r="J184" i="7" s="1"/>
  <c r="H180" i="7"/>
  <c r="J180" i="7" s="1"/>
  <c r="K180" i="7" s="1"/>
  <c r="L180" i="7" s="1"/>
  <c r="R180" i="7" s="1"/>
  <c r="S180" i="7" s="1"/>
  <c r="V180" i="7" s="1"/>
  <c r="H176" i="7"/>
  <c r="J176" i="7" s="1"/>
  <c r="K176" i="7" s="1"/>
  <c r="L176" i="7" s="1"/>
  <c r="R176" i="7" s="1"/>
  <c r="S176" i="7" s="1"/>
  <c r="V176" i="7" s="1"/>
  <c r="H172" i="7"/>
  <c r="J172" i="7" s="1"/>
  <c r="K172" i="7" s="1"/>
  <c r="L172" i="7" s="1"/>
  <c r="R172" i="7" s="1"/>
  <c r="S172" i="7" s="1"/>
  <c r="V172" i="7" s="1"/>
  <c r="H165" i="7"/>
  <c r="J165" i="7" s="1"/>
  <c r="K165" i="7" s="1"/>
  <c r="L165" i="7" s="1"/>
  <c r="R165" i="7" s="1"/>
  <c r="S165" i="7" s="1"/>
  <c r="V165" i="7" s="1"/>
  <c r="H161" i="7"/>
  <c r="J161" i="7" s="1"/>
  <c r="K161" i="7" s="1"/>
  <c r="L161" i="7" s="1"/>
  <c r="R161" i="7" s="1"/>
  <c r="S161" i="7" s="1"/>
  <c r="V161" i="7" s="1"/>
  <c r="H157" i="7"/>
  <c r="J157" i="7" s="1"/>
  <c r="K157" i="7" s="1"/>
  <c r="L157" i="7" s="1"/>
  <c r="R157" i="7" s="1"/>
  <c r="S157" i="7" s="1"/>
  <c r="V157" i="7" s="1"/>
  <c r="H125" i="7"/>
  <c r="J125" i="7" s="1"/>
  <c r="K125" i="7" s="1"/>
  <c r="L125" i="7" s="1"/>
  <c r="R125" i="7" s="1"/>
  <c r="S125" i="7" s="1"/>
  <c r="V125" i="7" s="1"/>
  <c r="H40" i="7"/>
  <c r="O255" i="1"/>
  <c r="P255" i="1" s="1"/>
  <c r="Q255" i="1" s="1"/>
  <c r="Q271" i="12"/>
  <c r="Q271" i="7"/>
  <c r="R271" i="7" s="1"/>
  <c r="S271" i="7" s="1"/>
  <c r="V271" i="7" s="1"/>
  <c r="T270" i="12"/>
  <c r="U270" i="12" s="1"/>
  <c r="X270" i="12"/>
  <c r="X201" i="7"/>
  <c r="T201" i="7"/>
  <c r="U201" i="7" s="1"/>
  <c r="X203" i="7"/>
  <c r="T203" i="7"/>
  <c r="U203" i="7" s="1"/>
  <c r="K202" i="12"/>
  <c r="L202" i="12" s="1"/>
  <c r="R202" i="12" s="1"/>
  <c r="J201" i="13"/>
  <c r="J206" i="13"/>
  <c r="Q76" i="7"/>
  <c r="R76" i="7" s="1"/>
  <c r="S76" i="7" s="1"/>
  <c r="V76" i="7" s="1"/>
  <c r="Q107" i="12"/>
  <c r="R107" i="12" s="1"/>
  <c r="S107" i="12" s="1"/>
  <c r="V107" i="12" s="1"/>
  <c r="Q76" i="12"/>
  <c r="R76" i="12" s="1"/>
  <c r="S76" i="12" s="1"/>
  <c r="V76" i="12" s="1"/>
  <c r="Q42" i="12"/>
  <c r="Q220" i="7"/>
  <c r="J266" i="13"/>
  <c r="H267" i="12"/>
  <c r="J267" i="12" s="1"/>
  <c r="H266" i="12"/>
  <c r="J266" i="12" s="1"/>
  <c r="K266" i="12" s="1"/>
  <c r="L266" i="12" s="1"/>
  <c r="R266" i="12" s="1"/>
  <c r="S266" i="12" s="1"/>
  <c r="V266" i="12" s="1"/>
  <c r="H267" i="7"/>
  <c r="J267" i="7" s="1"/>
  <c r="K267" i="7" s="1"/>
  <c r="L267" i="7" s="1"/>
  <c r="R267" i="7" s="1"/>
  <c r="S267" i="7" s="1"/>
  <c r="V267" i="7" s="1"/>
  <c r="H266" i="7"/>
  <c r="J266" i="7" s="1"/>
  <c r="K266" i="7" s="1"/>
  <c r="L266" i="7" s="1"/>
  <c r="R266" i="7" s="1"/>
  <c r="S266" i="7" s="1"/>
  <c r="V266" i="7" s="1"/>
  <c r="T276" i="7"/>
  <c r="U276" i="7" s="1"/>
  <c r="X276" i="7"/>
  <c r="T275" i="12"/>
  <c r="U275" i="12" s="1"/>
  <c r="X275" i="12"/>
  <c r="T99" i="7"/>
  <c r="U99" i="7" s="1"/>
  <c r="X99" i="7"/>
  <c r="T116" i="7"/>
  <c r="U116" i="7" s="1"/>
  <c r="X116" i="7"/>
  <c r="T88" i="7"/>
  <c r="U88" i="7" s="1"/>
  <c r="X88" i="7"/>
  <c r="X104" i="7"/>
  <c r="T104" i="7"/>
  <c r="U104" i="7" s="1"/>
  <c r="R84" i="7"/>
  <c r="S84" i="7" s="1"/>
  <c r="V84" i="7" s="1"/>
  <c r="T101" i="7"/>
  <c r="U101" i="7" s="1"/>
  <c r="X101" i="7"/>
  <c r="T244" i="7"/>
  <c r="U244" i="7" s="1"/>
  <c r="X244" i="7"/>
  <c r="X94" i="7"/>
  <c r="T94" i="7"/>
  <c r="U94" i="7" s="1"/>
  <c r="X111" i="7"/>
  <c r="T111" i="7"/>
  <c r="U111" i="7" s="1"/>
  <c r="T239" i="7"/>
  <c r="U239" i="7" s="1"/>
  <c r="X239" i="7"/>
  <c r="X89" i="12"/>
  <c r="T89" i="12"/>
  <c r="U89" i="12" s="1"/>
  <c r="X105" i="12"/>
  <c r="T105" i="12"/>
  <c r="U105" i="12" s="1"/>
  <c r="K51" i="12"/>
  <c r="L51" i="12" s="1"/>
  <c r="R51" i="12" s="1"/>
  <c r="S51" i="12" s="1"/>
  <c r="V51" i="12" s="1"/>
  <c r="T98" i="12"/>
  <c r="U98" i="12" s="1"/>
  <c r="X98" i="12"/>
  <c r="T118" i="12"/>
  <c r="U118" i="12" s="1"/>
  <c r="X118" i="12"/>
  <c r="S103" i="12"/>
  <c r="V103" i="12" s="1"/>
  <c r="R80" i="12"/>
  <c r="S80" i="12" s="1"/>
  <c r="V80" i="12" s="1"/>
  <c r="T96" i="12"/>
  <c r="U96" i="12" s="1"/>
  <c r="X96" i="12"/>
  <c r="T116" i="12"/>
  <c r="U116" i="12" s="1"/>
  <c r="X116" i="12"/>
  <c r="L239" i="12"/>
  <c r="R239" i="12" s="1"/>
  <c r="S239" i="12" s="1"/>
  <c r="V239" i="12" s="1"/>
  <c r="K239" i="12"/>
  <c r="X286" i="12"/>
  <c r="T286" i="12"/>
  <c r="U286" i="12" s="1"/>
  <c r="H102" i="13"/>
  <c r="I102" i="13" s="1"/>
  <c r="L102" i="13"/>
  <c r="H91" i="13"/>
  <c r="I91" i="13" s="1"/>
  <c r="L91" i="13"/>
  <c r="J208" i="13"/>
  <c r="H92" i="13"/>
  <c r="I92" i="13" s="1"/>
  <c r="L92" i="13"/>
  <c r="H112" i="13"/>
  <c r="I112" i="13" s="1"/>
  <c r="L112" i="13"/>
  <c r="H97" i="13"/>
  <c r="I97" i="13" s="1"/>
  <c r="L97" i="13"/>
  <c r="J117" i="13"/>
  <c r="P251" i="1"/>
  <c r="S37" i="1"/>
  <c r="O26" i="1"/>
  <c r="O218" i="1"/>
  <c r="O30" i="1"/>
  <c r="O9" i="1"/>
  <c r="O196" i="1"/>
  <c r="O115" i="1"/>
  <c r="O109" i="1"/>
  <c r="F131" i="1"/>
  <c r="F47" i="1"/>
  <c r="H47" i="1" s="1"/>
  <c r="I47" i="1" s="1"/>
  <c r="J47" i="1" s="1"/>
  <c r="F263" i="1"/>
  <c r="H263" i="1" s="1"/>
  <c r="I263" i="1" s="1"/>
  <c r="J263" i="1" s="1"/>
  <c r="P263" i="1" s="1"/>
  <c r="F231" i="1"/>
  <c r="H231" i="1" s="1"/>
  <c r="F178" i="1"/>
  <c r="H178" i="1" s="1"/>
  <c r="I178" i="1" s="1"/>
  <c r="J178" i="1" s="1"/>
  <c r="P178" i="1" s="1"/>
  <c r="Q178" i="1" s="1"/>
  <c r="F180" i="1"/>
  <c r="H180" i="1" s="1"/>
  <c r="I180" i="1" s="1"/>
  <c r="J180" i="1" s="1"/>
  <c r="P180" i="1" s="1"/>
  <c r="F182" i="1"/>
  <c r="H182" i="1" s="1"/>
  <c r="I182" i="1" s="1"/>
  <c r="J182" i="1" s="1"/>
  <c r="P182" i="1" s="1"/>
  <c r="F184" i="1"/>
  <c r="H184" i="1" s="1"/>
  <c r="I184" i="1" s="1"/>
  <c r="J184" i="1" s="1"/>
  <c r="P184" i="1" s="1"/>
  <c r="F171" i="1"/>
  <c r="H171" i="1" s="1"/>
  <c r="F173" i="1"/>
  <c r="H173" i="1" s="1"/>
  <c r="F175" i="1"/>
  <c r="H175" i="1" s="1"/>
  <c r="F177" i="1"/>
  <c r="H177" i="1" s="1"/>
  <c r="F160" i="1"/>
  <c r="H160" i="1" s="1"/>
  <c r="F162" i="1"/>
  <c r="H162" i="1" s="1"/>
  <c r="F164" i="1"/>
  <c r="H164" i="1" s="1"/>
  <c r="F166" i="1"/>
  <c r="H166" i="1" s="1"/>
  <c r="I166" i="1" s="1"/>
  <c r="J166" i="1" s="1"/>
  <c r="P166" i="1" s="1"/>
  <c r="F168" i="1"/>
  <c r="H168" i="1" s="1"/>
  <c r="I168" i="1" s="1"/>
  <c r="J168" i="1" s="1"/>
  <c r="P168" i="1" s="1"/>
  <c r="F170" i="1"/>
  <c r="H170" i="1" s="1"/>
  <c r="I170" i="1" s="1"/>
  <c r="J170" i="1" s="1"/>
  <c r="P170" i="1" s="1"/>
  <c r="F150" i="1"/>
  <c r="H150" i="1" s="1"/>
  <c r="I150" i="1" s="1"/>
  <c r="J150" i="1" s="1"/>
  <c r="P150" i="1" s="1"/>
  <c r="Q150" i="1" s="1"/>
  <c r="F152" i="1"/>
  <c r="H152" i="1" s="1"/>
  <c r="I152" i="1" s="1"/>
  <c r="J152" i="1" s="1"/>
  <c r="P152" i="1" s="1"/>
  <c r="F154" i="1"/>
  <c r="H154" i="1" s="1"/>
  <c r="I154" i="1" s="1"/>
  <c r="J154" i="1" s="1"/>
  <c r="P154" i="1" s="1"/>
  <c r="F156" i="1"/>
  <c r="H156" i="1" s="1"/>
  <c r="F158" i="1"/>
  <c r="H158" i="1" s="1"/>
  <c r="F142" i="1"/>
  <c r="H142" i="1" s="1"/>
  <c r="F144" i="1"/>
  <c r="H144" i="1" s="1"/>
  <c r="F146" i="1"/>
  <c r="H146" i="1" s="1"/>
  <c r="I146" i="1" s="1"/>
  <c r="J146" i="1" s="1"/>
  <c r="P146" i="1" s="1"/>
  <c r="F148" i="1"/>
  <c r="H148" i="1" s="1"/>
  <c r="F121" i="1"/>
  <c r="H121" i="1" s="1"/>
  <c r="F37" i="1"/>
  <c r="F30" i="1"/>
  <c r="H30" i="1" s="1"/>
  <c r="I30" i="1" s="1"/>
  <c r="J30" i="1" s="1"/>
  <c r="F233" i="1"/>
  <c r="F179" i="1"/>
  <c r="H179" i="1" s="1"/>
  <c r="F183" i="1"/>
  <c r="H183" i="1" s="1"/>
  <c r="I183" i="1" s="1"/>
  <c r="J183" i="1" s="1"/>
  <c r="P183" i="1" s="1"/>
  <c r="F174" i="1"/>
  <c r="H174" i="1" s="1"/>
  <c r="F159" i="1"/>
  <c r="H159" i="1" s="1"/>
  <c r="F163" i="1"/>
  <c r="H163" i="1" s="1"/>
  <c r="F167" i="1"/>
  <c r="H167" i="1" s="1"/>
  <c r="I167" i="1" s="1"/>
  <c r="J167" i="1" s="1"/>
  <c r="P167" i="1" s="1"/>
  <c r="Q167" i="1" s="1"/>
  <c r="F149" i="1"/>
  <c r="H149" i="1" s="1"/>
  <c r="I149" i="1" s="1"/>
  <c r="J149" i="1" s="1"/>
  <c r="P149" i="1" s="1"/>
  <c r="F155" i="1"/>
  <c r="H155" i="1" s="1"/>
  <c r="F141" i="1"/>
  <c r="H141" i="1" s="1"/>
  <c r="F145" i="1"/>
  <c r="H145" i="1" s="1"/>
  <c r="I145" i="1" s="1"/>
  <c r="J145" i="1" s="1"/>
  <c r="P145" i="1" s="1"/>
  <c r="F140" i="1"/>
  <c r="H140" i="1" s="1"/>
  <c r="I140" i="1" s="1"/>
  <c r="J140" i="1" s="1"/>
  <c r="P140" i="1" s="1"/>
  <c r="F115" i="1"/>
  <c r="H115" i="1" s="1"/>
  <c r="I115" i="1" s="1"/>
  <c r="J115" i="1" s="1"/>
  <c r="P115" i="1" s="1"/>
  <c r="F51" i="1"/>
  <c r="F26" i="1"/>
  <c r="H26" i="1" s="1"/>
  <c r="I26" i="1" s="1"/>
  <c r="J26" i="1" s="1"/>
  <c r="P26" i="1" s="1"/>
  <c r="F9" i="1"/>
  <c r="H9" i="1" s="1"/>
  <c r="I9" i="1" s="1"/>
  <c r="J9" i="1" s="1"/>
  <c r="F9" i="5"/>
  <c r="H9" i="5" s="1"/>
  <c r="I9" i="5" s="1"/>
  <c r="J9" i="5" s="1"/>
  <c r="P9" i="5" s="1"/>
  <c r="G19" i="3" s="1"/>
  <c r="F8" i="5"/>
  <c r="H8" i="5" s="1"/>
  <c r="I8" i="5" s="1"/>
  <c r="J8" i="5" s="1"/>
  <c r="P8" i="5" s="1"/>
  <c r="F232" i="1"/>
  <c r="H232" i="1" s="1"/>
  <c r="F181" i="1"/>
  <c r="H181" i="1" s="1"/>
  <c r="I181" i="1" s="1"/>
  <c r="J181" i="1" s="1"/>
  <c r="P181" i="1" s="1"/>
  <c r="F172" i="1"/>
  <c r="H172" i="1" s="1"/>
  <c r="F176" i="1"/>
  <c r="H176" i="1" s="1"/>
  <c r="F161" i="1"/>
  <c r="H161" i="1" s="1"/>
  <c r="F165" i="1"/>
  <c r="H165" i="1" s="1"/>
  <c r="I165" i="1" s="1"/>
  <c r="J165" i="1" s="1"/>
  <c r="P165" i="1" s="1"/>
  <c r="F169" i="1"/>
  <c r="H169" i="1" s="1"/>
  <c r="I169" i="1" s="1"/>
  <c r="J169" i="1" s="1"/>
  <c r="P169" i="1" s="1"/>
  <c r="F151" i="1"/>
  <c r="H151" i="1" s="1"/>
  <c r="I151" i="1" s="1"/>
  <c r="J151" i="1" s="1"/>
  <c r="P151" i="1" s="1"/>
  <c r="F153" i="1"/>
  <c r="H153" i="1" s="1"/>
  <c r="I153" i="1" s="1"/>
  <c r="J153" i="1" s="1"/>
  <c r="P153" i="1" s="1"/>
  <c r="F157" i="1"/>
  <c r="H157" i="1" s="1"/>
  <c r="F143" i="1"/>
  <c r="H143" i="1" s="1"/>
  <c r="F147" i="1"/>
  <c r="H147" i="1" s="1"/>
  <c r="I147" i="1" s="1"/>
  <c r="J147" i="1" s="1"/>
  <c r="P147" i="1" s="1"/>
  <c r="F122" i="1"/>
  <c r="F109" i="1"/>
  <c r="H109" i="1" s="1"/>
  <c r="I109" i="1" s="1"/>
  <c r="J109" i="1" s="1"/>
  <c r="F39" i="1"/>
  <c r="H39" i="1" s="1"/>
  <c r="I39" i="1" s="1"/>
  <c r="J39" i="1" s="1"/>
  <c r="F24" i="1"/>
  <c r="F15" i="1"/>
  <c r="F132" i="1"/>
  <c r="H132" i="1" s="1"/>
  <c r="I132" i="1" s="1"/>
  <c r="J132" i="1" s="1"/>
  <c r="P132" i="1" s="1"/>
  <c r="Q132" i="1" s="1"/>
  <c r="T132" i="1" s="1"/>
  <c r="R132" i="1" s="1"/>
  <c r="F234" i="1"/>
  <c r="H234" i="1" s="1"/>
  <c r="I234" i="1" s="1"/>
  <c r="J234" i="1" s="1"/>
  <c r="F213" i="1"/>
  <c r="H212" i="1" s="1"/>
  <c r="I212" i="1" s="1"/>
  <c r="F123" i="1"/>
  <c r="H123" i="1" s="1"/>
  <c r="I123" i="1" s="1"/>
  <c r="J123" i="1" s="1"/>
  <c r="F52" i="1"/>
  <c r="F23" i="1"/>
  <c r="H23" i="1" s="1"/>
  <c r="I23" i="1" s="1"/>
  <c r="J23" i="1" s="1"/>
  <c r="P23" i="1" s="1"/>
  <c r="F14" i="1"/>
  <c r="F235" i="1"/>
  <c r="H235" i="1" s="1"/>
  <c r="I235" i="1" s="1"/>
  <c r="J235" i="1" s="1"/>
  <c r="P235" i="1" s="1"/>
  <c r="F216" i="1"/>
  <c r="H215" i="1" s="1"/>
  <c r="F36" i="1"/>
  <c r="H36" i="1" s="1"/>
  <c r="I36" i="1" s="1"/>
  <c r="J36" i="1" s="1"/>
  <c r="P36" i="1" s="1"/>
  <c r="Q36" i="1" s="1"/>
  <c r="T36" i="1" s="1"/>
  <c r="F205" i="1"/>
  <c r="H204" i="1" s="1"/>
  <c r="I204" i="1" s="1"/>
  <c r="J204" i="1" s="1"/>
  <c r="F197" i="1"/>
  <c r="H196" i="1" s="1"/>
  <c r="I196" i="1" s="1"/>
  <c r="F242" i="1"/>
  <c r="H242" i="1" s="1"/>
  <c r="F244" i="1"/>
  <c r="H244" i="1" s="1"/>
  <c r="F247" i="1"/>
  <c r="H247" i="1" s="1"/>
  <c r="I247" i="1" s="1"/>
  <c r="J247" i="1" s="1"/>
  <c r="P247" i="1" s="1"/>
  <c r="F240" i="1"/>
  <c r="H240" i="1" s="1"/>
  <c r="I240" i="1" s="1"/>
  <c r="J240" i="1" s="1"/>
  <c r="P240" i="1" s="1"/>
  <c r="Q240" i="1" s="1"/>
  <c r="F246" i="1"/>
  <c r="H246" i="1" s="1"/>
  <c r="F241" i="1"/>
  <c r="H241" i="1" s="1"/>
  <c r="F245" i="1"/>
  <c r="H245" i="1" s="1"/>
  <c r="F243" i="1"/>
  <c r="H243" i="1" s="1"/>
  <c r="F248" i="1"/>
  <c r="H248" i="1" s="1"/>
  <c r="P218" i="1"/>
  <c r="T270" i="1"/>
  <c r="R270" i="1" s="1"/>
  <c r="S270" i="1" s="1"/>
  <c r="Q190" i="1"/>
  <c r="T190" i="1" s="1"/>
  <c r="R190" i="1" s="1"/>
  <c r="S190" i="1" s="1"/>
  <c r="Q261" i="1"/>
  <c r="Q99" i="1"/>
  <c r="T99" i="1" s="1"/>
  <c r="R99" i="1" s="1"/>
  <c r="S99" i="1" s="1"/>
  <c r="Q259" i="1"/>
  <c r="T259" i="1" s="1"/>
  <c r="R259" i="1" s="1"/>
  <c r="F253" i="1"/>
  <c r="H253" i="1" s="1"/>
  <c r="I253" i="1" s="1"/>
  <c r="J253" i="1" s="1"/>
  <c r="P253" i="1" s="1"/>
  <c r="F252" i="1"/>
  <c r="H252" i="1" s="1"/>
  <c r="I252" i="1" s="1"/>
  <c r="J252" i="1" s="1"/>
  <c r="P252" i="1" s="1"/>
  <c r="F22" i="2"/>
  <c r="G22" i="2" s="1"/>
  <c r="H22" i="2" s="1"/>
  <c r="I22" i="2" s="1"/>
  <c r="J189" i="1"/>
  <c r="P189" i="1" s="1"/>
  <c r="Q189" i="1" s="1"/>
  <c r="P254" i="1"/>
  <c r="J187" i="1"/>
  <c r="P187" i="1" s="1"/>
  <c r="Q187" i="1" s="1"/>
  <c r="J90" i="1"/>
  <c r="P90" i="1" s="1"/>
  <c r="J60" i="1"/>
  <c r="J262" i="1"/>
  <c r="P262" i="1" s="1"/>
  <c r="J35" i="1"/>
  <c r="P35" i="1" s="1"/>
  <c r="Q35" i="1" s="1"/>
  <c r="T35" i="1" s="1"/>
  <c r="H256" i="1"/>
  <c r="I256" i="1" s="1"/>
  <c r="J256" i="1" s="1"/>
  <c r="P256" i="1" s="1"/>
  <c r="H257" i="1"/>
  <c r="I257" i="1" s="1"/>
  <c r="J257" i="1" s="1"/>
  <c r="P257" i="1" s="1"/>
  <c r="G31" i="2"/>
  <c r="H31" i="2" s="1"/>
  <c r="I31" i="2" s="1"/>
  <c r="G20" i="2"/>
  <c r="H20" i="2" s="1"/>
  <c r="I20" i="2" s="1"/>
  <c r="Q76" i="1"/>
  <c r="Q81" i="1"/>
  <c r="Q74" i="1"/>
  <c r="P47" i="1"/>
  <c r="J196" i="1"/>
  <c r="P196" i="1" s="1"/>
  <c r="P64" i="1"/>
  <c r="G18" i="3"/>
  <c r="G17" i="3"/>
  <c r="R8" i="5"/>
  <c r="R9" i="5"/>
  <c r="P192" i="1"/>
  <c r="Q192" i="1" s="1"/>
  <c r="P30" i="1"/>
  <c r="P60" i="1"/>
  <c r="J212" i="1"/>
  <c r="P212" i="1" s="1"/>
  <c r="P204" i="1"/>
  <c r="P91" i="1"/>
  <c r="P109" i="1"/>
  <c r="I215" i="1"/>
  <c r="J215" i="1" s="1"/>
  <c r="P215" i="1" s="1"/>
  <c r="Q181" i="1"/>
  <c r="Q95" i="1"/>
  <c r="T95" i="1" s="1"/>
  <c r="R95" i="1" s="1"/>
  <c r="S95" i="1" s="1"/>
  <c r="P39" i="1"/>
  <c r="P9" i="1"/>
  <c r="Q101" i="1"/>
  <c r="Q80" i="1"/>
  <c r="Q182" i="1"/>
  <c r="Q260" i="1"/>
  <c r="Q168" i="1"/>
  <c r="Q82" i="1"/>
  <c r="Q149" i="1"/>
  <c r="Q75" i="1"/>
  <c r="T75" i="1" s="1"/>
  <c r="R75" i="1" s="1"/>
  <c r="Q223" i="1"/>
  <c r="Q87" i="1"/>
  <c r="T87" i="1" s="1"/>
  <c r="R87" i="1" s="1"/>
  <c r="Q72" i="1"/>
  <c r="Q253" i="1"/>
  <c r="Q235" i="1"/>
  <c r="Q263" i="1"/>
  <c r="Q88" i="1"/>
  <c r="Q151" i="1"/>
  <c r="Q100" i="1"/>
  <c r="T100" i="1" s="1"/>
  <c r="R100" i="1" s="1"/>
  <c r="Q23" i="1"/>
  <c r="Q268" i="1"/>
  <c r="Q224" i="1"/>
  <c r="Q186" i="1"/>
  <c r="Q102" i="1"/>
  <c r="Q85" i="1"/>
  <c r="Q89" i="1"/>
  <c r="Q251" i="1"/>
  <c r="Q229" i="1"/>
  <c r="T229" i="1" s="1"/>
  <c r="R229" i="1" s="1"/>
  <c r="S229" i="1" s="1"/>
  <c r="Q212" i="1"/>
  <c r="Q188" i="1"/>
  <c r="Q185" i="1"/>
  <c r="S264" i="1"/>
  <c r="Q250" i="1"/>
  <c r="Q226" i="1"/>
  <c r="Q96" i="1"/>
  <c r="T96" i="1" s="1"/>
  <c r="R96" i="1" s="1"/>
  <c r="Q83" i="1"/>
  <c r="T83" i="1" s="1"/>
  <c r="R83" i="1" s="1"/>
  <c r="Q73" i="1"/>
  <c r="Q254" i="1"/>
  <c r="Q228" i="1"/>
  <c r="T228" i="1" s="1"/>
  <c r="R228" i="1" s="1"/>
  <c r="Q184" i="1"/>
  <c r="Q84" i="1"/>
  <c r="Q86" i="1"/>
  <c r="T86" i="1" s="1"/>
  <c r="R86" i="1" s="1"/>
  <c r="Q90" i="1"/>
  <c r="Q165" i="1"/>
  <c r="Q147" i="1"/>
  <c r="S132" i="1"/>
  <c r="Q98" i="1"/>
  <c r="Q77" i="1"/>
  <c r="Q79" i="1"/>
  <c r="Q154" i="1"/>
  <c r="Q140" i="1"/>
  <c r="Q97" i="1"/>
  <c r="Q78" i="1"/>
  <c r="T78" i="1" s="1"/>
  <c r="R78" i="1" s="1"/>
  <c r="P68" i="1"/>
  <c r="Q46" i="1"/>
  <c r="T46" i="1" s="1"/>
  <c r="R46" i="1" s="1"/>
  <c r="S24" i="1"/>
  <c r="J277" i="13" l="1"/>
  <c r="J271" i="13"/>
  <c r="J118" i="13"/>
  <c r="T80" i="7"/>
  <c r="U80" i="7" s="1"/>
  <c r="X80" i="7"/>
  <c r="X284" i="12"/>
  <c r="T284" i="12"/>
  <c r="U284" i="12" s="1"/>
  <c r="T84" i="12"/>
  <c r="U84" i="12" s="1"/>
  <c r="X84" i="12"/>
  <c r="L202" i="13"/>
  <c r="H202" i="13"/>
  <c r="I202" i="13" s="1"/>
  <c r="X91" i="12"/>
  <c r="T91" i="12"/>
  <c r="U91" i="12" s="1"/>
  <c r="T103" i="12"/>
  <c r="U103" i="12" s="1"/>
  <c r="X103" i="12"/>
  <c r="T76" i="12"/>
  <c r="U76" i="12" s="1"/>
  <c r="X76" i="12"/>
  <c r="H239" i="13"/>
  <c r="I239" i="13" s="1"/>
  <c r="L239" i="13"/>
  <c r="J275" i="13"/>
  <c r="X203" i="12"/>
  <c r="T203" i="12"/>
  <c r="U203" i="12" s="1"/>
  <c r="L278" i="13"/>
  <c r="H278" i="13"/>
  <c r="I278" i="13" s="1"/>
  <c r="L205" i="13"/>
  <c r="H205" i="13"/>
  <c r="I205" i="13" s="1"/>
  <c r="X51" i="12"/>
  <c r="T51" i="12"/>
  <c r="U51" i="12" s="1"/>
  <c r="X107" i="12"/>
  <c r="T107" i="12"/>
  <c r="U107" i="12" s="1"/>
  <c r="L201" i="13"/>
  <c r="H201" i="13"/>
  <c r="I201" i="13" s="1"/>
  <c r="T271" i="7"/>
  <c r="U271" i="7" s="1"/>
  <c r="X271" i="7"/>
  <c r="T278" i="12"/>
  <c r="U278" i="12" s="1"/>
  <c r="X278" i="12"/>
  <c r="J203" i="13"/>
  <c r="X245" i="7"/>
  <c r="T245" i="7"/>
  <c r="U245" i="7" s="1"/>
  <c r="S201" i="12"/>
  <c r="V201" i="12" s="1"/>
  <c r="X244" i="12"/>
  <c r="T244" i="12"/>
  <c r="U244" i="12" s="1"/>
  <c r="T51" i="7"/>
  <c r="U51" i="7" s="1"/>
  <c r="X51" i="7"/>
  <c r="T204" i="12"/>
  <c r="U204" i="12" s="1"/>
  <c r="X204" i="12"/>
  <c r="J80" i="13"/>
  <c r="T76" i="7"/>
  <c r="U76" i="7" s="1"/>
  <c r="X76" i="7"/>
  <c r="S202" i="12"/>
  <c r="V202" i="12" s="1"/>
  <c r="L204" i="13"/>
  <c r="H204" i="13"/>
  <c r="I204" i="13" s="1"/>
  <c r="T205" i="12"/>
  <c r="U205" i="12" s="1"/>
  <c r="X205" i="12"/>
  <c r="M107" i="1"/>
  <c r="O107" i="1" s="1"/>
  <c r="O103" i="1" s="1"/>
  <c r="P103" i="1" s="1"/>
  <c r="J119" i="13"/>
  <c r="O123" i="12"/>
  <c r="Q123" i="12" s="1"/>
  <c r="Q119" i="12" s="1"/>
  <c r="R119" i="12" s="1"/>
  <c r="S119" i="12" s="1"/>
  <c r="V119" i="12" s="1"/>
  <c r="O123" i="7"/>
  <c r="Q123" i="7" s="1"/>
  <c r="Q119" i="7" s="1"/>
  <c r="R119" i="7" s="1"/>
  <c r="S119" i="7" s="1"/>
  <c r="V119" i="7" s="1"/>
  <c r="H274" i="12"/>
  <c r="J274" i="12" s="1"/>
  <c r="K274" i="12" s="1"/>
  <c r="L274" i="12" s="1"/>
  <c r="R274" i="12" s="1"/>
  <c r="H274" i="7"/>
  <c r="J274" i="7" s="1"/>
  <c r="K274" i="7" s="1"/>
  <c r="L274" i="7" s="1"/>
  <c r="R274" i="7" s="1"/>
  <c r="S274" i="7" s="1"/>
  <c r="V274" i="7" s="1"/>
  <c r="J76" i="13"/>
  <c r="J62" i="13"/>
  <c r="T239" i="12"/>
  <c r="U239" i="12" s="1"/>
  <c r="X239" i="12"/>
  <c r="T267" i="7"/>
  <c r="U267" i="7" s="1"/>
  <c r="X267" i="7"/>
  <c r="H266" i="13"/>
  <c r="I266" i="13" s="1"/>
  <c r="L266" i="13"/>
  <c r="L206" i="13"/>
  <c r="H206" i="13"/>
  <c r="I206" i="13" s="1"/>
  <c r="T125" i="7"/>
  <c r="U125" i="7" s="1"/>
  <c r="X125" i="7"/>
  <c r="X172" i="7"/>
  <c r="T172" i="7"/>
  <c r="U172" i="7" s="1"/>
  <c r="X188" i="7"/>
  <c r="T188" i="7"/>
  <c r="U188" i="7" s="1"/>
  <c r="T247" i="7"/>
  <c r="U247" i="7" s="1"/>
  <c r="X247" i="7"/>
  <c r="X158" i="7"/>
  <c r="T158" i="7"/>
  <c r="U158" i="7" s="1"/>
  <c r="X189" i="7"/>
  <c r="T189" i="7"/>
  <c r="U189" i="7" s="1"/>
  <c r="K279" i="7"/>
  <c r="L279" i="7"/>
  <c r="R279" i="7" s="1"/>
  <c r="S279" i="7" s="1"/>
  <c r="V279" i="7" s="1"/>
  <c r="T170" i="7"/>
  <c r="U170" i="7" s="1"/>
  <c r="X170" i="7"/>
  <c r="K186" i="7"/>
  <c r="L186" i="7" s="1"/>
  <c r="R186" i="7" s="1"/>
  <c r="S186" i="7" s="1"/>
  <c r="V186" i="7" s="1"/>
  <c r="X156" i="7"/>
  <c r="T156" i="7"/>
  <c r="U156" i="7" s="1"/>
  <c r="T171" i="7"/>
  <c r="U171" i="7" s="1"/>
  <c r="X171" i="7"/>
  <c r="T187" i="7"/>
  <c r="U187" i="7" s="1"/>
  <c r="X187" i="7"/>
  <c r="S158" i="12"/>
  <c r="V158" i="12" s="1"/>
  <c r="T170" i="12"/>
  <c r="U170" i="12" s="1"/>
  <c r="X170" i="12"/>
  <c r="T194" i="12"/>
  <c r="U194" i="12" s="1"/>
  <c r="X194" i="12"/>
  <c r="X171" i="12"/>
  <c r="T171" i="12"/>
  <c r="U171" i="12" s="1"/>
  <c r="T190" i="12"/>
  <c r="U190" i="12" s="1"/>
  <c r="X190" i="12"/>
  <c r="S125" i="12"/>
  <c r="V125" i="12" s="1"/>
  <c r="V159" i="12"/>
  <c r="S159" i="12"/>
  <c r="T172" i="12"/>
  <c r="U172" i="12" s="1"/>
  <c r="X172" i="12"/>
  <c r="T192" i="12"/>
  <c r="U192" i="12" s="1"/>
  <c r="X192" i="12"/>
  <c r="S166" i="12"/>
  <c r="V166" i="12" s="1"/>
  <c r="T188" i="12"/>
  <c r="U188" i="12" s="1"/>
  <c r="X188" i="12"/>
  <c r="S167" i="12"/>
  <c r="V167" i="12" s="1"/>
  <c r="X183" i="12"/>
  <c r="T183" i="12"/>
  <c r="U183" i="12" s="1"/>
  <c r="X199" i="12"/>
  <c r="T199" i="12"/>
  <c r="U199" i="12" s="1"/>
  <c r="H180" i="13"/>
  <c r="I180" i="13" s="1"/>
  <c r="L180" i="13"/>
  <c r="H177" i="13"/>
  <c r="I177" i="13" s="1"/>
  <c r="L177" i="13"/>
  <c r="H193" i="13"/>
  <c r="I193" i="13" s="1"/>
  <c r="L193" i="13"/>
  <c r="H55" i="13"/>
  <c r="I55" i="13" s="1"/>
  <c r="L55" i="13"/>
  <c r="J175" i="13"/>
  <c r="H175" i="13" s="1"/>
  <c r="I175" i="13" s="1"/>
  <c r="H190" i="13"/>
  <c r="I190" i="13" s="1"/>
  <c r="L190" i="13"/>
  <c r="H125" i="13"/>
  <c r="I125" i="13" s="1"/>
  <c r="L125" i="13"/>
  <c r="J159" i="13"/>
  <c r="J167" i="13"/>
  <c r="H183" i="13"/>
  <c r="I183" i="13" s="1"/>
  <c r="L183" i="13"/>
  <c r="J199" i="13"/>
  <c r="T277" i="12"/>
  <c r="U277" i="12" s="1"/>
  <c r="X277" i="12"/>
  <c r="R271" i="12"/>
  <c r="X258" i="7"/>
  <c r="T258" i="7"/>
  <c r="U258" i="7" s="1"/>
  <c r="T256" i="7"/>
  <c r="U256" i="7" s="1"/>
  <c r="X256" i="7"/>
  <c r="S261" i="12"/>
  <c r="V261" i="12" s="1"/>
  <c r="S263" i="12"/>
  <c r="V263" i="12" s="1"/>
  <c r="J259" i="13"/>
  <c r="J84" i="13"/>
  <c r="T107" i="7"/>
  <c r="U107" i="7" s="1"/>
  <c r="X107" i="7"/>
  <c r="S273" i="12"/>
  <c r="V273" i="12" s="1"/>
  <c r="S242" i="12"/>
  <c r="V242" i="12"/>
  <c r="X62" i="12"/>
  <c r="T62" i="12"/>
  <c r="U62" i="12" s="1"/>
  <c r="T278" i="7"/>
  <c r="U278" i="7" s="1"/>
  <c r="X278" i="7"/>
  <c r="J220" i="13"/>
  <c r="J228" i="13"/>
  <c r="J212" i="13"/>
  <c r="J39" i="13"/>
  <c r="H251" i="12"/>
  <c r="J251" i="12" s="1"/>
  <c r="K251" i="12" s="1"/>
  <c r="L251" i="12" s="1"/>
  <c r="R251" i="12" s="1"/>
  <c r="S251" i="12" s="1"/>
  <c r="V251" i="12" s="1"/>
  <c r="H250" i="12"/>
  <c r="J250" i="12" s="1"/>
  <c r="K250" i="12" s="1"/>
  <c r="L250" i="12" s="1"/>
  <c r="H52" i="12"/>
  <c r="J52" i="12" s="1"/>
  <c r="H39" i="12"/>
  <c r="J39" i="12" s="1"/>
  <c r="H229" i="12"/>
  <c r="J228" i="12" s="1"/>
  <c r="K228" i="12" s="1"/>
  <c r="L228" i="12" s="1"/>
  <c r="R228" i="12" s="1"/>
  <c r="S228" i="12" s="1"/>
  <c r="V228" i="12" s="1"/>
  <c r="H68" i="12"/>
  <c r="H232" i="12"/>
  <c r="J231" i="12" s="1"/>
  <c r="H221" i="12"/>
  <c r="J220" i="12" s="1"/>
  <c r="K220" i="12" s="1"/>
  <c r="L220" i="12" s="1"/>
  <c r="R220" i="12" s="1"/>
  <c r="S220" i="12" s="1"/>
  <c r="V220" i="12" s="1"/>
  <c r="H213" i="12"/>
  <c r="J212" i="12" s="1"/>
  <c r="K212" i="12" s="1"/>
  <c r="L212" i="12" s="1"/>
  <c r="R212" i="12" s="1"/>
  <c r="S212" i="12" s="1"/>
  <c r="V212" i="12" s="1"/>
  <c r="H148" i="12"/>
  <c r="J148" i="12" s="1"/>
  <c r="K148" i="12" s="1"/>
  <c r="L148" i="12" s="1"/>
  <c r="R148" i="12" s="1"/>
  <c r="H139" i="12"/>
  <c r="J139" i="12" s="1"/>
  <c r="K139" i="12" s="1"/>
  <c r="L139" i="12" s="1"/>
  <c r="H250" i="7"/>
  <c r="J250" i="7" s="1"/>
  <c r="K250" i="7" s="1"/>
  <c r="L250" i="7" s="1"/>
  <c r="H232" i="7"/>
  <c r="J231" i="7" s="1"/>
  <c r="K231" i="7" s="1"/>
  <c r="L231" i="7" s="1"/>
  <c r="R231" i="7" s="1"/>
  <c r="S231" i="7" s="1"/>
  <c r="V231" i="7" s="1"/>
  <c r="H229" i="7"/>
  <c r="J228" i="7" s="1"/>
  <c r="K228" i="7" s="1"/>
  <c r="L228" i="7" s="1"/>
  <c r="R228" i="7" s="1"/>
  <c r="S228" i="7" s="1"/>
  <c r="V228" i="7" s="1"/>
  <c r="H213" i="7"/>
  <c r="J212" i="7" s="1"/>
  <c r="K212" i="7" s="1"/>
  <c r="L212" i="7" s="1"/>
  <c r="R212" i="7" s="1"/>
  <c r="S212" i="7" s="1"/>
  <c r="V212" i="7" s="1"/>
  <c r="H221" i="7"/>
  <c r="J220" i="7" s="1"/>
  <c r="K220" i="7" s="1"/>
  <c r="L220" i="7" s="1"/>
  <c r="R220" i="7" s="1"/>
  <c r="S220" i="7" s="1"/>
  <c r="V220" i="7" s="1"/>
  <c r="H139" i="7"/>
  <c r="J139" i="7" s="1"/>
  <c r="K139" i="7" s="1"/>
  <c r="L139" i="7" s="1"/>
  <c r="H68" i="7"/>
  <c r="H251" i="7"/>
  <c r="J251" i="7" s="1"/>
  <c r="K251" i="7" s="1"/>
  <c r="L251" i="7" s="1"/>
  <c r="R251" i="7" s="1"/>
  <c r="S251" i="7" s="1"/>
  <c r="V251" i="7" s="1"/>
  <c r="H148" i="7"/>
  <c r="J148" i="7" s="1"/>
  <c r="K148" i="7" s="1"/>
  <c r="L148" i="7" s="1"/>
  <c r="R148" i="7" s="1"/>
  <c r="S148" i="7" s="1"/>
  <c r="V148" i="7" s="1"/>
  <c r="T148" i="7" s="1"/>
  <c r="U148" i="7" s="1"/>
  <c r="H52" i="7"/>
  <c r="J52" i="7" s="1"/>
  <c r="K52" i="7" s="1"/>
  <c r="L52" i="7" s="1"/>
  <c r="R52" i="7" s="1"/>
  <c r="S52" i="7" s="1"/>
  <c r="V52" i="7" s="1"/>
  <c r="H39" i="7"/>
  <c r="J39" i="7" s="1"/>
  <c r="S268" i="12"/>
  <c r="V268" i="12" s="1"/>
  <c r="H285" i="12"/>
  <c r="J285" i="12" s="1"/>
  <c r="K285" i="12" s="1"/>
  <c r="L285" i="12" s="1"/>
  <c r="R285" i="12" s="1"/>
  <c r="S285" i="12" s="1"/>
  <c r="V285" i="12" s="1"/>
  <c r="H281" i="12"/>
  <c r="J281" i="12" s="1"/>
  <c r="K281" i="12" s="1"/>
  <c r="L281" i="12" s="1"/>
  <c r="R281" i="12" s="1"/>
  <c r="S281" i="12" s="1"/>
  <c r="V281" i="12" s="1"/>
  <c r="H285" i="7"/>
  <c r="J285" i="7" s="1"/>
  <c r="K285" i="7" s="1"/>
  <c r="L285" i="7" s="1"/>
  <c r="R285" i="7" s="1"/>
  <c r="S285" i="7" s="1"/>
  <c r="V285" i="7" s="1"/>
  <c r="H281" i="7"/>
  <c r="J281" i="7" s="1"/>
  <c r="K281" i="7" s="1"/>
  <c r="L281" i="7" s="1"/>
  <c r="R281" i="7" s="1"/>
  <c r="S281" i="7" s="1"/>
  <c r="V281" i="7" s="1"/>
  <c r="J240" i="13"/>
  <c r="H208" i="13"/>
  <c r="I208" i="13" s="1"/>
  <c r="L208" i="13"/>
  <c r="X80" i="12"/>
  <c r="T80" i="12"/>
  <c r="U80" i="12" s="1"/>
  <c r="X266" i="12"/>
  <c r="T266" i="12"/>
  <c r="U266" i="12" s="1"/>
  <c r="X157" i="7"/>
  <c r="T157" i="7"/>
  <c r="U157" i="7" s="1"/>
  <c r="T176" i="7"/>
  <c r="U176" i="7" s="1"/>
  <c r="X176" i="7"/>
  <c r="X192" i="7"/>
  <c r="T192" i="7"/>
  <c r="U192" i="7" s="1"/>
  <c r="K42" i="7"/>
  <c r="L42" i="7" s="1"/>
  <c r="R42" i="7" s="1"/>
  <c r="S42" i="7" s="1"/>
  <c r="V42" i="7" s="1"/>
  <c r="X162" i="7"/>
  <c r="T162" i="7"/>
  <c r="U162" i="7" s="1"/>
  <c r="X177" i="7"/>
  <c r="T177" i="7"/>
  <c r="U177" i="7" s="1"/>
  <c r="X193" i="7"/>
  <c r="T193" i="7"/>
  <c r="U193" i="7" s="1"/>
  <c r="X46" i="7"/>
  <c r="T46" i="7"/>
  <c r="U46" i="7" s="1"/>
  <c r="X159" i="7"/>
  <c r="T159" i="7"/>
  <c r="U159" i="7" s="1"/>
  <c r="T174" i="7"/>
  <c r="U174" i="7" s="1"/>
  <c r="X174" i="7"/>
  <c r="T190" i="7"/>
  <c r="U190" i="7" s="1"/>
  <c r="X190" i="7"/>
  <c r="J67" i="7"/>
  <c r="K67" i="7" s="1"/>
  <c r="L67" i="7" s="1"/>
  <c r="T160" i="7"/>
  <c r="U160" i="7" s="1"/>
  <c r="X160" i="7"/>
  <c r="T191" i="7"/>
  <c r="U191" i="7" s="1"/>
  <c r="X191" i="7"/>
  <c r="K42" i="12"/>
  <c r="L42" i="12" s="1"/>
  <c r="R42" i="12" s="1"/>
  <c r="S42" i="12" s="1"/>
  <c r="V42" i="12" s="1"/>
  <c r="S160" i="12"/>
  <c r="V160" i="12" s="1"/>
  <c r="T178" i="12"/>
  <c r="U178" i="12" s="1"/>
  <c r="X178" i="12"/>
  <c r="S200" i="12"/>
  <c r="V200" i="12"/>
  <c r="S175" i="12"/>
  <c r="V175" i="12" s="1"/>
  <c r="T175" i="12" s="1"/>
  <c r="U175" i="12" s="1"/>
  <c r="X196" i="12"/>
  <c r="T196" i="12"/>
  <c r="U196" i="12" s="1"/>
  <c r="J138" i="12"/>
  <c r="K138" i="12" s="1"/>
  <c r="L138" i="12" s="1"/>
  <c r="S161" i="12"/>
  <c r="V161" i="12"/>
  <c r="T176" i="12"/>
  <c r="U176" i="12" s="1"/>
  <c r="X176" i="12"/>
  <c r="K197" i="12"/>
  <c r="L197" i="12"/>
  <c r="R197" i="12" s="1"/>
  <c r="V174" i="12"/>
  <c r="S174" i="12"/>
  <c r="T193" i="12"/>
  <c r="U193" i="12" s="1"/>
  <c r="X193" i="12"/>
  <c r="X169" i="12"/>
  <c r="T169" i="12"/>
  <c r="U169" i="12" s="1"/>
  <c r="X187" i="12"/>
  <c r="T187" i="12"/>
  <c r="U187" i="12" s="1"/>
  <c r="X279" i="12"/>
  <c r="T279" i="12"/>
  <c r="U279" i="12" s="1"/>
  <c r="J63" i="13"/>
  <c r="H170" i="13"/>
  <c r="I170" i="13" s="1"/>
  <c r="L170" i="13"/>
  <c r="H184" i="13"/>
  <c r="I184" i="13" s="1"/>
  <c r="L184" i="13"/>
  <c r="H181" i="13"/>
  <c r="I181" i="13" s="1"/>
  <c r="L181" i="13"/>
  <c r="J197" i="13"/>
  <c r="H178" i="13"/>
  <c r="I178" i="13" s="1"/>
  <c r="L178" i="13"/>
  <c r="H194" i="13"/>
  <c r="I194" i="13" s="1"/>
  <c r="L194" i="13"/>
  <c r="J161" i="13"/>
  <c r="H169" i="13"/>
  <c r="I169" i="13" s="1"/>
  <c r="L169" i="13"/>
  <c r="H187" i="13"/>
  <c r="I187" i="13" s="1"/>
  <c r="L187" i="13"/>
  <c r="H247" i="13"/>
  <c r="I247" i="13" s="1"/>
  <c r="L247" i="13"/>
  <c r="T208" i="7"/>
  <c r="U208" i="7" s="1"/>
  <c r="X208" i="7"/>
  <c r="T262" i="7"/>
  <c r="U262" i="7" s="1"/>
  <c r="X262" i="7"/>
  <c r="X260" i="7"/>
  <c r="T260" i="7"/>
  <c r="U260" i="7" s="1"/>
  <c r="S258" i="12"/>
  <c r="V258" i="12" s="1"/>
  <c r="S256" i="12"/>
  <c r="V256" i="12" s="1"/>
  <c r="J263" i="13"/>
  <c r="J257" i="13"/>
  <c r="H234" i="13"/>
  <c r="I234" i="13" s="1"/>
  <c r="L234" i="13"/>
  <c r="X240" i="12"/>
  <c r="T240" i="12"/>
  <c r="U240" i="12" s="1"/>
  <c r="T272" i="7"/>
  <c r="U272" i="7" s="1"/>
  <c r="X272" i="7"/>
  <c r="J272" i="13"/>
  <c r="H245" i="13"/>
  <c r="I245" i="13" s="1"/>
  <c r="L245" i="13"/>
  <c r="T208" i="12"/>
  <c r="U208" i="12" s="1"/>
  <c r="X208" i="12"/>
  <c r="X242" i="7"/>
  <c r="T242" i="7"/>
  <c r="U242" i="7" s="1"/>
  <c r="L276" i="13"/>
  <c r="H276" i="13"/>
  <c r="I276" i="13" s="1"/>
  <c r="H270" i="13"/>
  <c r="I270" i="13" s="1"/>
  <c r="L270" i="13"/>
  <c r="F267" i="1"/>
  <c r="H266" i="1" s="1"/>
  <c r="I266" i="1" s="1"/>
  <c r="J266" i="1" s="1"/>
  <c r="P266" i="1" s="1"/>
  <c r="Q266" i="1" s="1"/>
  <c r="J282" i="13"/>
  <c r="H283" i="12"/>
  <c r="J282" i="12" s="1"/>
  <c r="K282" i="12" s="1"/>
  <c r="L282" i="12" s="1"/>
  <c r="R282" i="12" s="1"/>
  <c r="S282" i="12" s="1"/>
  <c r="V282" i="12" s="1"/>
  <c r="H283" i="7"/>
  <c r="S269" i="12"/>
  <c r="V269" i="12" s="1"/>
  <c r="H117" i="13"/>
  <c r="I117" i="13" s="1"/>
  <c r="L117" i="13"/>
  <c r="J242" i="13"/>
  <c r="J107" i="13"/>
  <c r="T84" i="7"/>
  <c r="U84" i="7" s="1"/>
  <c r="X84" i="7"/>
  <c r="K267" i="12"/>
  <c r="L267" i="12" s="1"/>
  <c r="R267" i="12" s="1"/>
  <c r="X161" i="7"/>
  <c r="T161" i="7"/>
  <c r="U161" i="7" s="1"/>
  <c r="T180" i="7"/>
  <c r="U180" i="7" s="1"/>
  <c r="X180" i="7"/>
  <c r="X196" i="7"/>
  <c r="T196" i="7"/>
  <c r="U196" i="7" s="1"/>
  <c r="X166" i="7"/>
  <c r="T166" i="7"/>
  <c r="U166" i="7" s="1"/>
  <c r="T181" i="7"/>
  <c r="U181" i="7" s="1"/>
  <c r="X181" i="7"/>
  <c r="X197" i="7"/>
  <c r="T197" i="7"/>
  <c r="U197" i="7" s="1"/>
  <c r="T63" i="7"/>
  <c r="U63" i="7" s="1"/>
  <c r="X63" i="7"/>
  <c r="T163" i="7"/>
  <c r="U163" i="7" s="1"/>
  <c r="X163" i="7"/>
  <c r="T178" i="7"/>
  <c r="U178" i="7" s="1"/>
  <c r="X178" i="7"/>
  <c r="K194" i="7"/>
  <c r="L194" i="7" s="1"/>
  <c r="R194" i="7" s="1"/>
  <c r="S194" i="7" s="1"/>
  <c r="V194" i="7" s="1"/>
  <c r="X131" i="7"/>
  <c r="T131" i="7"/>
  <c r="U131" i="7" s="1"/>
  <c r="T164" i="7"/>
  <c r="U164" i="7" s="1"/>
  <c r="X164" i="7"/>
  <c r="T179" i="7"/>
  <c r="U179" i="7" s="1"/>
  <c r="X179" i="7"/>
  <c r="T195" i="7"/>
  <c r="U195" i="7" s="1"/>
  <c r="X195" i="7"/>
  <c r="S137" i="12"/>
  <c r="V137" i="12" s="1"/>
  <c r="S162" i="12"/>
  <c r="V162" i="12" s="1"/>
  <c r="X184" i="12"/>
  <c r="T184" i="12"/>
  <c r="U184" i="12" s="1"/>
  <c r="X180" i="12"/>
  <c r="T180" i="12"/>
  <c r="U180" i="12" s="1"/>
  <c r="L46" i="12"/>
  <c r="R46" i="12" s="1"/>
  <c r="K46" i="12"/>
  <c r="J147" i="12"/>
  <c r="K147" i="12" s="1"/>
  <c r="L147" i="12" s="1"/>
  <c r="S163" i="12"/>
  <c r="V163" i="12" s="1"/>
  <c r="T181" i="12"/>
  <c r="U181" i="12" s="1"/>
  <c r="X181" i="12"/>
  <c r="X55" i="12"/>
  <c r="T55" i="12"/>
  <c r="U55" i="12" s="1"/>
  <c r="T177" i="12"/>
  <c r="U177" i="12" s="1"/>
  <c r="X177" i="12"/>
  <c r="T198" i="12"/>
  <c r="U198" i="12" s="1"/>
  <c r="X198" i="12"/>
  <c r="T191" i="12"/>
  <c r="U191" i="12" s="1"/>
  <c r="X191" i="12"/>
  <c r="T248" i="12"/>
  <c r="U248" i="12" s="1"/>
  <c r="X248" i="12"/>
  <c r="J174" i="13"/>
  <c r="H188" i="13"/>
  <c r="I188" i="13" s="1"/>
  <c r="L188" i="13"/>
  <c r="J248" i="13"/>
  <c r="H168" i="13"/>
  <c r="I168" i="13" s="1"/>
  <c r="L168" i="13"/>
  <c r="H185" i="13"/>
  <c r="I185" i="13" s="1"/>
  <c r="L185" i="13"/>
  <c r="H131" i="13"/>
  <c r="I131" i="13" s="1"/>
  <c r="L131" i="13"/>
  <c r="H182" i="13"/>
  <c r="I182" i="13" s="1"/>
  <c r="L182" i="13"/>
  <c r="J163" i="13"/>
  <c r="H191" i="13"/>
  <c r="I191" i="13" s="1"/>
  <c r="L191" i="13"/>
  <c r="H51" i="13"/>
  <c r="I51" i="13" s="1"/>
  <c r="L51" i="13"/>
  <c r="S234" i="12"/>
  <c r="V234" i="12"/>
  <c r="X99" i="12"/>
  <c r="T99" i="12"/>
  <c r="U99" i="12" s="1"/>
  <c r="X234" i="7"/>
  <c r="T234" i="7"/>
  <c r="U234" i="7" s="1"/>
  <c r="T257" i="7"/>
  <c r="U257" i="7" s="1"/>
  <c r="X257" i="7"/>
  <c r="T259" i="7"/>
  <c r="U259" i="7" s="1"/>
  <c r="X259" i="7"/>
  <c r="X264" i="7"/>
  <c r="T264" i="7"/>
  <c r="U264" i="7" s="1"/>
  <c r="S262" i="12"/>
  <c r="V262" i="12"/>
  <c r="S260" i="12"/>
  <c r="V260" i="12"/>
  <c r="J261" i="13"/>
  <c r="T95" i="12"/>
  <c r="U95" i="12" s="1"/>
  <c r="X95" i="12"/>
  <c r="T273" i="7"/>
  <c r="U273" i="7" s="1"/>
  <c r="X273" i="7"/>
  <c r="K268" i="7"/>
  <c r="L268" i="7" s="1"/>
  <c r="R268" i="7" s="1"/>
  <c r="S268" i="7" s="1"/>
  <c r="V268" i="7" s="1"/>
  <c r="J269" i="13"/>
  <c r="T266" i="7"/>
  <c r="U266" i="7" s="1"/>
  <c r="X266" i="7"/>
  <c r="X165" i="7"/>
  <c r="T165" i="7"/>
  <c r="U165" i="7" s="1"/>
  <c r="K184" i="7"/>
  <c r="L184" i="7"/>
  <c r="R184" i="7" s="1"/>
  <c r="S184" i="7" s="1"/>
  <c r="V184" i="7" s="1"/>
  <c r="X200" i="7"/>
  <c r="T200" i="7"/>
  <c r="U200" i="7" s="1"/>
  <c r="X55" i="7"/>
  <c r="T55" i="7"/>
  <c r="U55" i="7" s="1"/>
  <c r="X169" i="7"/>
  <c r="T169" i="7"/>
  <c r="U169" i="7" s="1"/>
  <c r="X185" i="7"/>
  <c r="T185" i="7"/>
  <c r="U185" i="7" s="1"/>
  <c r="X248" i="7"/>
  <c r="T248" i="7"/>
  <c r="U248" i="7" s="1"/>
  <c r="X137" i="7"/>
  <c r="T137" i="7"/>
  <c r="U137" i="7" s="1"/>
  <c r="T167" i="7"/>
  <c r="U167" i="7" s="1"/>
  <c r="X167" i="7"/>
  <c r="K182" i="7"/>
  <c r="L182" i="7"/>
  <c r="R182" i="7" s="1"/>
  <c r="S182" i="7" s="1"/>
  <c r="V182" i="7" s="1"/>
  <c r="T198" i="7"/>
  <c r="U198" i="7" s="1"/>
  <c r="X198" i="7"/>
  <c r="J138" i="7"/>
  <c r="K138" i="7" s="1"/>
  <c r="L138" i="7" s="1"/>
  <c r="T168" i="7"/>
  <c r="U168" i="7" s="1"/>
  <c r="X168" i="7"/>
  <c r="T183" i="7"/>
  <c r="U183" i="7" s="1"/>
  <c r="X183" i="7"/>
  <c r="T199" i="7"/>
  <c r="U199" i="7" s="1"/>
  <c r="X199" i="7"/>
  <c r="V156" i="12"/>
  <c r="S156" i="12"/>
  <c r="V164" i="12"/>
  <c r="S164" i="12"/>
  <c r="X189" i="12"/>
  <c r="T189" i="12"/>
  <c r="U189" i="12" s="1"/>
  <c r="X131" i="12"/>
  <c r="T131" i="12"/>
  <c r="U131" i="12" s="1"/>
  <c r="X185" i="12"/>
  <c r="T185" i="12"/>
  <c r="U185" i="12" s="1"/>
  <c r="X63" i="12"/>
  <c r="T63" i="12"/>
  <c r="U63" i="12" s="1"/>
  <c r="S157" i="12"/>
  <c r="V157" i="12" s="1"/>
  <c r="X168" i="12"/>
  <c r="T168" i="12"/>
  <c r="U168" i="12" s="1"/>
  <c r="X186" i="12"/>
  <c r="T186" i="12"/>
  <c r="U186" i="12" s="1"/>
  <c r="J67" i="12"/>
  <c r="K67" i="12" s="1"/>
  <c r="L67" i="12" s="1"/>
  <c r="X182" i="12"/>
  <c r="T182" i="12"/>
  <c r="U182" i="12" s="1"/>
  <c r="S165" i="12"/>
  <c r="V165" i="12"/>
  <c r="T179" i="12"/>
  <c r="U179" i="12" s="1"/>
  <c r="X179" i="12"/>
  <c r="T195" i="12"/>
  <c r="U195" i="12" s="1"/>
  <c r="X195" i="12"/>
  <c r="K247" i="12"/>
  <c r="L247" i="12"/>
  <c r="R247" i="12" s="1"/>
  <c r="S247" i="12" s="1"/>
  <c r="V247" i="12" s="1"/>
  <c r="H176" i="13"/>
  <c r="I176" i="13" s="1"/>
  <c r="L176" i="13"/>
  <c r="H192" i="13"/>
  <c r="I192" i="13" s="1"/>
  <c r="L192" i="13"/>
  <c r="J137" i="13"/>
  <c r="H171" i="13"/>
  <c r="I171" i="13" s="1"/>
  <c r="L171" i="13"/>
  <c r="H189" i="13"/>
  <c r="I189" i="13" s="1"/>
  <c r="L189" i="13"/>
  <c r="J46" i="13"/>
  <c r="H172" i="13"/>
  <c r="I172" i="13" s="1"/>
  <c r="L172" i="13"/>
  <c r="H186" i="13"/>
  <c r="I186" i="13" s="1"/>
  <c r="L186" i="13"/>
  <c r="J279" i="13"/>
  <c r="J157" i="13"/>
  <c r="J165" i="13"/>
  <c r="H179" i="13"/>
  <c r="I179" i="13" s="1"/>
  <c r="L179" i="13"/>
  <c r="L195" i="13"/>
  <c r="H195" i="13"/>
  <c r="I195" i="13" s="1"/>
  <c r="X261" i="7"/>
  <c r="T261" i="7"/>
  <c r="U261" i="7" s="1"/>
  <c r="X263" i="7"/>
  <c r="T263" i="7"/>
  <c r="U263" i="7" s="1"/>
  <c r="S257" i="12"/>
  <c r="V257" i="12"/>
  <c r="S259" i="12"/>
  <c r="V259" i="12"/>
  <c r="S264" i="12"/>
  <c r="V264" i="12"/>
  <c r="X240" i="7"/>
  <c r="T240" i="7"/>
  <c r="U240" i="7" s="1"/>
  <c r="J282" i="7"/>
  <c r="T272" i="12"/>
  <c r="U272" i="12" s="1"/>
  <c r="X272" i="12"/>
  <c r="T269" i="7"/>
  <c r="U269" i="7" s="1"/>
  <c r="X269" i="7"/>
  <c r="T23" i="1"/>
  <c r="R23" i="1" s="1"/>
  <c r="H14" i="1"/>
  <c r="I14" i="1" s="1"/>
  <c r="J14" i="1" s="1"/>
  <c r="H131" i="1"/>
  <c r="I131" i="1" s="1"/>
  <c r="J131" i="1" s="1"/>
  <c r="V270" i="1"/>
  <c r="F258" i="1"/>
  <c r="H258" i="1" s="1"/>
  <c r="I258" i="1" s="1"/>
  <c r="J258" i="1" s="1"/>
  <c r="P258" i="1" s="1"/>
  <c r="Q109" i="1"/>
  <c r="Q204" i="1"/>
  <c r="T192" i="1"/>
  <c r="R192" i="1" s="1"/>
  <c r="Q103" i="1"/>
  <c r="T103" i="1" s="1"/>
  <c r="R103" i="1" s="1"/>
  <c r="F11" i="5"/>
  <c r="H11" i="5" s="1"/>
  <c r="I11" i="5" s="1"/>
  <c r="J11" i="5" s="1"/>
  <c r="P11" i="5" s="1"/>
  <c r="F7" i="5"/>
  <c r="H7" i="5" s="1"/>
  <c r="I7" i="5" s="1"/>
  <c r="J7" i="5" s="1"/>
  <c r="P7" i="5" s="1"/>
  <c r="R7" i="5" s="1"/>
  <c r="F12" i="5"/>
  <c r="H12" i="5" s="1"/>
  <c r="I12" i="5" s="1"/>
  <c r="J12" i="5" s="1"/>
  <c r="P12" i="5" s="1"/>
  <c r="R12" i="5" s="1"/>
  <c r="F10" i="5"/>
  <c r="H10" i="5" s="1"/>
  <c r="I10" i="5" s="1"/>
  <c r="J10" i="5" s="1"/>
  <c r="P10" i="5" s="1"/>
  <c r="R10" i="5" s="1"/>
  <c r="F6" i="5"/>
  <c r="H6" i="5" s="1"/>
  <c r="I6" i="5" s="1"/>
  <c r="J6" i="5" s="1"/>
  <c r="P6" i="5" s="1"/>
  <c r="R6" i="5" s="1"/>
  <c r="Q256" i="1"/>
  <c r="T256" i="1" s="1"/>
  <c r="R256" i="1" s="1"/>
  <c r="Q262" i="1"/>
  <c r="T262" i="1" s="1"/>
  <c r="R262" i="1" s="1"/>
  <c r="S262" i="1" s="1"/>
  <c r="T90" i="1"/>
  <c r="T254" i="1"/>
  <c r="R254" i="1" s="1"/>
  <c r="T186" i="1"/>
  <c r="R186" i="1" s="1"/>
  <c r="T224" i="1"/>
  <c r="R224" i="1" s="1"/>
  <c r="T268" i="1"/>
  <c r="R268" i="1" s="1"/>
  <c r="T226" i="1"/>
  <c r="R226" i="1" s="1"/>
  <c r="T185" i="1"/>
  <c r="R185" i="1" s="1"/>
  <c r="T255" i="1"/>
  <c r="R255" i="1" s="1"/>
  <c r="T97" i="1"/>
  <c r="R97" i="1" s="1"/>
  <c r="I248" i="1"/>
  <c r="J248" i="1" s="1"/>
  <c r="P248" i="1" s="1"/>
  <c r="I245" i="1"/>
  <c r="J245" i="1" s="1"/>
  <c r="P245" i="1" s="1"/>
  <c r="I246" i="1"/>
  <c r="J246" i="1" s="1"/>
  <c r="P246" i="1" s="1"/>
  <c r="I242" i="1"/>
  <c r="J242" i="1" s="1"/>
  <c r="P242" i="1" s="1"/>
  <c r="T235" i="1"/>
  <c r="R235" i="1" s="1"/>
  <c r="H122" i="1"/>
  <c r="I122" i="1" s="1"/>
  <c r="J122" i="1" s="1"/>
  <c r="I143" i="1"/>
  <c r="J143" i="1" s="1"/>
  <c r="P143" i="1" s="1"/>
  <c r="Q153" i="1"/>
  <c r="I161" i="1"/>
  <c r="J161" i="1" s="1"/>
  <c r="P161" i="1" s="1"/>
  <c r="I172" i="1"/>
  <c r="J172" i="1" s="1"/>
  <c r="P172" i="1" s="1"/>
  <c r="I232" i="1"/>
  <c r="J232" i="1" s="1"/>
  <c r="P232" i="1" s="1"/>
  <c r="I155" i="1"/>
  <c r="J155" i="1" s="1"/>
  <c r="P155" i="1" s="1"/>
  <c r="T167" i="1"/>
  <c r="R167" i="1" s="1"/>
  <c r="I159" i="1"/>
  <c r="J159" i="1" s="1"/>
  <c r="P159" i="1" s="1"/>
  <c r="Q183" i="1"/>
  <c r="H233" i="1"/>
  <c r="I121" i="1"/>
  <c r="J121" i="1" s="1"/>
  <c r="P121" i="1" s="1"/>
  <c r="Q146" i="1"/>
  <c r="T146" i="1" s="1"/>
  <c r="R146" i="1" s="1"/>
  <c r="I142" i="1"/>
  <c r="J142" i="1" s="1"/>
  <c r="P142" i="1" s="1"/>
  <c r="I156" i="1"/>
  <c r="J156" i="1" s="1"/>
  <c r="P156" i="1" s="1"/>
  <c r="Q166" i="1"/>
  <c r="T166" i="1" s="1"/>
  <c r="R166" i="1" s="1"/>
  <c r="I162" i="1"/>
  <c r="J162" i="1" s="1"/>
  <c r="P162" i="1" s="1"/>
  <c r="I177" i="1"/>
  <c r="J177" i="1" s="1"/>
  <c r="P177" i="1" s="1"/>
  <c r="I173" i="1"/>
  <c r="J173" i="1" s="1"/>
  <c r="P173" i="1" s="1"/>
  <c r="T184" i="1"/>
  <c r="R184" i="1" s="1"/>
  <c r="S184" i="1" s="1"/>
  <c r="I231" i="1"/>
  <c r="J231" i="1" s="1"/>
  <c r="P231" i="1" s="1"/>
  <c r="Q145" i="1"/>
  <c r="T145" i="1" s="1"/>
  <c r="R145" i="1" s="1"/>
  <c r="Q152" i="1"/>
  <c r="Q180" i="1"/>
  <c r="T180" i="1" s="1"/>
  <c r="R180" i="1" s="1"/>
  <c r="V228" i="1"/>
  <c r="V96" i="1"/>
  <c r="Q247" i="1"/>
  <c r="V229" i="1"/>
  <c r="V100" i="1"/>
  <c r="Q169" i="1"/>
  <c r="T169" i="1" s="1"/>
  <c r="R169" i="1" s="1"/>
  <c r="Q170" i="1"/>
  <c r="Q252" i="1"/>
  <c r="Q218" i="1"/>
  <c r="V95" i="1"/>
  <c r="Q215" i="1"/>
  <c r="T212" i="1"/>
  <c r="R212" i="1" s="1"/>
  <c r="F265" i="1"/>
  <c r="H265" i="1" s="1"/>
  <c r="I265" i="1" s="1"/>
  <c r="J265" i="1" s="1"/>
  <c r="P265" i="1" s="1"/>
  <c r="F269" i="1"/>
  <c r="H269" i="1" s="1"/>
  <c r="I269" i="1" s="1"/>
  <c r="J269" i="1" s="1"/>
  <c r="P269" i="1" s="1"/>
  <c r="Q257" i="1"/>
  <c r="T257" i="1" s="1"/>
  <c r="R257" i="1" s="1"/>
  <c r="T187" i="1"/>
  <c r="R187" i="1" s="1"/>
  <c r="T250" i="1"/>
  <c r="R250" i="1" s="1"/>
  <c r="T189" i="1"/>
  <c r="R189" i="1" s="1"/>
  <c r="T253" i="1"/>
  <c r="R253" i="1" s="1"/>
  <c r="V259" i="1"/>
  <c r="V99" i="1"/>
  <c r="T261" i="1"/>
  <c r="R261" i="1" s="1"/>
  <c r="T102" i="1"/>
  <c r="R102" i="1" s="1"/>
  <c r="T260" i="1"/>
  <c r="R260" i="1" s="1"/>
  <c r="T101" i="1"/>
  <c r="R101" i="1" s="1"/>
  <c r="T188" i="1"/>
  <c r="R188" i="1" s="1"/>
  <c r="T223" i="1"/>
  <c r="R223" i="1" s="1"/>
  <c r="T251" i="1"/>
  <c r="R251" i="1" s="1"/>
  <c r="T98" i="1"/>
  <c r="R98" i="1" s="1"/>
  <c r="T266" i="1"/>
  <c r="R266" i="1" s="1"/>
  <c r="I243" i="1"/>
  <c r="J243" i="1" s="1"/>
  <c r="P243" i="1" s="1"/>
  <c r="I241" i="1"/>
  <c r="J241" i="1" s="1"/>
  <c r="P241" i="1" s="1"/>
  <c r="T240" i="1"/>
  <c r="R240" i="1" s="1"/>
  <c r="I244" i="1"/>
  <c r="J244" i="1" s="1"/>
  <c r="P244" i="1" s="1"/>
  <c r="T147" i="1"/>
  <c r="R147" i="1" s="1"/>
  <c r="I157" i="1"/>
  <c r="J157" i="1" s="1"/>
  <c r="P157" i="1" s="1"/>
  <c r="T151" i="1"/>
  <c r="R151" i="1" s="1"/>
  <c r="T165" i="1"/>
  <c r="R165" i="1" s="1"/>
  <c r="I176" i="1"/>
  <c r="J176" i="1" s="1"/>
  <c r="P176" i="1" s="1"/>
  <c r="T181" i="1"/>
  <c r="R181" i="1" s="1"/>
  <c r="H51" i="1"/>
  <c r="T140" i="1"/>
  <c r="R140" i="1" s="1"/>
  <c r="I141" i="1"/>
  <c r="J141" i="1" s="1"/>
  <c r="P141" i="1" s="1"/>
  <c r="T149" i="1"/>
  <c r="R149" i="1" s="1"/>
  <c r="I163" i="1"/>
  <c r="J163" i="1" s="1"/>
  <c r="P163" i="1" s="1"/>
  <c r="I174" i="1"/>
  <c r="J174" i="1" s="1"/>
  <c r="P174" i="1" s="1"/>
  <c r="I179" i="1"/>
  <c r="J179" i="1" s="1"/>
  <c r="P179" i="1" s="1"/>
  <c r="I148" i="1"/>
  <c r="J148" i="1" s="1"/>
  <c r="P148" i="1" s="1"/>
  <c r="I144" i="1"/>
  <c r="J144" i="1" s="1"/>
  <c r="P144" i="1" s="1"/>
  <c r="I158" i="1"/>
  <c r="J158" i="1" s="1"/>
  <c r="P158" i="1" s="1"/>
  <c r="T154" i="1"/>
  <c r="R154" i="1" s="1"/>
  <c r="S154" i="1" s="1"/>
  <c r="T150" i="1"/>
  <c r="R150" i="1" s="1"/>
  <c r="T168" i="1"/>
  <c r="R168" i="1" s="1"/>
  <c r="I164" i="1"/>
  <c r="J164" i="1" s="1"/>
  <c r="P164" i="1" s="1"/>
  <c r="I160" i="1"/>
  <c r="J160" i="1" s="1"/>
  <c r="P160" i="1" s="1"/>
  <c r="I175" i="1"/>
  <c r="J175" i="1" s="1"/>
  <c r="P175" i="1" s="1"/>
  <c r="I171" i="1"/>
  <c r="J171" i="1" s="1"/>
  <c r="P171" i="1" s="1"/>
  <c r="T182" i="1"/>
  <c r="R182" i="1" s="1"/>
  <c r="T178" i="1"/>
  <c r="R178" i="1" s="1"/>
  <c r="T263" i="1"/>
  <c r="R263" i="1" s="1"/>
  <c r="R36" i="1"/>
  <c r="V36" i="1"/>
  <c r="R35" i="1"/>
  <c r="V35" i="1"/>
  <c r="Q39" i="1"/>
  <c r="T39" i="1" s="1"/>
  <c r="Q64" i="1"/>
  <c r="Q26" i="1"/>
  <c r="T26" i="1" s="1"/>
  <c r="Q9" i="1"/>
  <c r="T9" i="1" s="1"/>
  <c r="Q91" i="1"/>
  <c r="Q60" i="1"/>
  <c r="Q47" i="1"/>
  <c r="T47" i="1" s="1"/>
  <c r="T82" i="1"/>
  <c r="R82" i="1" s="1"/>
  <c r="T85" i="1"/>
  <c r="R85" i="1" s="1"/>
  <c r="T88" i="1"/>
  <c r="R88" i="1" s="1"/>
  <c r="S88" i="1" s="1"/>
  <c r="V78" i="1"/>
  <c r="V86" i="1"/>
  <c r="Q30" i="1"/>
  <c r="T30" i="1" s="1"/>
  <c r="V83" i="1"/>
  <c r="V87" i="1"/>
  <c r="V75" i="1"/>
  <c r="T77" i="1"/>
  <c r="R77" i="1" s="1"/>
  <c r="T89" i="1"/>
  <c r="R89" i="1" s="1"/>
  <c r="T73" i="1"/>
  <c r="R73" i="1" s="1"/>
  <c r="T80" i="1"/>
  <c r="R80" i="1" s="1"/>
  <c r="T79" i="1"/>
  <c r="R79" i="1" s="1"/>
  <c r="R90" i="1"/>
  <c r="T84" i="1"/>
  <c r="R84" i="1" s="1"/>
  <c r="T72" i="1"/>
  <c r="R72" i="1" s="1"/>
  <c r="T74" i="1"/>
  <c r="R74" i="1" s="1"/>
  <c r="S74" i="1" s="1"/>
  <c r="T81" i="1"/>
  <c r="R81" i="1" s="1"/>
  <c r="T76" i="1"/>
  <c r="R76" i="1" s="1"/>
  <c r="V46" i="1"/>
  <c r="V23" i="1"/>
  <c r="V190" i="1"/>
  <c r="S46" i="1"/>
  <c r="Q68" i="1"/>
  <c r="Q196" i="1"/>
  <c r="Q115" i="1"/>
  <c r="S259" i="1"/>
  <c r="S268" i="1"/>
  <c r="S23" i="1"/>
  <c r="S261" i="1"/>
  <c r="L157" i="13" l="1"/>
  <c r="H157" i="13"/>
  <c r="I157" i="13" s="1"/>
  <c r="T157" i="12"/>
  <c r="U157" i="12" s="1"/>
  <c r="X157" i="12"/>
  <c r="H282" i="13"/>
  <c r="I282" i="13" s="1"/>
  <c r="L282" i="13"/>
  <c r="L257" i="13"/>
  <c r="H257" i="13"/>
  <c r="I257" i="13" s="1"/>
  <c r="T258" i="12"/>
  <c r="U258" i="12" s="1"/>
  <c r="X258" i="12"/>
  <c r="J200" i="13"/>
  <c r="T42" i="12"/>
  <c r="U42" i="12" s="1"/>
  <c r="X42" i="12"/>
  <c r="X42" i="7"/>
  <c r="T42" i="7"/>
  <c r="U42" i="7" s="1"/>
  <c r="X167" i="12"/>
  <c r="T167" i="12"/>
  <c r="U167" i="12" s="1"/>
  <c r="L80" i="13"/>
  <c r="H80" i="13"/>
  <c r="I80" i="13" s="1"/>
  <c r="L275" i="13"/>
  <c r="H275" i="13"/>
  <c r="I275" i="13" s="1"/>
  <c r="L279" i="13"/>
  <c r="H279" i="13"/>
  <c r="I279" i="13" s="1"/>
  <c r="L269" i="13"/>
  <c r="H269" i="13"/>
  <c r="I269" i="13" s="1"/>
  <c r="X163" i="12"/>
  <c r="T163" i="12"/>
  <c r="U163" i="12" s="1"/>
  <c r="X162" i="12"/>
  <c r="T162" i="12"/>
  <c r="U162" i="12" s="1"/>
  <c r="L107" i="13"/>
  <c r="H107" i="13"/>
  <c r="I107" i="13" s="1"/>
  <c r="X269" i="12"/>
  <c r="T269" i="12"/>
  <c r="U269" i="12" s="1"/>
  <c r="J166" i="13"/>
  <c r="T268" i="12"/>
  <c r="U268" i="12" s="1"/>
  <c r="X268" i="12"/>
  <c r="J52" i="13"/>
  <c r="X273" i="12"/>
  <c r="T273" i="12"/>
  <c r="U273" i="12" s="1"/>
  <c r="L259" i="13"/>
  <c r="H259" i="13"/>
  <c r="I259" i="13" s="1"/>
  <c r="T202" i="12"/>
  <c r="U202" i="12" s="1"/>
  <c r="X202" i="12"/>
  <c r="L118" i="13"/>
  <c r="H118" i="13"/>
  <c r="I118" i="13" s="1"/>
  <c r="J258" i="13"/>
  <c r="L137" i="13"/>
  <c r="H137" i="13"/>
  <c r="I137" i="13" s="1"/>
  <c r="J267" i="13"/>
  <c r="X268" i="7"/>
  <c r="T268" i="7"/>
  <c r="U268" i="7" s="1"/>
  <c r="X137" i="12"/>
  <c r="T137" i="12"/>
  <c r="U137" i="12" s="1"/>
  <c r="S267" i="12"/>
  <c r="V267" i="12"/>
  <c r="L242" i="13"/>
  <c r="H242" i="13"/>
  <c r="I242" i="13" s="1"/>
  <c r="J262" i="13"/>
  <c r="T263" i="12"/>
  <c r="U263" i="12" s="1"/>
  <c r="X263" i="12"/>
  <c r="L167" i="13"/>
  <c r="H167" i="13"/>
  <c r="I167" i="13" s="1"/>
  <c r="X125" i="12"/>
  <c r="T125" i="12"/>
  <c r="U125" i="12" s="1"/>
  <c r="X186" i="7"/>
  <c r="T186" i="7"/>
  <c r="U186" i="7" s="1"/>
  <c r="L271" i="13"/>
  <c r="H271" i="13"/>
  <c r="I271" i="13" s="1"/>
  <c r="L165" i="13"/>
  <c r="H165" i="13"/>
  <c r="I165" i="13" s="1"/>
  <c r="J273" i="13"/>
  <c r="J198" i="13"/>
  <c r="T194" i="7"/>
  <c r="U194" i="7" s="1"/>
  <c r="X194" i="7"/>
  <c r="X282" i="12"/>
  <c r="T282" i="12"/>
  <c r="U282" i="12" s="1"/>
  <c r="X256" i="12"/>
  <c r="T256" i="12"/>
  <c r="U256" i="12" s="1"/>
  <c r="X160" i="12"/>
  <c r="T160" i="12"/>
  <c r="U160" i="12" s="1"/>
  <c r="X261" i="12"/>
  <c r="T261" i="12"/>
  <c r="U261" i="12" s="1"/>
  <c r="L199" i="13"/>
  <c r="H199" i="13"/>
  <c r="I199" i="13" s="1"/>
  <c r="J156" i="13"/>
  <c r="T166" i="12"/>
  <c r="U166" i="12" s="1"/>
  <c r="X166" i="12"/>
  <c r="T158" i="12"/>
  <c r="U158" i="12" s="1"/>
  <c r="X158" i="12"/>
  <c r="L62" i="13"/>
  <c r="H62" i="13"/>
  <c r="I62" i="13" s="1"/>
  <c r="T201" i="12"/>
  <c r="U201" i="12" s="1"/>
  <c r="X201" i="12"/>
  <c r="L277" i="13"/>
  <c r="H277" i="13"/>
  <c r="I277" i="13" s="1"/>
  <c r="J260" i="13"/>
  <c r="X259" i="12"/>
  <c r="T259" i="12"/>
  <c r="U259" i="12" s="1"/>
  <c r="J162" i="13"/>
  <c r="J42" i="13"/>
  <c r="T165" i="12"/>
  <c r="U165" i="12" s="1"/>
  <c r="X165" i="12"/>
  <c r="T164" i="12"/>
  <c r="U164" i="12" s="1"/>
  <c r="X164" i="12"/>
  <c r="T182" i="7"/>
  <c r="U182" i="7" s="1"/>
  <c r="X182" i="7"/>
  <c r="T184" i="7"/>
  <c r="U184" i="7" s="1"/>
  <c r="X184" i="7"/>
  <c r="J256" i="13"/>
  <c r="X262" i="12"/>
  <c r="T262" i="12"/>
  <c r="U262" i="12" s="1"/>
  <c r="T234" i="12"/>
  <c r="U234" i="12" s="1"/>
  <c r="X234" i="12"/>
  <c r="S46" i="12"/>
  <c r="V46" i="12" s="1"/>
  <c r="L272" i="13"/>
  <c r="H272" i="13"/>
  <c r="I272" i="13" s="1"/>
  <c r="T281" i="7"/>
  <c r="U281" i="7" s="1"/>
  <c r="X281" i="7"/>
  <c r="J281" i="13"/>
  <c r="K39" i="7"/>
  <c r="L39" i="7" s="1"/>
  <c r="R39" i="7" s="1"/>
  <c r="S39" i="7" s="1"/>
  <c r="V39" i="7" s="1"/>
  <c r="T228" i="7"/>
  <c r="U228" i="7" s="1"/>
  <c r="X228" i="7"/>
  <c r="V148" i="12"/>
  <c r="T148" i="12" s="1"/>
  <c r="U148" i="12" s="1"/>
  <c r="S148" i="12"/>
  <c r="H228" i="13"/>
  <c r="I228" i="13" s="1"/>
  <c r="L228" i="13"/>
  <c r="L84" i="13"/>
  <c r="H84" i="13"/>
  <c r="I84" i="13" s="1"/>
  <c r="J264" i="13"/>
  <c r="V271" i="12"/>
  <c r="S271" i="12"/>
  <c r="J164" i="13"/>
  <c r="J196" i="13"/>
  <c r="J249" i="12"/>
  <c r="X159" i="12"/>
  <c r="T159" i="12"/>
  <c r="U159" i="12" s="1"/>
  <c r="J147" i="7"/>
  <c r="K147" i="7" s="1"/>
  <c r="L147" i="7" s="1"/>
  <c r="V274" i="12"/>
  <c r="S274" i="12"/>
  <c r="H119" i="13"/>
  <c r="I119" i="13" s="1"/>
  <c r="L119" i="13"/>
  <c r="J160" i="13"/>
  <c r="L161" i="13"/>
  <c r="H161" i="13"/>
  <c r="I161" i="13" s="1"/>
  <c r="L197" i="13"/>
  <c r="H197" i="13"/>
  <c r="I197" i="13" s="1"/>
  <c r="X174" i="12"/>
  <c r="T174" i="12"/>
  <c r="U174" i="12" s="1"/>
  <c r="X200" i="12"/>
  <c r="T200" i="12"/>
  <c r="U200" i="12" s="1"/>
  <c r="X285" i="7"/>
  <c r="T285" i="7"/>
  <c r="U285" i="7" s="1"/>
  <c r="J285" i="13"/>
  <c r="T52" i="7"/>
  <c r="U52" i="7" s="1"/>
  <c r="X52" i="7"/>
  <c r="T231" i="7"/>
  <c r="U231" i="7" s="1"/>
  <c r="X231" i="7"/>
  <c r="X212" i="12"/>
  <c r="T212" i="12"/>
  <c r="U212" i="12" s="1"/>
  <c r="X228" i="12"/>
  <c r="T228" i="12"/>
  <c r="U228" i="12" s="1"/>
  <c r="X251" i="12"/>
  <c r="T251" i="12"/>
  <c r="U251" i="12" s="1"/>
  <c r="J251" i="13"/>
  <c r="T242" i="12"/>
  <c r="U242" i="12" s="1"/>
  <c r="X242" i="12"/>
  <c r="L159" i="13"/>
  <c r="H159" i="13"/>
  <c r="I159" i="13" s="1"/>
  <c r="T279" i="7"/>
  <c r="U279" i="7" s="1"/>
  <c r="X279" i="7"/>
  <c r="L76" i="13"/>
  <c r="H76" i="13"/>
  <c r="I76" i="13" s="1"/>
  <c r="J274" i="13"/>
  <c r="J268" i="13"/>
  <c r="X264" i="12"/>
  <c r="T264" i="12"/>
  <c r="U264" i="12" s="1"/>
  <c r="T257" i="12"/>
  <c r="U257" i="12" s="1"/>
  <c r="X257" i="12"/>
  <c r="L46" i="13"/>
  <c r="H46" i="13"/>
  <c r="I46" i="13" s="1"/>
  <c r="T247" i="12"/>
  <c r="U247" i="12" s="1"/>
  <c r="X247" i="12"/>
  <c r="T156" i="12"/>
  <c r="U156" i="12" s="1"/>
  <c r="X156" i="12"/>
  <c r="L261" i="13"/>
  <c r="H261" i="13"/>
  <c r="I261" i="13" s="1"/>
  <c r="T260" i="12"/>
  <c r="U260" i="12" s="1"/>
  <c r="X260" i="12"/>
  <c r="L163" i="13"/>
  <c r="H163" i="13"/>
  <c r="I163" i="13" s="1"/>
  <c r="H248" i="13"/>
  <c r="I248" i="13" s="1"/>
  <c r="L248" i="13"/>
  <c r="L174" i="13"/>
  <c r="H174" i="13"/>
  <c r="I174" i="13" s="1"/>
  <c r="L263" i="13"/>
  <c r="H263" i="13"/>
  <c r="I263" i="13" s="1"/>
  <c r="J158" i="13"/>
  <c r="L63" i="13"/>
  <c r="H63" i="13"/>
  <c r="I63" i="13" s="1"/>
  <c r="S197" i="12"/>
  <c r="V197" i="12" s="1"/>
  <c r="T161" i="12"/>
  <c r="U161" i="12" s="1"/>
  <c r="X161" i="12"/>
  <c r="L240" i="13"/>
  <c r="H240" i="13"/>
  <c r="I240" i="13" s="1"/>
  <c r="X281" i="12"/>
  <c r="T281" i="12"/>
  <c r="U281" i="12" s="1"/>
  <c r="T220" i="7"/>
  <c r="U220" i="7" s="1"/>
  <c r="X220" i="7"/>
  <c r="X220" i="12"/>
  <c r="T220" i="12"/>
  <c r="U220" i="12" s="1"/>
  <c r="K39" i="12"/>
  <c r="L39" i="12" s="1"/>
  <c r="R39" i="12" s="1"/>
  <c r="H39" i="13"/>
  <c r="I39" i="13" s="1"/>
  <c r="L39" i="13"/>
  <c r="J148" i="13"/>
  <c r="H148" i="13" s="1"/>
  <c r="I148" i="13" s="1"/>
  <c r="T119" i="7"/>
  <c r="U119" i="7" s="1"/>
  <c r="X119" i="7"/>
  <c r="L203" i="13"/>
  <c r="H203" i="13"/>
  <c r="I203" i="13" s="1"/>
  <c r="K282" i="7"/>
  <c r="L282" i="7" s="1"/>
  <c r="R282" i="7" s="1"/>
  <c r="S282" i="7" s="1"/>
  <c r="V282" i="7" s="1"/>
  <c r="J249" i="13"/>
  <c r="T285" i="12"/>
  <c r="U285" i="12" s="1"/>
  <c r="X285" i="12"/>
  <c r="T251" i="7"/>
  <c r="U251" i="7" s="1"/>
  <c r="X251" i="7"/>
  <c r="T212" i="7"/>
  <c r="U212" i="7" s="1"/>
  <c r="X212" i="7"/>
  <c r="K231" i="12"/>
  <c r="L231" i="12" s="1"/>
  <c r="R231" i="12" s="1"/>
  <c r="S231" i="12" s="1"/>
  <c r="V231" i="12" s="1"/>
  <c r="L52" i="12"/>
  <c r="R52" i="12" s="1"/>
  <c r="K52" i="12"/>
  <c r="H212" i="13"/>
  <c r="I212" i="13" s="1"/>
  <c r="L212" i="13"/>
  <c r="H220" i="13"/>
  <c r="I220" i="13" s="1"/>
  <c r="L220" i="13"/>
  <c r="J249" i="7"/>
  <c r="T274" i="7"/>
  <c r="U274" i="7" s="1"/>
  <c r="X274" i="7"/>
  <c r="X119" i="12"/>
  <c r="T119" i="12"/>
  <c r="U119" i="12" s="1"/>
  <c r="S166" i="1"/>
  <c r="S257" i="1"/>
  <c r="S146" i="1"/>
  <c r="S81" i="1"/>
  <c r="V151" i="1"/>
  <c r="V182" i="1"/>
  <c r="V150" i="1"/>
  <c r="V187" i="1"/>
  <c r="V261" i="1"/>
  <c r="V255" i="1"/>
  <c r="S256" i="1"/>
  <c r="Q144" i="1"/>
  <c r="Q179" i="1"/>
  <c r="Q163" i="1"/>
  <c r="Q241" i="1"/>
  <c r="Q242" i="1"/>
  <c r="Q158" i="1"/>
  <c r="Q148" i="1"/>
  <c r="Q174" i="1"/>
  <c r="Q243" i="1"/>
  <c r="Q159" i="1"/>
  <c r="T159" i="1" s="1"/>
  <c r="R159" i="1" s="1"/>
  <c r="Q143" i="1"/>
  <c r="V73" i="1"/>
  <c r="Q171" i="1"/>
  <c r="Q175" i="1"/>
  <c r="Q160" i="1"/>
  <c r="Q164" i="1"/>
  <c r="Q141" i="1"/>
  <c r="Q176" i="1"/>
  <c r="Q157" i="1"/>
  <c r="T157" i="1" s="1"/>
  <c r="R157" i="1" s="1"/>
  <c r="Q244" i="1"/>
  <c r="Q269" i="1"/>
  <c r="T269" i="1" s="1"/>
  <c r="R269" i="1" s="1"/>
  <c r="V101" i="1"/>
  <c r="V253" i="1"/>
  <c r="V98" i="1"/>
  <c r="Q231" i="1"/>
  <c r="T231" i="1" s="1"/>
  <c r="R231" i="1" s="1"/>
  <c r="Q173" i="1"/>
  <c r="T173" i="1" s="1"/>
  <c r="R173" i="1" s="1"/>
  <c r="Q177" i="1"/>
  <c r="T177" i="1" s="1"/>
  <c r="R177" i="1" s="1"/>
  <c r="Q162" i="1"/>
  <c r="T162" i="1" s="1"/>
  <c r="R162" i="1" s="1"/>
  <c r="T170" i="1"/>
  <c r="R170" i="1" s="1"/>
  <c r="S170" i="1" s="1"/>
  <c r="Q156" i="1"/>
  <c r="Q142" i="1"/>
  <c r="Q121" i="1"/>
  <c r="T121" i="1" s="1"/>
  <c r="R121" i="1" s="1"/>
  <c r="I233" i="1"/>
  <c r="J233" i="1" s="1"/>
  <c r="P233" i="1" s="1"/>
  <c r="Q155" i="1"/>
  <c r="T155" i="1" s="1"/>
  <c r="R155" i="1" s="1"/>
  <c r="Q232" i="1"/>
  <c r="T232" i="1" s="1"/>
  <c r="R232" i="1" s="1"/>
  <c r="Q172" i="1"/>
  <c r="T172" i="1" s="1"/>
  <c r="R172" i="1" s="1"/>
  <c r="Q161" i="1"/>
  <c r="T161" i="1" s="1"/>
  <c r="R161" i="1" s="1"/>
  <c r="Q246" i="1"/>
  <c r="Q245" i="1"/>
  <c r="Q248" i="1"/>
  <c r="T248" i="1" s="1"/>
  <c r="T252" i="1"/>
  <c r="R252" i="1" s="1"/>
  <c r="S252" i="1" s="1"/>
  <c r="G20" i="3"/>
  <c r="R11" i="5"/>
  <c r="V168" i="1"/>
  <c r="V235" i="1"/>
  <c r="V224" i="1"/>
  <c r="V102" i="1"/>
  <c r="V212" i="1"/>
  <c r="V250" i="1"/>
  <c r="V254" i="1"/>
  <c r="V192" i="1"/>
  <c r="V165" i="1"/>
  <c r="V154" i="1"/>
  <c r="V97" i="1"/>
  <c r="T115" i="1"/>
  <c r="R115" i="1" s="1"/>
  <c r="S76" i="1"/>
  <c r="I51" i="1"/>
  <c r="J51" i="1" s="1"/>
  <c r="V257" i="1"/>
  <c r="Q265" i="1"/>
  <c r="T215" i="1"/>
  <c r="R215" i="1" s="1"/>
  <c r="V266" i="1"/>
  <c r="V149" i="1"/>
  <c r="V223" i="1"/>
  <c r="V178" i="1"/>
  <c r="V169" i="1"/>
  <c r="V189" i="1"/>
  <c r="V188" i="1"/>
  <c r="V180" i="1"/>
  <c r="V145" i="1"/>
  <c r="V166" i="1"/>
  <c r="T152" i="1"/>
  <c r="R152" i="1" s="1"/>
  <c r="V146" i="1"/>
  <c r="T183" i="1"/>
  <c r="R183" i="1" s="1"/>
  <c r="T153" i="1"/>
  <c r="R153" i="1" s="1"/>
  <c r="T247" i="1"/>
  <c r="R247" i="1" s="1"/>
  <c r="S247" i="1" s="1"/>
  <c r="T218" i="1"/>
  <c r="R218" i="1" s="1"/>
  <c r="S218" i="1" s="1"/>
  <c r="V262" i="1"/>
  <c r="V256" i="1"/>
  <c r="T196" i="1"/>
  <c r="R196" i="1" s="1"/>
  <c r="V103" i="1"/>
  <c r="T204" i="1"/>
  <c r="R204" i="1" s="1"/>
  <c r="S204" i="1" s="1"/>
  <c r="T109" i="1"/>
  <c r="R109" i="1" s="1"/>
  <c r="S109" i="1" s="1"/>
  <c r="V181" i="1"/>
  <c r="V260" i="1"/>
  <c r="V167" i="1"/>
  <c r="V263" i="1"/>
  <c r="V268" i="1"/>
  <c r="V186" i="1"/>
  <c r="V251" i="1"/>
  <c r="V185" i="1"/>
  <c r="V226" i="1"/>
  <c r="V240" i="1"/>
  <c r="V184" i="1"/>
  <c r="V147" i="1"/>
  <c r="V140" i="1"/>
  <c r="Q258" i="1"/>
  <c r="T258" i="1" s="1"/>
  <c r="R258" i="1" s="1"/>
  <c r="R30" i="1"/>
  <c r="V30" i="1"/>
  <c r="R26" i="1"/>
  <c r="V26" i="1"/>
  <c r="R39" i="1"/>
  <c r="V39" i="1"/>
  <c r="R47" i="1"/>
  <c r="V47" i="1"/>
  <c r="R9" i="1"/>
  <c r="S9" i="1" s="1"/>
  <c r="V9" i="1"/>
  <c r="S35" i="1"/>
  <c r="S36" i="1"/>
  <c r="V89" i="1"/>
  <c r="V76" i="1"/>
  <c r="V80" i="1"/>
  <c r="V72" i="1"/>
  <c r="V90" i="1"/>
  <c r="T68" i="1"/>
  <c r="R68" i="1" s="1"/>
  <c r="S181" i="1"/>
  <c r="V77" i="1"/>
  <c r="V81" i="1"/>
  <c r="V74" i="1"/>
  <c r="V82" i="1"/>
  <c r="V88" i="1"/>
  <c r="V85" i="1"/>
  <c r="V84" i="1"/>
  <c r="V79" i="1"/>
  <c r="T60" i="1"/>
  <c r="R60" i="1" s="1"/>
  <c r="S60" i="1" s="1"/>
  <c r="T91" i="1"/>
  <c r="R91" i="1" s="1"/>
  <c r="T64" i="1"/>
  <c r="R64" i="1" s="1"/>
  <c r="S64" i="1" s="1"/>
  <c r="S260" i="1"/>
  <c r="S75" i="1"/>
  <c r="S263" i="1"/>
  <c r="S100" i="1"/>
  <c r="S182" i="1"/>
  <c r="S82" i="1"/>
  <c r="S223" i="1"/>
  <c r="S235" i="1"/>
  <c r="S178" i="1"/>
  <c r="S165" i="1"/>
  <c r="S147" i="1"/>
  <c r="S145" i="1"/>
  <c r="S78" i="1"/>
  <c r="S212" i="1"/>
  <c r="S228" i="1"/>
  <c r="S180" i="1"/>
  <c r="S140" i="1"/>
  <c r="S97" i="1"/>
  <c r="S101" i="1"/>
  <c r="S266" i="1"/>
  <c r="S168" i="1"/>
  <c r="S149" i="1"/>
  <c r="S87" i="1"/>
  <c r="S253" i="1"/>
  <c r="S151" i="1"/>
  <c r="S224" i="1"/>
  <c r="S189" i="1"/>
  <c r="S215" i="1"/>
  <c r="S102" i="1"/>
  <c r="S89" i="1"/>
  <c r="S185" i="1"/>
  <c r="S226" i="1"/>
  <c r="S96" i="1"/>
  <c r="S73" i="1"/>
  <c r="S240" i="1"/>
  <c r="S187" i="1"/>
  <c r="S86" i="1"/>
  <c r="S77" i="1"/>
  <c r="S80" i="1"/>
  <c r="S255" i="1"/>
  <c r="S150" i="1"/>
  <c r="S167" i="1"/>
  <c r="S72" i="1"/>
  <c r="S103" i="1"/>
  <c r="S169" i="1"/>
  <c r="S186" i="1"/>
  <c r="S85" i="1"/>
  <c r="S251" i="1"/>
  <c r="S188" i="1"/>
  <c r="S250" i="1"/>
  <c r="S83" i="1"/>
  <c r="S254" i="1"/>
  <c r="S192" i="1"/>
  <c r="S84" i="1"/>
  <c r="S90" i="1"/>
  <c r="S98" i="1"/>
  <c r="S79" i="1"/>
  <c r="X282" i="7" l="1"/>
  <c r="T282" i="7"/>
  <c r="U282" i="7" s="1"/>
  <c r="X197" i="12"/>
  <c r="T197" i="12"/>
  <c r="U197" i="12" s="1"/>
  <c r="L164" i="13"/>
  <c r="H164" i="13"/>
  <c r="I164" i="13" s="1"/>
  <c r="X46" i="12"/>
  <c r="T46" i="12"/>
  <c r="U46" i="12" s="1"/>
  <c r="J231" i="13"/>
  <c r="S39" i="12"/>
  <c r="V39" i="12" s="1"/>
  <c r="L260" i="13"/>
  <c r="H260" i="13"/>
  <c r="I260" i="13" s="1"/>
  <c r="L200" i="13"/>
  <c r="H200" i="13"/>
  <c r="I200" i="13" s="1"/>
  <c r="L268" i="13"/>
  <c r="H268" i="13"/>
  <c r="I268" i="13" s="1"/>
  <c r="T39" i="7"/>
  <c r="U39" i="7" s="1"/>
  <c r="X39" i="7"/>
  <c r="L52" i="13"/>
  <c r="H52" i="13"/>
  <c r="I52" i="13" s="1"/>
  <c r="X231" i="12"/>
  <c r="T231" i="12"/>
  <c r="U231" i="12" s="1"/>
  <c r="H249" i="13"/>
  <c r="I249" i="13" s="1"/>
  <c r="L249" i="13"/>
  <c r="L158" i="13"/>
  <c r="H158" i="13"/>
  <c r="I158" i="13" s="1"/>
  <c r="L274" i="13"/>
  <c r="H274" i="13"/>
  <c r="I274" i="13" s="1"/>
  <c r="L196" i="13"/>
  <c r="H196" i="13"/>
  <c r="I196" i="13" s="1"/>
  <c r="L281" i="13"/>
  <c r="H281" i="13"/>
  <c r="I281" i="13" s="1"/>
  <c r="K249" i="7"/>
  <c r="L249" i="7" s="1"/>
  <c r="R249" i="7" s="1"/>
  <c r="S249" i="7" s="1"/>
  <c r="V249" i="7" s="1"/>
  <c r="H285" i="13"/>
  <c r="I285" i="13" s="1"/>
  <c r="L285" i="13"/>
  <c r="L160" i="13"/>
  <c r="H160" i="13"/>
  <c r="I160" i="13" s="1"/>
  <c r="X271" i="12"/>
  <c r="T271" i="12"/>
  <c r="U271" i="12" s="1"/>
  <c r="L42" i="13"/>
  <c r="H42" i="13"/>
  <c r="I42" i="13" s="1"/>
  <c r="L198" i="13"/>
  <c r="H198" i="13"/>
  <c r="I198" i="13" s="1"/>
  <c r="L262" i="13"/>
  <c r="H262" i="13"/>
  <c r="I262" i="13" s="1"/>
  <c r="T267" i="12"/>
  <c r="U267" i="12" s="1"/>
  <c r="X267" i="12"/>
  <c r="L166" i="13"/>
  <c r="H166" i="13"/>
  <c r="I166" i="13" s="1"/>
  <c r="S52" i="12"/>
  <c r="V52" i="12"/>
  <c r="H251" i="13"/>
  <c r="I251" i="13" s="1"/>
  <c r="L251" i="13"/>
  <c r="T274" i="12"/>
  <c r="U274" i="12" s="1"/>
  <c r="X274" i="12"/>
  <c r="K249" i="12"/>
  <c r="L249" i="12" s="1"/>
  <c r="R249" i="12" s="1"/>
  <c r="S249" i="12" s="1"/>
  <c r="V249" i="12" s="1"/>
  <c r="L264" i="13"/>
  <c r="H264" i="13"/>
  <c r="I264" i="13" s="1"/>
  <c r="L256" i="13"/>
  <c r="H256" i="13"/>
  <c r="I256" i="13" s="1"/>
  <c r="L162" i="13"/>
  <c r="H162" i="13"/>
  <c r="I162" i="13" s="1"/>
  <c r="L156" i="13"/>
  <c r="H156" i="13"/>
  <c r="I156" i="13" s="1"/>
  <c r="L273" i="13"/>
  <c r="H273" i="13"/>
  <c r="I273" i="13" s="1"/>
  <c r="L267" i="13"/>
  <c r="H267" i="13"/>
  <c r="I267" i="13" s="1"/>
  <c r="L258" i="13"/>
  <c r="H258" i="13"/>
  <c r="I258" i="13" s="1"/>
  <c r="J67" i="13"/>
  <c r="O144" i="12"/>
  <c r="Q144" i="12" s="1"/>
  <c r="Q138" i="12" s="1"/>
  <c r="R138" i="12" s="1"/>
  <c r="S138" i="12" s="1"/>
  <c r="V138" i="12" s="1"/>
  <c r="O153" i="12"/>
  <c r="Q153" i="12" s="1"/>
  <c r="Q147" i="12" s="1"/>
  <c r="R147" i="12" s="1"/>
  <c r="O73" i="12"/>
  <c r="Q73" i="12" s="1"/>
  <c r="Q67" i="12" s="1"/>
  <c r="R67" i="12" s="1"/>
  <c r="S67" i="12" s="1"/>
  <c r="V67" i="12" s="1"/>
  <c r="O73" i="7"/>
  <c r="Q73" i="7" s="1"/>
  <c r="Q67" i="7" s="1"/>
  <c r="R67" i="7" s="1"/>
  <c r="S67" i="7" s="1"/>
  <c r="V67" i="7" s="1"/>
  <c r="O153" i="7"/>
  <c r="Q153" i="7" s="1"/>
  <c r="Q147" i="7" s="1"/>
  <c r="R147" i="7" s="1"/>
  <c r="S147" i="7" s="1"/>
  <c r="V147" i="7" s="1"/>
  <c r="O144" i="7"/>
  <c r="Q144" i="7" s="1"/>
  <c r="Q138" i="7" s="1"/>
  <c r="R138" i="7" s="1"/>
  <c r="S138" i="7" s="1"/>
  <c r="V138" i="7" s="1"/>
  <c r="S152" i="1"/>
  <c r="S91" i="1"/>
  <c r="S177" i="1"/>
  <c r="S231" i="1"/>
  <c r="S162" i="1"/>
  <c r="S173" i="1"/>
  <c r="S258" i="1"/>
  <c r="S161" i="1"/>
  <c r="S232" i="1"/>
  <c r="S172" i="1"/>
  <c r="S155" i="1"/>
  <c r="V247" i="1"/>
  <c r="V91" i="1"/>
  <c r="V204" i="1"/>
  <c r="V153" i="1"/>
  <c r="V196" i="1"/>
  <c r="S159" i="1"/>
  <c r="S157" i="1"/>
  <c r="S183" i="1"/>
  <c r="M57" i="1"/>
  <c r="O57" i="1" s="1"/>
  <c r="O51" i="1" s="1"/>
  <c r="P51" i="1" s="1"/>
  <c r="Q51" i="1" s="1"/>
  <c r="T51" i="1" s="1"/>
  <c r="M137" i="1"/>
  <c r="O137" i="1" s="1"/>
  <c r="O131" i="1" s="1"/>
  <c r="P131" i="1" s="1"/>
  <c r="M128" i="1"/>
  <c r="O128" i="1" s="1"/>
  <c r="O122" i="1" s="1"/>
  <c r="P122" i="1" s="1"/>
  <c r="M19" i="1"/>
  <c r="O19" i="1" s="1"/>
  <c r="O14" i="1" s="1"/>
  <c r="P14" i="1" s="1"/>
  <c r="Q14" i="1" s="1"/>
  <c r="T14" i="1" s="1"/>
  <c r="R248" i="1"/>
  <c r="V248" i="1"/>
  <c r="Q233" i="1"/>
  <c r="S121" i="1"/>
  <c r="S269" i="1"/>
  <c r="V64" i="1"/>
  <c r="V68" i="1"/>
  <c r="V258" i="1"/>
  <c r="S153" i="1"/>
  <c r="V152" i="1"/>
  <c r="V218" i="1"/>
  <c r="T265" i="1"/>
  <c r="R265" i="1" s="1"/>
  <c r="V109" i="1"/>
  <c r="T245" i="1"/>
  <c r="R245" i="1" s="1"/>
  <c r="T246" i="1"/>
  <c r="R246" i="1" s="1"/>
  <c r="V161" i="1"/>
  <c r="V172" i="1"/>
  <c r="V232" i="1"/>
  <c r="V155" i="1"/>
  <c r="V183" i="1"/>
  <c r="V121" i="1"/>
  <c r="T142" i="1"/>
  <c r="R142" i="1" s="1"/>
  <c r="T156" i="1"/>
  <c r="R156" i="1" s="1"/>
  <c r="V162" i="1"/>
  <c r="V177" i="1"/>
  <c r="V173" i="1"/>
  <c r="V231" i="1"/>
  <c r="V170" i="1"/>
  <c r="V252" i="1"/>
  <c r="V215" i="1"/>
  <c r="V269" i="1"/>
  <c r="T244" i="1"/>
  <c r="R244" i="1" s="1"/>
  <c r="T176" i="1"/>
  <c r="R176" i="1" s="1"/>
  <c r="T141" i="1"/>
  <c r="R141" i="1" s="1"/>
  <c r="T164" i="1"/>
  <c r="R164" i="1" s="1"/>
  <c r="T160" i="1"/>
  <c r="R160" i="1" s="1"/>
  <c r="T175" i="1"/>
  <c r="R175" i="1" s="1"/>
  <c r="T171" i="1"/>
  <c r="R171" i="1" s="1"/>
  <c r="V115" i="1"/>
  <c r="T143" i="1"/>
  <c r="R143" i="1" s="1"/>
  <c r="T243" i="1"/>
  <c r="R243" i="1" s="1"/>
  <c r="T174" i="1"/>
  <c r="R174" i="1" s="1"/>
  <c r="T148" i="1"/>
  <c r="R148" i="1" s="1"/>
  <c r="T158" i="1"/>
  <c r="R158" i="1" s="1"/>
  <c r="T242" i="1"/>
  <c r="R242" i="1" s="1"/>
  <c r="T241" i="1"/>
  <c r="R241" i="1" s="1"/>
  <c r="T163" i="1"/>
  <c r="R163" i="1" s="1"/>
  <c r="T179" i="1"/>
  <c r="R179" i="1" s="1"/>
  <c r="T144" i="1"/>
  <c r="R144" i="1" s="1"/>
  <c r="S47" i="1"/>
  <c r="S39" i="1"/>
  <c r="S26" i="1"/>
  <c r="S30" i="1"/>
  <c r="V60" i="1"/>
  <c r="I6" i="6"/>
  <c r="S196" i="1"/>
  <c r="S68" i="1"/>
  <c r="S115" i="1"/>
  <c r="T249" i="12" l="1"/>
  <c r="U249" i="12" s="1"/>
  <c r="X249" i="12"/>
  <c r="T147" i="7"/>
  <c r="U147" i="7" s="1"/>
  <c r="X147" i="7"/>
  <c r="T39" i="12"/>
  <c r="U39" i="12" s="1"/>
  <c r="X39" i="12"/>
  <c r="H67" i="13"/>
  <c r="I67" i="13" s="1"/>
  <c r="L67" i="13"/>
  <c r="T249" i="7"/>
  <c r="U249" i="7" s="1"/>
  <c r="X249" i="7"/>
  <c r="L231" i="13"/>
  <c r="H231" i="13"/>
  <c r="I231" i="13" s="1"/>
  <c r="X138" i="7"/>
  <c r="T138" i="7"/>
  <c r="U138" i="7" s="1"/>
  <c r="S147" i="12"/>
  <c r="V147" i="12" s="1"/>
  <c r="J147" i="13"/>
  <c r="X138" i="12"/>
  <c r="T138" i="12"/>
  <c r="U138" i="12" s="1"/>
  <c r="X52" i="12"/>
  <c r="T52" i="12"/>
  <c r="U52" i="12" s="1"/>
  <c r="X67" i="7"/>
  <c r="T67" i="7"/>
  <c r="U67" i="7" s="1"/>
  <c r="T67" i="12"/>
  <c r="U67" i="12" s="1"/>
  <c r="X67" i="12"/>
  <c r="J138" i="13"/>
  <c r="V175" i="1"/>
  <c r="V176" i="1"/>
  <c r="V164" i="1"/>
  <c r="V156" i="1"/>
  <c r="V246" i="1"/>
  <c r="V51" i="1"/>
  <c r="R51" i="1"/>
  <c r="S179" i="1"/>
  <c r="S241" i="1"/>
  <c r="S158" i="1"/>
  <c r="S174" i="1"/>
  <c r="S143" i="1"/>
  <c r="S171" i="1"/>
  <c r="S160" i="1"/>
  <c r="S141" i="1"/>
  <c r="S244" i="1"/>
  <c r="S142" i="1"/>
  <c r="S245" i="1"/>
  <c r="S265" i="1"/>
  <c r="V179" i="1"/>
  <c r="V241" i="1"/>
  <c r="V158" i="1"/>
  <c r="V174" i="1"/>
  <c r="V143" i="1"/>
  <c r="Q122" i="1"/>
  <c r="T122" i="1" s="1"/>
  <c r="R122" i="1" s="1"/>
  <c r="V265" i="1"/>
  <c r="S144" i="1"/>
  <c r="S163" i="1"/>
  <c r="S242" i="1"/>
  <c r="S148" i="1"/>
  <c r="S243" i="1"/>
  <c r="S175" i="1"/>
  <c r="S164" i="1"/>
  <c r="S176" i="1"/>
  <c r="S156" i="1"/>
  <c r="S246" i="1"/>
  <c r="V144" i="1"/>
  <c r="V163" i="1"/>
  <c r="V242" i="1"/>
  <c r="V148" i="1"/>
  <c r="V243" i="1"/>
  <c r="V171" i="1"/>
  <c r="V160" i="1"/>
  <c r="V141" i="1"/>
  <c r="V244" i="1"/>
  <c r="V142" i="1"/>
  <c r="T233" i="1"/>
  <c r="R233" i="1" s="1"/>
  <c r="V245" i="1"/>
  <c r="S248" i="1"/>
  <c r="V14" i="1"/>
  <c r="R14" i="1"/>
  <c r="Q131" i="1"/>
  <c r="S51" i="1"/>
  <c r="T147" i="12" l="1"/>
  <c r="U147" i="12" s="1"/>
  <c r="X147" i="12"/>
  <c r="L138" i="13"/>
  <c r="H138" i="13"/>
  <c r="I138" i="13" s="1"/>
  <c r="L147" i="13"/>
  <c r="H147" i="13"/>
  <c r="I147" i="13" s="1"/>
  <c r="S233" i="1"/>
  <c r="S122" i="1"/>
  <c r="V233" i="1"/>
  <c r="T131" i="1"/>
  <c r="R131" i="1" s="1"/>
  <c r="S14" i="1"/>
  <c r="V122" i="1"/>
  <c r="S131" i="1" l="1"/>
  <c r="V131" i="1"/>
</calcChain>
</file>

<file path=xl/sharedStrings.xml><?xml version="1.0" encoding="utf-8"?>
<sst xmlns="http://schemas.openxmlformats.org/spreadsheetml/2006/main" count="6194" uniqueCount="730">
  <si>
    <t>№ п/п</t>
  </si>
  <si>
    <t>Обоснование</t>
  </si>
  <si>
    <t>Наименование работ и газового оборудования</t>
  </si>
  <si>
    <t>Единица измерения</t>
  </si>
  <si>
    <t>Состав исполнителей</t>
  </si>
  <si>
    <t>Часовой ФОТ, руб.</t>
  </si>
  <si>
    <t>Трудозатраты на ед.изм., чел.ч</t>
  </si>
  <si>
    <t>Фонд оплаты труда, руб.</t>
  </si>
  <si>
    <t>Соц. страх.</t>
  </si>
  <si>
    <t>Наименование материалов</t>
  </si>
  <si>
    <t>Ед. изм.</t>
  </si>
  <si>
    <t>Цена за ед.,
без НДС</t>
  </si>
  <si>
    <t>количество</t>
  </si>
  <si>
    <t>Стоимость материалов</t>
  </si>
  <si>
    <t>Накладные расходы</t>
  </si>
  <si>
    <t>Цена услуги, с НДС</t>
  </si>
  <si>
    <t>Цена услуги без НДС, руб.</t>
  </si>
  <si>
    <t>Итого прямые затраты, руб.</t>
  </si>
  <si>
    <t>объект</t>
  </si>
  <si>
    <t>Итого затраты на  оплату труда, руб.</t>
  </si>
  <si>
    <t>НДС, руб.</t>
  </si>
  <si>
    <t>Обрезка внутридомового газопровода с установкой сварной заглушки при диаметре газопровода до 32 мм</t>
  </si>
  <si>
    <t>обрезка</t>
  </si>
  <si>
    <t>м3</t>
  </si>
  <si>
    <t>кг</t>
  </si>
  <si>
    <t>шт.</t>
  </si>
  <si>
    <t>кран</t>
  </si>
  <si>
    <t>МНВ</t>
  </si>
  <si>
    <t>м</t>
  </si>
  <si>
    <t>мастер</t>
  </si>
  <si>
    <t>плита</t>
  </si>
  <si>
    <t>Демонтаж газовой плиты с установкой заглушки (со сваркой)</t>
  </si>
  <si>
    <t>Замена стола плиты</t>
  </si>
  <si>
    <t>Замена верхней горелки плиты</t>
  </si>
  <si>
    <t>Замена горелки духового шкафа</t>
  </si>
  <si>
    <t>Замена сопла горелки</t>
  </si>
  <si>
    <t>Замена смесителя горелки</t>
  </si>
  <si>
    <t>Замена газоподводящей трубки верхней горелки</t>
  </si>
  <si>
    <t>Замена прокладок газоподводящей трубки</t>
  </si>
  <si>
    <t>Замена (или ремонт) дверки духового шкафа</t>
  </si>
  <si>
    <t>Замена балансира дверки духового шкафа</t>
  </si>
  <si>
    <t>Замена пружины дверки духового шкафа</t>
  </si>
  <si>
    <t>Замена стекла дверки духового шкафа</t>
  </si>
  <si>
    <t>Замена подсветки духового шкафа</t>
  </si>
  <si>
    <t>Замена ручки дверки духового шкафа</t>
  </si>
  <si>
    <t>Замена привода вертела духового шкафа</t>
  </si>
  <si>
    <t>Замена терморегулятора духового шкафа</t>
  </si>
  <si>
    <t>Замена крана плиты</t>
  </si>
  <si>
    <t>Замена электророзжига  при гибкой прицепке</t>
  </si>
  <si>
    <t>Замена электророзжига  при жесткой прицепке</t>
  </si>
  <si>
    <t>Замена разрядника блока пъезорозжига</t>
  </si>
  <si>
    <t>Регулировка горения горелок духового шкафа плиты</t>
  </si>
  <si>
    <t>Прочистка, калибровка сопла горелки плиты</t>
  </si>
  <si>
    <t xml:space="preserve">Настройка электромагнитного клапана (ЭМК)  плиты </t>
  </si>
  <si>
    <t>Чистка форсунки</t>
  </si>
  <si>
    <t>Чистка подводящих трубок к горелкам</t>
  </si>
  <si>
    <t>Чистка горелки духового шкафа</t>
  </si>
  <si>
    <t>Чистка регулятора подачи воздуха</t>
  </si>
  <si>
    <t xml:space="preserve">Замена регулятора давления </t>
  </si>
  <si>
    <t>Замена шланга и прокладки регулятора</t>
  </si>
  <si>
    <t>Демонтаж газовой плиты и проточного водонагревателя с установкой заглушки (со сваркой)</t>
  </si>
  <si>
    <t>Замена блок-крана ВПГ</t>
  </si>
  <si>
    <t>Замена газовой части блок-крана ВПГ</t>
  </si>
  <si>
    <t>Замена водяного регулятора</t>
  </si>
  <si>
    <t>Замена штока газовой части блок-крана</t>
  </si>
  <si>
    <t>Замена штока водяной части блок-крана</t>
  </si>
  <si>
    <t>Замена мембраны водяной части блок-крана</t>
  </si>
  <si>
    <t>Замена запальника</t>
  </si>
  <si>
    <t>Замена направляющей планки запальника ВПГ</t>
  </si>
  <si>
    <t>Замена водяной части ВПГ</t>
  </si>
  <si>
    <t>Замена теплообменника ВПГ</t>
  </si>
  <si>
    <t>Замена сопла основной горелки</t>
  </si>
  <si>
    <t>Замена сопел основной горелки</t>
  </si>
  <si>
    <t>Замена подводящей трубки холодной воды</t>
  </si>
  <si>
    <t>Замена отводящей трубки горячей воды</t>
  </si>
  <si>
    <t>Замена трубки запальника</t>
  </si>
  <si>
    <t>Замена электромагнитного клапана ВПГ</t>
  </si>
  <si>
    <t>Замена датчика тяги</t>
  </si>
  <si>
    <t>Замена прокладки водорегулятора</t>
  </si>
  <si>
    <t>Замена прокладки к газоподводящей трубке</t>
  </si>
  <si>
    <t>Замена прокладки газового узла или смесителя</t>
  </si>
  <si>
    <t>Замена термопары</t>
  </si>
  <si>
    <t>Замена ручки ВПГ</t>
  </si>
  <si>
    <t>Прочистка штуцера водяной части</t>
  </si>
  <si>
    <t>Прочистка запальника</t>
  </si>
  <si>
    <t>Прочистка, калибровка сопла горелки</t>
  </si>
  <si>
    <t>Прочистка сопла водяного узла</t>
  </si>
  <si>
    <t>Прочистка сетки водяного редуктора с заменой прокладки</t>
  </si>
  <si>
    <t>Чистка горелки</t>
  </si>
  <si>
    <t>Высечка штуцера водяной части с корректировкой резьбы</t>
  </si>
  <si>
    <t>Установка подводящей трубки холодной воды</t>
  </si>
  <si>
    <t>Установка отводящей трубки горячей воды</t>
  </si>
  <si>
    <t>Развальцовка подводящей трубки холодной воды с заменой гайки или штуцера</t>
  </si>
  <si>
    <t>Смазка пробки блок-крана</t>
  </si>
  <si>
    <t>Смазка штока газового узла</t>
  </si>
  <si>
    <t>Регулировка штока газового узла</t>
  </si>
  <si>
    <t>Устранение течи воды в резьбовом соединении</t>
  </si>
  <si>
    <t>Промывка калорифера</t>
  </si>
  <si>
    <t>Снятие огневой камеры</t>
  </si>
  <si>
    <t>Установка огневой камеры</t>
  </si>
  <si>
    <t>Крепление корпуса горелки ВПГ</t>
  </si>
  <si>
    <t>Закрепление водонагревателя</t>
  </si>
  <si>
    <t>Замена элемента питания ВПГ</t>
  </si>
  <si>
    <t>Замена дисплея</t>
  </si>
  <si>
    <t>Замена блока батарей питания</t>
  </si>
  <si>
    <t>Замена электрода розжига горелки, контроля пламени</t>
  </si>
  <si>
    <t>Замена датчика перегрева</t>
  </si>
  <si>
    <t>Замена кожуха облицовки (лицевой крышки)</t>
  </si>
  <si>
    <t xml:space="preserve">Замена электронного блока управления </t>
  </si>
  <si>
    <t>Замена газового крана на газопроводе диаметром  до 32 мм</t>
  </si>
  <si>
    <t>Устранение утечки газа в муфтовом соединении внутреннего газопровода диаметром до 50 мм</t>
  </si>
  <si>
    <t>Отключение газового прибора с установкой заглушки (без сварки)</t>
  </si>
  <si>
    <t>Подключение газового прибора со снятием заглушки</t>
  </si>
  <si>
    <t>Отключение и подключение газового прибора без отсоединения  (установка и снятие пломбы "Сармат" на кран при временном отключении газа) без установки хомута</t>
  </si>
  <si>
    <t>штуцер</t>
  </si>
  <si>
    <t>11.1.95.</t>
  </si>
  <si>
    <t>Изготовление паронитовой прокладки</t>
  </si>
  <si>
    <t>Изготовление резиновой прокладки</t>
  </si>
  <si>
    <t>11.1.96.</t>
  </si>
  <si>
    <t>Изготовление переходника с 1/2" на 3/4"</t>
  </si>
  <si>
    <t>Ремонт огневой камеры (сварка змеевика)</t>
  </si>
  <si>
    <t>Ремонт огневой камеры (установка заплаты)</t>
  </si>
  <si>
    <t>Инструктаж для нарушителей пользования газом</t>
  </si>
  <si>
    <t>Инструктаж для водителей автомобилей, работащих на газовом топливе.</t>
  </si>
  <si>
    <t>Инструктаж абонента по самостоятельной замене 50-литровых баллонов СУГ</t>
  </si>
  <si>
    <t>Инструктаж абонента по самостоятельной перевозке и замене 50-литровых баллонов СУГ</t>
  </si>
  <si>
    <t>Использование а/машины ИЖ 2715</t>
  </si>
  <si>
    <t>Использование а/машины УАЗ-3909</t>
  </si>
  <si>
    <t>Использование а/машины ВАЗ-2106</t>
  </si>
  <si>
    <t>Использование а/машины Газель</t>
  </si>
  <si>
    <t>Выдача копий архивных документов населению</t>
  </si>
  <si>
    <t>Выдача справки о наличии задолженности</t>
  </si>
  <si>
    <t>Выдача справки по демонтированному газовому оборудованию</t>
  </si>
  <si>
    <t>Снятие ксерокопии документа</t>
  </si>
  <si>
    <t>Выдача дубликата квитанции по уплате за газ в баллонах по заявлению</t>
  </si>
  <si>
    <t>Регистрация газового оборудования (установленного другими организациями)</t>
  </si>
  <si>
    <t>Выдача согласования на перепланировку квартиры</t>
  </si>
  <si>
    <t>Возмещение непроизводительных расходов по доставке газа в баллонах по вине абонента</t>
  </si>
  <si>
    <t>Возмещение непроизводительных расходов при нарушении пользования газом</t>
  </si>
  <si>
    <t>Возмещение непроизводительных расходов на повторный выезд специалиста для разработки эскиза</t>
  </si>
  <si>
    <t>↓Заполнить↓</t>
  </si>
  <si>
    <t>Тарифная ставка рабочего 1 разряда</t>
  </si>
  <si>
    <t>руб.</t>
  </si>
  <si>
    <t>РК и СН</t>
  </si>
  <si>
    <t>%</t>
  </si>
  <si>
    <t>% премии</t>
  </si>
  <si>
    <t>Коэф-т оплаты отпуска</t>
  </si>
  <si>
    <t>Кол-во рабочих часов в году</t>
  </si>
  <si>
    <t>час.</t>
  </si>
  <si>
    <t>% накладные расходы</t>
  </si>
  <si>
    <t>Рентабельность</t>
  </si>
  <si>
    <t>Наименование должности</t>
  </si>
  <si>
    <t>Кратность</t>
  </si>
  <si>
    <t>Оклад, руб.</t>
  </si>
  <si>
    <t>Доплата, руб.</t>
  </si>
  <si>
    <t>Премия, руб.</t>
  </si>
  <si>
    <t>РК и СН, руб.</t>
  </si>
  <si>
    <t>ФОТ, руб.</t>
  </si>
  <si>
    <t>ФОТ часовой, руб.</t>
  </si>
  <si>
    <t>ФОТ часовой с коэф-том оплаты отпуска, руб.</t>
  </si>
  <si>
    <t>слесарь 2 р</t>
  </si>
  <si>
    <t>слесарь 3 р</t>
  </si>
  <si>
    <t>слесарь 4 р</t>
  </si>
  <si>
    <t>инженер 1 кат.</t>
  </si>
  <si>
    <t>штуцер 1-рожковый</t>
  </si>
  <si>
    <t>штуцер 2-рожковый</t>
  </si>
  <si>
    <t>эл.газосв.5 р</t>
  </si>
  <si>
    <t>вызов</t>
  </si>
  <si>
    <t>сл. 3-4 р</t>
  </si>
  <si>
    <t>2.1.9</t>
  </si>
  <si>
    <t>2.4.7</t>
  </si>
  <si>
    <t>2.4.25</t>
  </si>
  <si>
    <t>10.2.2</t>
  </si>
  <si>
    <t>10.2.1</t>
  </si>
  <si>
    <t>10.2.3</t>
  </si>
  <si>
    <t>стол</t>
  </si>
  <si>
    <t>10.2.6</t>
  </si>
  <si>
    <t>горелка</t>
  </si>
  <si>
    <t>10.2.7</t>
  </si>
  <si>
    <t>10.2.8</t>
  </si>
  <si>
    <t>сопло</t>
  </si>
  <si>
    <t>10.2.9</t>
  </si>
  <si>
    <t>смеситель</t>
  </si>
  <si>
    <t>10.2.10</t>
  </si>
  <si>
    <t>трубка</t>
  </si>
  <si>
    <t>10.2.11</t>
  </si>
  <si>
    <t>прокладка</t>
  </si>
  <si>
    <t>10.2.13</t>
  </si>
  <si>
    <t>дверка</t>
  </si>
  <si>
    <t>10.2.14</t>
  </si>
  <si>
    <t>деталь</t>
  </si>
  <si>
    <t>10.2.15</t>
  </si>
  <si>
    <t>пружина</t>
  </si>
  <si>
    <t>10.2.16</t>
  </si>
  <si>
    <t>стекло</t>
  </si>
  <si>
    <t>10.2.18</t>
  </si>
  <si>
    <t>10.2.19</t>
  </si>
  <si>
    <t>10.2.20</t>
  </si>
  <si>
    <t>операция</t>
  </si>
  <si>
    <t>10.2.21</t>
  </si>
  <si>
    <t>10.2.22</t>
  </si>
  <si>
    <t>10.2.25</t>
  </si>
  <si>
    <t>10.2.26</t>
  </si>
  <si>
    <t>10.2.31</t>
  </si>
  <si>
    <t>шланг</t>
  </si>
  <si>
    <t>10.2.34</t>
  </si>
  <si>
    <t>10.2.36</t>
  </si>
  <si>
    <t>10.2.37</t>
  </si>
  <si>
    <t>10.2.39</t>
  </si>
  <si>
    <t>ЭМК</t>
  </si>
  <si>
    <t>10.2.40</t>
  </si>
  <si>
    <t>форсунка</t>
  </si>
  <si>
    <t>10.2.41</t>
  </si>
  <si>
    <t>10.2.42</t>
  </si>
  <si>
    <t>10.2.43</t>
  </si>
  <si>
    <t>регулятор</t>
  </si>
  <si>
    <t>10.2.47</t>
  </si>
  <si>
    <t>10.2.49</t>
  </si>
  <si>
    <t>10.2.52</t>
  </si>
  <si>
    <t>2.4.27</t>
  </si>
  <si>
    <t>прибор</t>
  </si>
  <si>
    <t>10.2.53, 2.1.9</t>
  </si>
  <si>
    <t>плита, водонагреватель</t>
  </si>
  <si>
    <t>10.2.2, 10.2.53, 2.1.9</t>
  </si>
  <si>
    <t>10.2.54</t>
  </si>
  <si>
    <t>10.2.58</t>
  </si>
  <si>
    <t>Водонагреватель проточный газовый (ВПГ)</t>
  </si>
  <si>
    <t>Замена ВПГ без изменения подводки с пуском газа и регулировкой работы прибора</t>
  </si>
  <si>
    <t>Демонтаж ВПГ с установкой заглушки</t>
  </si>
  <si>
    <t>Демонтаж ВПГ с установкой заглушки (со сваркой)</t>
  </si>
  <si>
    <t>ВПГ</t>
  </si>
  <si>
    <t>Замена горелки ВПГ</t>
  </si>
  <si>
    <t>блок-кран</t>
  </si>
  <si>
    <t>10.2.64</t>
  </si>
  <si>
    <t>10.2.71</t>
  </si>
  <si>
    <t>10.2.72</t>
  </si>
  <si>
    <t>шток</t>
  </si>
  <si>
    <t>10.2.74</t>
  </si>
  <si>
    <t>мембрана</t>
  </si>
  <si>
    <t>10.2.75</t>
  </si>
  <si>
    <t>запальник</t>
  </si>
  <si>
    <t>10.2.76</t>
  </si>
  <si>
    <t>10.2.84</t>
  </si>
  <si>
    <t>10.2.90</t>
  </si>
  <si>
    <t>теплообменник</t>
  </si>
  <si>
    <t>клапан</t>
  </si>
  <si>
    <t>10.2.93</t>
  </si>
  <si>
    <t>13 сопел</t>
  </si>
  <si>
    <t>10.2.94</t>
  </si>
  <si>
    <t>10.2.95</t>
  </si>
  <si>
    <t>10.2.97</t>
  </si>
  <si>
    <t>10.2.98</t>
  </si>
  <si>
    <t>10.2.99</t>
  </si>
  <si>
    <t>датчик</t>
  </si>
  <si>
    <t>10.2.100</t>
  </si>
  <si>
    <t>10.2.101</t>
  </si>
  <si>
    <t>10.2.102</t>
  </si>
  <si>
    <t>10.2.103</t>
  </si>
  <si>
    <t>термопара</t>
  </si>
  <si>
    <t>10.2.104</t>
  </si>
  <si>
    <t>ручка</t>
  </si>
  <si>
    <t>сальник</t>
  </si>
  <si>
    <t>10.2.107</t>
  </si>
  <si>
    <t>10.2.108</t>
  </si>
  <si>
    <t>10.2.109</t>
  </si>
  <si>
    <t>10.2.110</t>
  </si>
  <si>
    <t>10.2.111</t>
  </si>
  <si>
    <t>10.2.114</t>
  </si>
  <si>
    <t>10.2.115</t>
  </si>
  <si>
    <t>10.2.117</t>
  </si>
  <si>
    <t>10.2.119</t>
  </si>
  <si>
    <t>10.2.122</t>
  </si>
  <si>
    <t>10.2.124</t>
  </si>
  <si>
    <t>10.2.125</t>
  </si>
  <si>
    <t>10.2.126</t>
  </si>
  <si>
    <t>10.2.127</t>
  </si>
  <si>
    <t>10.2.130</t>
  </si>
  <si>
    <t>10.2.131</t>
  </si>
  <si>
    <t>10.2.132</t>
  </si>
  <si>
    <t>10.2.133</t>
  </si>
  <si>
    <t>10.2.135</t>
  </si>
  <si>
    <t>Прочие работы</t>
  </si>
  <si>
    <t>10.2.207</t>
  </si>
  <si>
    <t>слесарь 5 р</t>
  </si>
  <si>
    <t>10.2.208</t>
  </si>
  <si>
    <t>участок</t>
  </si>
  <si>
    <t>10.2.209</t>
  </si>
  <si>
    <t>10.2.210</t>
  </si>
  <si>
    <t>сгон</t>
  </si>
  <si>
    <t>10.2.211</t>
  </si>
  <si>
    <t>соединение</t>
  </si>
  <si>
    <t>10.2.217</t>
  </si>
  <si>
    <t>10.2.218</t>
  </si>
  <si>
    <t>10.2.219</t>
  </si>
  <si>
    <t>токарь 6 р</t>
  </si>
  <si>
    <t>11.1.87</t>
  </si>
  <si>
    <t>11.1.88</t>
  </si>
  <si>
    <t>переходник</t>
  </si>
  <si>
    <t>11.1.45</t>
  </si>
  <si>
    <t>Ремонт газовой горелки ВПГ</t>
  </si>
  <si>
    <t>Ремонт газового блока ВПГ</t>
  </si>
  <si>
    <t>11.1.47</t>
  </si>
  <si>
    <t>11.1.68</t>
  </si>
  <si>
    <t>чел.</t>
  </si>
  <si>
    <t>14.5</t>
  </si>
  <si>
    <t>14.6</t>
  </si>
  <si>
    <t>14.7</t>
  </si>
  <si>
    <t>14.8</t>
  </si>
  <si>
    <t>час</t>
  </si>
  <si>
    <t>км</t>
  </si>
  <si>
    <t>1.4.13</t>
  </si>
  <si>
    <t>абонент</t>
  </si>
  <si>
    <t>бухгалтер АО</t>
  </si>
  <si>
    <t>Раздел 6. Инструктаж должностных лиц и потребителей газа</t>
  </si>
  <si>
    <t>Возмещение непроизводительных расходов на восстановление газоснабжения у абонентов, допустивших самовольное подключение газовых приборов</t>
  </si>
  <si>
    <t>секретарь</t>
  </si>
  <si>
    <t>документ</t>
  </si>
  <si>
    <t>Раздел 7. Прочие услуги</t>
  </si>
  <si>
    <t>водитель (Газель)</t>
  </si>
  <si>
    <t>водитель (УАЗ)</t>
  </si>
  <si>
    <t>водитель (ИЖ-2715)</t>
  </si>
  <si>
    <t>водитель (ВАЗ-2106)</t>
  </si>
  <si>
    <t>прирост в %</t>
  </si>
  <si>
    <t>ацетилен</t>
  </si>
  <si>
    <t>кислород</t>
  </si>
  <si>
    <t>Цена закупочная с НДС, руб.</t>
  </si>
  <si>
    <t>Цена закупочная без НДС, руб.</t>
  </si>
  <si>
    <t>Цена закупочная без НДС за ед.изм., руб.</t>
  </si>
  <si>
    <t>баллон</t>
  </si>
  <si>
    <t>мыло</t>
  </si>
  <si>
    <t>ветошь</t>
  </si>
  <si>
    <t>электроды</t>
  </si>
  <si>
    <t>прокладка паронитовая</t>
  </si>
  <si>
    <t>шнур асбестовый</t>
  </si>
  <si>
    <t>прокладка резиновая</t>
  </si>
  <si>
    <t>лента ФУМ 10 мм</t>
  </si>
  <si>
    <t>контрагайка Ду 15 мм</t>
  </si>
  <si>
    <t>муфта Ду 15 мм</t>
  </si>
  <si>
    <t>угольник Ду 15 мм</t>
  </si>
  <si>
    <t>хомутики для крепления резиновых шлангов</t>
  </si>
  <si>
    <t>тонна</t>
  </si>
  <si>
    <t>сварочная проволока СВ08А (3 мм)</t>
  </si>
  <si>
    <t>круг отрезной 150*22*2,5 мм</t>
  </si>
  <si>
    <t>10.2</t>
  </si>
  <si>
    <t>2.2.3</t>
  </si>
  <si>
    <t>Прокладка с пневматическим испытанием внутридомового газопровода диаметром до 50 мм</t>
  </si>
  <si>
    <t>сварная заглушка</t>
  </si>
  <si>
    <t>10.2.67</t>
  </si>
  <si>
    <t>выезд</t>
  </si>
  <si>
    <t>водитель (ЗИЛ)</t>
  </si>
  <si>
    <t>слесарь</t>
  </si>
  <si>
    <t>в т.ч.</t>
  </si>
  <si>
    <t xml:space="preserve">переходник </t>
  </si>
  <si>
    <t>Перестановка газовой плиты с пуском газа</t>
  </si>
  <si>
    <t>Сверление отверстий в стене здания для прокладки газопровода</t>
  </si>
  <si>
    <t>2.2.9</t>
  </si>
  <si>
    <t>отверстие</t>
  </si>
  <si>
    <t>петля</t>
  </si>
  <si>
    <t>Оповещение и отключение жилых домов на период ремонтных работ</t>
  </si>
  <si>
    <t>10.2.223</t>
  </si>
  <si>
    <t>3 р. (на доставке баллонов)</t>
  </si>
  <si>
    <t>Вызов слесаря для выполнения ремонта (Прием заявки диспетчером и проезд (переход) к объекту и обратно)</t>
  </si>
  <si>
    <t>Установка/замена гибкого шланга к плите (без стоимости шланга)</t>
  </si>
  <si>
    <t>приемщик заказов</t>
  </si>
  <si>
    <t>(с/пр-во)</t>
  </si>
  <si>
    <t>Обрезка внутридомового газопровода без установки сварной заглушки при диаметре газопровода до 32 мм</t>
  </si>
  <si>
    <t>в т.ч.:</t>
  </si>
  <si>
    <t>Наименование и стоимость материалов, используемых при выполнении работ:</t>
  </si>
  <si>
    <t>Индекс-дефлятор</t>
  </si>
  <si>
    <t>труба ВГП 15*2,8</t>
  </si>
  <si>
    <t>прокладка паронитовая  1/2 для баллонов</t>
  </si>
  <si>
    <t>Перестановка газовой плиты с пуском газа (без применения сварки, без стоимости материалов)</t>
  </si>
  <si>
    <t>Замена ВПГ на гибкое соединение с пуском газа и регулировкой работы прибора (без стоимости гибкой подводки)</t>
  </si>
  <si>
    <t>Замена участка внутридомового газопровода длиной до одного метра диаметром 15 мм</t>
  </si>
  <si>
    <t>труба ВГП 32*3,2</t>
  </si>
  <si>
    <t>То же, на каждый дополнительный один метр газопровода диаметром 15 мм</t>
  </si>
  <si>
    <t>То же, на каждый дополнительный один метр газопровода диаметром 32 мм</t>
  </si>
  <si>
    <t>сгон 1/2</t>
  </si>
  <si>
    <t>Замена сгона внутреннего газопровода диаметром до 25 мм</t>
  </si>
  <si>
    <t>проволока ЛОК</t>
  </si>
  <si>
    <t>лист медный</t>
  </si>
  <si>
    <t>Расчет СУГ для транспорта</t>
  </si>
  <si>
    <t>Марка, модель ТС</t>
  </si>
  <si>
    <t>Расход СУГ, л на 100 км</t>
  </si>
  <si>
    <t>Средняя скорость, км/ч</t>
  </si>
  <si>
    <t>Расход л в час на 49 км</t>
  </si>
  <si>
    <t>Переводной коэффициент, кг/л</t>
  </si>
  <si>
    <t>Расход в кг</t>
  </si>
  <si>
    <t>летняя норма</t>
  </si>
  <si>
    <t>зимняя норма</t>
  </si>
  <si>
    <t>средняя норма</t>
  </si>
  <si>
    <t>на холодный период</t>
  </si>
  <si>
    <t>на теплый период</t>
  </si>
  <si>
    <t>ЗИЛ</t>
  </si>
  <si>
    <t>ВАЗ-2106</t>
  </si>
  <si>
    <t>Газель</t>
  </si>
  <si>
    <t>ИЖ-2715</t>
  </si>
  <si>
    <t>УАЗ</t>
  </si>
  <si>
    <t>ГАЗ 3307</t>
  </si>
  <si>
    <t>тыс руб/т</t>
  </si>
  <si>
    <t>Цена за газ</t>
  </si>
  <si>
    <t>Стоимость СУГ, руб. (для 1 км)</t>
  </si>
  <si>
    <t>Стоимость СУГ, руб. (для 1 часа)</t>
  </si>
  <si>
    <t>хомут со шпилькой и дюбелем</t>
  </si>
  <si>
    <t>Ед. изм., закупается в …</t>
  </si>
  <si>
    <t>Ед. изм. для Прейскуранта</t>
  </si>
  <si>
    <t>Соотношение закупочных ед.изм. с ед.изм. в Прейскуранте</t>
  </si>
  <si>
    <t>Замена газовой плиты с пуском газа и регулировкой работы горелок плиты (на гибкое соединение) (без стоимости материалов)</t>
  </si>
  <si>
    <t>Замена газовой плиты на газовую варочную поверхность (на гибкое соединение) (без стоимости материалов)</t>
  </si>
  <si>
    <t>Установка отдельного духового шкафа (на гибкое соединение) (без стоимости материалов)</t>
  </si>
  <si>
    <t>Раздел 5. Ремонт газового оборудования</t>
  </si>
  <si>
    <t>Действующая цена</t>
  </si>
  <si>
    <t>Паронит</t>
  </si>
  <si>
    <t>Изготовление штуцера 1-рожкового</t>
  </si>
  <si>
    <t>Изготовление штуцера 2-рожкового</t>
  </si>
  <si>
    <t>поставила РК и СН 65%, тк только в птз токарь изготавливает материалы</t>
  </si>
  <si>
    <t>Замена микровыключателя</t>
  </si>
  <si>
    <t>Замена блока клапанов (сервоклапана)</t>
  </si>
  <si>
    <t>блок клапанов</t>
  </si>
  <si>
    <t>% изменения</t>
  </si>
  <si>
    <t>Изготовление заглушки 1/2</t>
  </si>
  <si>
    <t>11.1.103</t>
  </si>
  <si>
    <t>заглушка</t>
  </si>
  <si>
    <t>Изготовление заглушки 3/4</t>
  </si>
  <si>
    <t>техпластина ТМКЩ</t>
  </si>
  <si>
    <t>шестиграник</t>
  </si>
  <si>
    <t>4.1</t>
  </si>
  <si>
    <t>4.2</t>
  </si>
  <si>
    <t>4.3</t>
  </si>
  <si>
    <t>4.4</t>
  </si>
  <si>
    <t>4.5</t>
  </si>
  <si>
    <t>4.6</t>
  </si>
  <si>
    <t>4.7</t>
  </si>
  <si>
    <t>4.8</t>
  </si>
  <si>
    <t>4.9</t>
  </si>
  <si>
    <t>7.9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</si>
  <si>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</si>
  <si>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</si>
  <si>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</si>
  <si>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</si>
  <si>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</si>
  <si>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</si>
  <si>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</si>
  <si>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</si>
  <si>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</si>
  <si>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</si>
  <si>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</si>
  <si>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</si>
  <si>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</si>
  <si>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</si>
  <si>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</si>
  <si>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</si>
  <si>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</si>
  <si>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</si>
  <si>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</si>
  <si>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</si>
  <si>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</si>
  <si>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</si>
  <si>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</si>
  <si>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</si>
  <si>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</si>
  <si>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</si>
  <si>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</si>
  <si>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</si>
  <si>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</si>
  <si>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</si>
  <si>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</si>
  <si>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</si>
  <si>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</si>
  <si>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</si>
  <si>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4.45</t>
  </si>
  <si>
    <t>4.44</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</si>
  <si>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</si>
  <si>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</si>
  <si>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</si>
  <si>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</si>
  <si>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</si>
  <si>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</si>
  <si>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</si>
  <si>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</si>
  <si>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</si>
  <si>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</si>
  <si>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</si>
  <si>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</si>
  <si>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</si>
  <si>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</si>
  <si>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</si>
  <si>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</si>
  <si>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</si>
  <si>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</si>
  <si>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</si>
  <si>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</si>
  <si>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</si>
  <si>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</si>
  <si>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</si>
  <si>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</si>
  <si>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</si>
  <si>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</si>
  <si>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</si>
  <si>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</si>
  <si>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</si>
  <si>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</si>
  <si>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</si>
  <si>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</si>
  <si>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</si>
  <si>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</si>
  <si>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</si>
  <si>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</si>
  <si>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</si>
  <si>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</si>
  <si>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</si>
  <si>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</si>
  <si>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</si>
  <si>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</si>
  <si>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</si>
  <si>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</si>
  <si>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</si>
  <si>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</si>
  <si>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</si>
  <si>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</si>
  <si>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</si>
  <si>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</si>
  <si>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</si>
  <si>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</si>
  <si>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</si>
  <si>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</si>
  <si>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</si>
  <si>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</si>
  <si>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</si>
  <si>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</si>
  <si>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</si>
  <si>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5.1</t>
  </si>
  <si>
    <t>5.2</t>
  </si>
  <si>
    <t>5.3</t>
  </si>
  <si>
    <t>5.4</t>
  </si>
  <si>
    <t>6.1</t>
  </si>
  <si>
    <t>6.2</t>
  </si>
  <si>
    <t>6.8</t>
  </si>
  <si>
    <t>6.3</t>
  </si>
  <si>
    <t>7.2</t>
  </si>
  <si>
    <t>6.4</t>
  </si>
  <si>
    <t>6.5</t>
  </si>
  <si>
    <t>6.6</t>
  </si>
  <si>
    <t>6.7</t>
  </si>
  <si>
    <t>7.1</t>
  </si>
  <si>
    <t>7.3</t>
  </si>
  <si>
    <t>7.4</t>
  </si>
  <si>
    <t>7.5</t>
  </si>
  <si>
    <t>7.6</t>
  </si>
  <si>
    <t>7.7</t>
  </si>
  <si>
    <t>7.8</t>
  </si>
  <si>
    <t>7.10</t>
  </si>
  <si>
    <t>7.11</t>
  </si>
  <si>
    <t>7.12</t>
  </si>
  <si>
    <t>7.13</t>
  </si>
  <si>
    <t>7.14</t>
  </si>
  <si>
    <t>7.15</t>
  </si>
  <si>
    <t>6.9</t>
  </si>
  <si>
    <t>Выдача копии утерянного удостоверения по самостоятельной перевозке и замене 50-литровых баллонов СУГ</t>
  </si>
  <si>
    <r>
      <t xml:space="preserve">Установка крана при монтаже внутридомового газового оборудования </t>
    </r>
    <r>
      <rPr>
        <b/>
        <sz val="10"/>
        <color theme="1"/>
        <rFont val="Times New Roman"/>
        <family val="1"/>
        <charset val="204"/>
      </rPr>
      <t>при диаметре 15 - 20 мм</t>
    </r>
    <r>
      <rPr>
        <sz val="10"/>
        <color theme="1"/>
        <rFont val="Times New Roman"/>
        <family val="1"/>
        <charset val="204"/>
      </rPr>
      <t xml:space="preserve"> (без стоимости крана)</t>
    </r>
  </si>
  <si>
    <t>Калькуляция на услуги, оказываемые АО "Карелгаз" населению по ремонтным работам, работам по монтажу и замене газового оборудования,
действующая с "____" ___________________ 20___ года</t>
  </si>
  <si>
    <t>Заместитель генерального директора - главный инженер</t>
  </si>
  <si>
    <t>_________________</t>
  </si>
  <si>
    <t>В.С. Кукрашев</t>
  </si>
  <si>
    <t>Заместитель генерального директора по экономике и финансам</t>
  </si>
  <si>
    <t>Ю.В. Чушкова</t>
  </si>
  <si>
    <r>
      <t xml:space="preserve">Перестановка газовой плиты с пуском газа (с применением сварки) </t>
    </r>
    <r>
      <rPr>
        <b/>
        <sz val="10"/>
        <rFont val="Times New Roman"/>
        <family val="1"/>
        <charset val="204"/>
      </rPr>
      <t>при централизованном газоснабжении</t>
    </r>
  </si>
  <si>
    <r>
      <t xml:space="preserve">Перестановка газовой плиты с пуском газа (с применением сварки) </t>
    </r>
    <r>
      <rPr>
        <b/>
        <sz val="10"/>
        <rFont val="Times New Roman"/>
        <family val="1"/>
        <charset val="204"/>
      </rPr>
      <t>при газоснабжении через ИГБУ</t>
    </r>
  </si>
  <si>
    <r>
      <t xml:space="preserve">Инструктаж населения </t>
    </r>
    <r>
      <rPr>
        <u/>
        <sz val="10"/>
        <rFont val="Times New Roman"/>
        <family val="1"/>
        <charset val="204"/>
      </rPr>
      <t>с выездом на место</t>
    </r>
    <r>
      <rPr>
        <sz val="10"/>
        <rFont val="Times New Roman"/>
        <family val="1"/>
        <charset val="204"/>
      </rPr>
      <t xml:space="preserve"> по правилам пользования газовой плитой </t>
    </r>
    <r>
      <rPr>
        <u/>
        <sz val="10"/>
        <rFont val="Times New Roman"/>
        <family val="1"/>
        <charset val="204"/>
      </rPr>
      <t>или</t>
    </r>
    <r>
      <rPr>
        <sz val="10"/>
        <rFont val="Times New Roman"/>
        <family val="1"/>
        <charset val="204"/>
      </rPr>
      <t xml:space="preserve"> проточным водонагревателем</t>
    </r>
  </si>
  <si>
    <r>
      <t xml:space="preserve">То же, при установке газовой плиты </t>
    </r>
    <r>
      <rPr>
        <u/>
        <sz val="10"/>
        <rFont val="Times New Roman"/>
        <family val="1"/>
        <charset val="204"/>
      </rPr>
      <t>и</t>
    </r>
    <r>
      <rPr>
        <sz val="10"/>
        <rFont val="Times New Roman"/>
        <family val="1"/>
        <charset val="204"/>
      </rPr>
      <t xml:space="preserve"> проточного водонагревателя</t>
    </r>
  </si>
  <si>
    <r>
      <t xml:space="preserve">Инструктаж населения в техническом кабинете по правилам пользования газовой плитой </t>
    </r>
    <r>
      <rPr>
        <u/>
        <sz val="10"/>
        <rFont val="Times New Roman"/>
        <family val="1"/>
        <charset val="204"/>
      </rPr>
      <t>или</t>
    </r>
    <r>
      <rPr>
        <sz val="10"/>
        <rFont val="Times New Roman"/>
        <family val="1"/>
        <charset val="204"/>
      </rPr>
      <t xml:space="preserve"> проточным водонагревателем</t>
    </r>
  </si>
  <si>
    <r>
      <t xml:space="preserve">То же, при установке газовой плиты </t>
    </r>
    <r>
      <rPr>
        <u/>
        <sz val="10"/>
        <rFont val="Times New Roman"/>
        <family val="1"/>
        <charset val="204"/>
      </rPr>
      <t>и</t>
    </r>
    <r>
      <rPr>
        <sz val="10"/>
        <rFont val="Times New Roman"/>
        <family val="1"/>
        <charset val="204"/>
      </rPr>
      <t xml:space="preserve"> проточного водонагревателя.</t>
    </r>
  </si>
  <si>
    <t xml:space="preserve"> * В ценах прейскуранта не учитывается и оплачивается заказчиком дополнительно стоимость расходных материлов, запасных частей, узлов, деталей, комплектующих изделий, используемых при оказании услуг, выполнении работ (за исключением вспомогательных материалов).</t>
  </si>
  <si>
    <t>Примечание</t>
  </si>
  <si>
    <t>Замена участка внутридомового газопровода длиной до одного метра диаметром 32 мм</t>
  </si>
  <si>
    <t>_______________</t>
  </si>
  <si>
    <t>При выполнении работ "Перестановка газовой плиты с пуском газа (с применением сварки) при централизованном газоснабжении" следует учитывать метраж проложенного газопровода. Стоимость крана оплачивается дополнительно. При монтаже креплений применять п.2.5 (п.2.2.30) "Монтаж креплений под газопровод диаметром до 100 мм". В случае обрезки газопровода без установки заглушки применять п. 2.2 (п.2.1.9) "Обрезка внутридомового газопровода без установки сварной заглушки при диаметре газопровода до 32 мм"</t>
  </si>
  <si>
    <t>При выполнении работ "Перестановка газовой плиты с пуском газа (с применением сварки) при газоснабжении через ИГБУ" следует учитывать метраж проложенного газопровода. Стоимость крана оплачивается дополнительно. При монтаже креплений применять п.2.5 (п.2.2.30) "Монтаж креплений под газопровод диаметром до 100 мм".</t>
  </si>
  <si>
    <r>
      <rPr>
        <i/>
        <u/>
        <sz val="12"/>
        <color theme="1"/>
        <rFont val="Times New Roman"/>
        <family val="1"/>
        <charset val="204"/>
      </rPr>
      <t>Утверждено:</t>
    </r>
    <r>
      <rPr>
        <sz val="12"/>
        <color theme="1"/>
        <rFont val="Times New Roman"/>
        <family val="1"/>
        <charset val="204"/>
      </rPr>
      <t xml:space="preserve">
Распоряжением АО "Карелгаз
от "_____" _____________ 201__г.</t>
    </r>
  </si>
  <si>
    <t>Изготовление деталей к газовому оборудованию</t>
  </si>
  <si>
    <t>1</t>
  </si>
  <si>
    <t>2</t>
  </si>
  <si>
    <t>3</t>
  </si>
  <si>
    <t>5</t>
  </si>
  <si>
    <t>6</t>
  </si>
  <si>
    <r>
      <rPr>
        <i/>
        <u/>
        <sz val="10"/>
        <color theme="1"/>
        <rFont val="Arial Cyr"/>
        <charset val="204"/>
      </rPr>
      <t>Утверждено:</t>
    </r>
    <r>
      <rPr>
        <sz val="10"/>
        <color theme="1"/>
        <rFont val="Arial Cyr"/>
        <charset val="204"/>
      </rPr>
      <t xml:space="preserve">
Распоряжением АО "Карелгаз
от "_____" _____________ 201__г.</t>
    </r>
  </si>
  <si>
    <t>цена за ед.,
без НДС</t>
  </si>
  <si>
    <t>заведующий тех.кабинетом</t>
  </si>
  <si>
    <t>Цена услуги, с НДС (2018 год)</t>
  </si>
  <si>
    <t>Страховые взносы</t>
  </si>
  <si>
    <t>Оклад</t>
  </si>
  <si>
    <t>Вызов слесаря для выполнения ремонта (Прием заявки диспетчером и проезд (переход) к объекту и обратно) в вечернее время и выходные дни</t>
  </si>
  <si>
    <t>Андриянов М.С. -ведущий инженер СЭГХ</t>
  </si>
  <si>
    <t>взяли усредненый оклад 2-х электрогазосварщиков (14383,13315)</t>
  </si>
  <si>
    <r>
      <rPr>
        <i/>
        <u/>
        <sz val="12"/>
        <color theme="1"/>
        <rFont val="Times New Roman"/>
        <family val="1"/>
        <charset val="204"/>
      </rPr>
      <t>Утверждено:</t>
    </r>
    <r>
      <rPr>
        <sz val="12"/>
        <color theme="1"/>
        <rFont val="Times New Roman"/>
        <family val="1"/>
        <charset val="204"/>
      </rPr>
      <t xml:space="preserve">
Распоряжением АО "Карелгаз
от "_____" _____________ 20 __г.</t>
    </r>
  </si>
  <si>
    <t>рентабельность  в абсолютном выражении( 2022)</t>
  </si>
  <si>
    <t>было до корректировки рентабельности меньше  нуля, после ввода материалов по новой цене</t>
  </si>
  <si>
    <t xml:space="preserve">было до повышения в 2021 году </t>
  </si>
  <si>
    <t>Абсолютный рост, в 2022 сравнении с 2021 г</t>
  </si>
  <si>
    <t>процент роста, если увеличить отрицательную рентабельность выше 0</t>
  </si>
  <si>
    <r>
      <t xml:space="preserve">Калькуляция на услуги, оказываемые АО "Карелгаз" населению по ремонтным работам, работам по монтажу и замене газового оборудования,
</t>
    </r>
    <r>
      <rPr>
        <b/>
        <sz val="14"/>
        <color rgb="FFC00000"/>
        <rFont val="Times New Roman"/>
        <family val="1"/>
        <charset val="204"/>
      </rPr>
      <t>действующая с "01"января 2022года</t>
    </r>
  </si>
  <si>
    <t>процент изменения планируемый</t>
  </si>
  <si>
    <t>сколько в прошлом году была рентабельность</t>
  </si>
  <si>
    <t>рентабельность в абсолютном выражении 2022</t>
  </si>
  <si>
    <t>были проценты при одинаковом росте 1,034</t>
  </si>
  <si>
    <t>ЦЕНА 2021</t>
  </si>
  <si>
    <t>Цена услуги, с НДС (2019 год)</t>
  </si>
  <si>
    <t>Цена услуги, с НДС (2021год)</t>
  </si>
  <si>
    <t>прирост в % по сравнению с 2021</t>
  </si>
  <si>
    <t>рентабельность в % 2022</t>
  </si>
  <si>
    <t>Раздел 1. Проектные работы</t>
  </si>
  <si>
    <t>1.1</t>
  </si>
  <si>
    <t>1.4.2</t>
  </si>
  <si>
    <t>Разработка эскиза установки внутридомового газового оборудования</t>
  </si>
  <si>
    <t>1.2</t>
  </si>
  <si>
    <t>1.4.3</t>
  </si>
  <si>
    <t xml:space="preserve">Разработка эскиза на установку газовой плиты от индивидуальной газобаллонной установки с размещением установки в шкафу </t>
  </si>
  <si>
    <t>Раздел 2. Строительно-монтажные работы</t>
  </si>
  <si>
    <t>2.1</t>
  </si>
  <si>
    <t>2.2</t>
  </si>
  <si>
    <t>2.3</t>
  </si>
  <si>
    <t>2.1.8</t>
  </si>
  <si>
    <t>Сварка стыка диаметром до 50 мм</t>
  </si>
  <si>
    <t>стык</t>
  </si>
  <si>
    <t>2.4</t>
  </si>
  <si>
    <t>2.5</t>
  </si>
  <si>
    <t>2.2.30</t>
  </si>
  <si>
    <t>Монтаж креплений под газопровод диаметром до 100 мм</t>
  </si>
  <si>
    <t>крепление</t>
  </si>
  <si>
    <t>2.6</t>
  </si>
  <si>
    <t>2.2.31</t>
  </si>
  <si>
    <t>Масляная окраска наружного газопровода надземной прокладки, две окраски (без стоимости краски)</t>
  </si>
  <si>
    <r>
      <t>м</t>
    </r>
    <r>
      <rPr>
        <vertAlign val="superscript"/>
        <sz val="10"/>
        <color theme="1"/>
        <rFont val="Times New Roman"/>
        <family val="1"/>
        <charset val="204"/>
      </rPr>
      <t>2</t>
    </r>
  </si>
  <si>
    <t>2.7</t>
  </si>
  <si>
    <t>2.8</t>
  </si>
  <si>
    <r>
      <t xml:space="preserve">Установка крана при монтаже внутридомового газового оборудования </t>
    </r>
    <r>
      <rPr>
        <b/>
        <sz val="10"/>
        <color theme="1"/>
        <rFont val="Times New Roman"/>
        <family val="1"/>
        <charset val="204"/>
      </rPr>
      <t>при диаметре 25 - 50 мм</t>
    </r>
    <r>
      <rPr>
        <sz val="10"/>
        <color theme="1"/>
        <rFont val="Times New Roman"/>
        <family val="1"/>
        <charset val="204"/>
      </rPr>
      <t xml:space="preserve"> (без стоимости крана)</t>
    </r>
  </si>
  <si>
    <t>2.9</t>
  </si>
  <si>
    <t>Перемонтаж подводки к газовому оборудованию (со сваркой)</t>
  </si>
  <si>
    <t>При выполнении работ "Перемонтаж подводки к газовому оборудованию" следует учитывать метраж проложенного газопровода. Стоимость крана оплачивается дополнительно. При монтаже креплений применять п.2.5 (п.2.2.30) "Монтаж креплений под газопровод диаметром до 100 мм". В случае обрезки газопровода без установки заглушки применять п. 2.2 (п.2.1.9) "Обрезка внутридомового газопровода без установки сварной заглушки при диаметре газопровода до 32 мм"</t>
  </si>
  <si>
    <t>2.10</t>
  </si>
  <si>
    <t>Замена гибкого соединения (шланга) на жесткое соединение (без стоимости трубы)</t>
  </si>
  <si>
    <t>2.11</t>
  </si>
  <si>
    <t>2.4.33</t>
  </si>
  <si>
    <r>
      <t xml:space="preserve">Оформление исполнительно-технической документации на газификацию жилого дома индивидуальной застройки 
</t>
    </r>
    <r>
      <rPr>
        <b/>
        <sz val="10"/>
        <color theme="1"/>
        <rFont val="Times New Roman"/>
        <family val="1"/>
        <charset val="204"/>
      </rPr>
      <t>без выезда на место обследования</t>
    </r>
  </si>
  <si>
    <t>2.12</t>
  </si>
  <si>
    <r>
      <t xml:space="preserve">Оформление исполнительно-технической документации на газификацию жилого дома индивидуальной застройки 
</t>
    </r>
    <r>
      <rPr>
        <b/>
        <sz val="10"/>
        <color theme="1"/>
        <rFont val="Times New Roman"/>
        <family val="1"/>
        <charset val="204"/>
      </rPr>
      <t>с выездом на место обследования</t>
    </r>
  </si>
  <si>
    <t>Раздел 3. Монтаж газобаллонных установок, текущий и капитальный ремонт газобаллонных установок</t>
  </si>
  <si>
    <t>3.1</t>
  </si>
  <si>
    <t>8.2.24</t>
  </si>
  <si>
    <t>Замена шкафа газобаллонной установки (ШГБУ) (без стоимости шкафа)</t>
  </si>
  <si>
    <t>шкаф</t>
  </si>
  <si>
    <t>3.2</t>
  </si>
  <si>
    <t>Ремонт ШГБУ (приварка петель)</t>
  </si>
  <si>
    <t>Петля</t>
  </si>
  <si>
    <t>Электроды</t>
  </si>
  <si>
    <t>3.3</t>
  </si>
  <si>
    <t>2.4.9</t>
  </si>
  <si>
    <t>Установка одного баллона для сжиженного газа в шкафу (без монтажа шкафа и без стоимости материалов)</t>
  </si>
  <si>
    <t>установка</t>
  </si>
  <si>
    <t>3.4</t>
  </si>
  <si>
    <t>Установка двух баллонов для сжиженного газа в шкафу (без монтажа шкафа и без стоимости материалов)</t>
  </si>
  <si>
    <t>3.5</t>
  </si>
  <si>
    <t>2.4.10</t>
  </si>
  <si>
    <t>Установка одного баллона для сжиженного газа в шкафу (с монтажом шкафа, без стоимости материалов)</t>
  </si>
  <si>
    <t>3.6</t>
  </si>
  <si>
    <t>Установка двух баллонов для сжиженного газа в шкафу (с монтажом шкафа, без стоимости материалов)</t>
  </si>
  <si>
    <t>3.7</t>
  </si>
  <si>
    <t>Переустройство ШГБУ с 2-мя баллонами на 1 баллон (без сварки) (без стоимости шланга)</t>
  </si>
  <si>
    <t>3.8</t>
  </si>
  <si>
    <t>Переустройство ШГБУ с 2-мя баллонами на 1 баллон с применением сварки (без стоимости шланга)</t>
  </si>
  <si>
    <t>3.9</t>
  </si>
  <si>
    <t>Установка второго баллона без применения сварки (без стоимости шланга)</t>
  </si>
  <si>
    <t>3.10</t>
  </si>
  <si>
    <t>Установка второго баллона с применением сварки (без стоимости шланга)</t>
  </si>
  <si>
    <t>3.11</t>
  </si>
  <si>
    <t>3.34</t>
  </si>
  <si>
    <t>Первичный пуск газа в газовое оборудование жилого дома индивидуальной застройки</t>
  </si>
  <si>
    <t>Раздел 4. Внутренние газопроводы и бытовое газовое оборудование, в том числе монтаж/демонтаж газового оборудования</t>
  </si>
  <si>
    <t>Плита газовая</t>
  </si>
  <si>
    <r>
      <t xml:space="preserve">Перестановка газовой плиты с пуском газа (с применением сварки) </t>
    </r>
    <r>
      <rPr>
        <b/>
        <sz val="10"/>
        <color theme="1"/>
        <rFont val="Times New Roman"/>
        <family val="1"/>
        <charset val="204"/>
      </rPr>
      <t>при централизованном газоснабжении</t>
    </r>
  </si>
  <si>
    <r>
      <t xml:space="preserve">Перестановка газовой плиты с пуском газа (с применением сварки) </t>
    </r>
    <r>
      <rPr>
        <b/>
        <sz val="10"/>
        <color theme="1"/>
        <rFont val="Times New Roman"/>
        <family val="1"/>
        <charset val="204"/>
      </rPr>
      <t>при газоснабжении через ИГБУ</t>
    </r>
  </si>
  <si>
    <t>4.36.1</t>
  </si>
  <si>
    <t>Замена регулятора давления (со стоимостью регулятора давления)</t>
  </si>
  <si>
    <t xml:space="preserve">регулятор давления </t>
  </si>
  <si>
    <t>4.37.1</t>
  </si>
  <si>
    <t>Замена шланга и прокладки регулятора (со стоимостью шланга и хомутами)</t>
  </si>
  <si>
    <t>хомут</t>
  </si>
  <si>
    <t>4.94.1</t>
  </si>
  <si>
    <t>Замена газового крана на газопроводе диаметром  до 32 мм (со стоимостью крана  газового шарового )</t>
  </si>
  <si>
    <t xml:space="preserve">кран газовый шаровый </t>
  </si>
  <si>
    <t xml:space="preserve">шт. </t>
  </si>
  <si>
    <t>Раздел 6.Прочие услуги</t>
  </si>
  <si>
    <t>6.10</t>
  </si>
  <si>
    <t>6.11</t>
  </si>
  <si>
    <t>6.12</t>
  </si>
  <si>
    <t>6.13</t>
  </si>
  <si>
    <t>6.14</t>
  </si>
  <si>
    <t>6.15</t>
  </si>
  <si>
    <t>п.4.4</t>
  </si>
  <si>
    <t>рост в абсолютном выражении</t>
  </si>
  <si>
    <t>проверка НДС</t>
  </si>
  <si>
    <t>если 1, 34</t>
  </si>
  <si>
    <t>если 1,34</t>
  </si>
  <si>
    <t>если разная</t>
  </si>
  <si>
    <t>рост</t>
  </si>
  <si>
    <t>рост в процентном отношении</t>
  </si>
  <si>
    <r>
      <rPr>
        <i/>
        <u/>
        <sz val="12"/>
        <color theme="1"/>
        <rFont val="Times New Roman"/>
        <family val="1"/>
        <charset val="204"/>
      </rPr>
      <t>Утверждено:</t>
    </r>
    <r>
      <rPr>
        <sz val="12"/>
        <color theme="1"/>
        <rFont val="Times New Roman"/>
        <family val="1"/>
        <charset val="204"/>
      </rPr>
      <t xml:space="preserve">
Распоряжением АО "Карелгаз
от "_____" _____________ 202__г.</t>
    </r>
  </si>
  <si>
    <t>Прейскурант на услуги, оказываемые АО "Карелгаз" населению по вызову слесаря для выполнения ремонта в вечернее время и выходные дни,
действующий с " 06 " мая  2022 года</t>
  </si>
  <si>
    <t>Цена услуги, с НДС, руб.</t>
  </si>
  <si>
    <t>Калькуляция на услуги, оказываемые АО "Карелгаз" населению по вызову слесаря для выполнения ремонта в вечернее время и выходные дни,
действующая с " 06 " мая  2022 года</t>
  </si>
  <si>
    <t>Основание</t>
  </si>
  <si>
    <t>Колчин, Орлов, Анхимков</t>
  </si>
  <si>
    <t>водитель (Клетка)</t>
  </si>
  <si>
    <t>Семенов,Костин</t>
  </si>
  <si>
    <t>Амелькин</t>
  </si>
  <si>
    <t>Кузьмина В.В.</t>
  </si>
  <si>
    <t>Абсолютный рост, в 2022 сравнении январем 2022</t>
  </si>
  <si>
    <r>
      <t xml:space="preserve">Калькуляция на услуги, оказываемые АО "Карелгаз" населению по ремонтным работам, работам по монтажу и замене газового оборудования,
</t>
    </r>
    <r>
      <rPr>
        <b/>
        <sz val="14"/>
        <color rgb="FFC00000"/>
        <rFont val="Times New Roman"/>
        <family val="1"/>
        <charset val="204"/>
      </rPr>
      <t>действующая с "   "_____________ 2022года</t>
    </r>
  </si>
  <si>
    <t>Цена услуги, с НДС (январь 2022год)</t>
  </si>
  <si>
    <t>прирост в %  в сравнении с январем 2022</t>
  </si>
  <si>
    <t xml:space="preserve">рентабельность в % </t>
  </si>
  <si>
    <t>общий средний рост в %</t>
  </si>
  <si>
    <t>Цена услуги, с НДС 06.05.2022</t>
  </si>
  <si>
    <t>рост в % по сравнению с маем 2022</t>
  </si>
  <si>
    <t>Абсолютный рост, в 2022 сравнении маем  2022</t>
  </si>
  <si>
    <r>
      <t xml:space="preserve">Калькуляция на услуги, оказываемые АО "Карелгаз" населению по вызову слесаря для выполнения ремонта в вечернее время и выходные дни,
</t>
    </r>
    <r>
      <rPr>
        <b/>
        <sz val="14"/>
        <color rgb="FFC00000"/>
        <rFont val="Times New Roman"/>
        <family val="1"/>
        <charset val="204"/>
      </rPr>
      <t>действующая с "01" января  2024 года</t>
    </r>
  </si>
  <si>
    <t>Главный инженер</t>
  </si>
  <si>
    <t>В.В.Ширяев</t>
  </si>
  <si>
    <r>
      <t xml:space="preserve">Прейскурант на услуги, оказываемые АО "Карелгаз" населению по вызову слесаря для выполнения ремонта в вечернее время и выходные дни,
</t>
    </r>
    <r>
      <rPr>
        <b/>
        <sz val="14"/>
        <color rgb="FFC00000"/>
        <rFont val="Times New Roman"/>
        <family val="1"/>
        <charset val="204"/>
      </rPr>
      <t>действующий с " 01" января   2024 года</t>
    </r>
  </si>
  <si>
    <t>Вызов слесаря в вечернее время и выходные дни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</si>
</sst>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1"/>
      <color theme="1"/>
      <name val="Calibri"/>
      <family val="2"/>
      <charset val="204"/>
      <scheme val="minor"/>
    </font>
    <font>
      <sz val="8"/>
      <name val="Arial Cyr"/>
      <charset val="204"/>
    </font>
    <font>
      <i/>
      <sz val="8"/>
      <name val="Arial Cyr"/>
      <charset val="204"/>
    </font>
    <font>
      <i/>
      <sz val="8"/>
      <color theme="1"/>
      <name val="Calibri"/>
      <family val="2"/>
      <charset val="204"/>
      <scheme val="minor"/>
    </font>
    <font>
      <sz val="8"/>
      <color theme="1"/>
      <name val="Arial Cyr"/>
      <charset val="204"/>
    </font>
    <font>
      <b/>
      <sz val="10"/>
      <color theme="1"/>
      <name val="Arial Cyr"/>
      <charset val="204"/>
    </font>
    <font>
      <b/>
      <sz val="10"/>
      <name val="Arial"/>
      <family val="2"/>
      <charset val="204"/>
    </font>
    <font>
      <sz val="10"/>
      <name val="Arial"/>
      <family val="2"/>
      <charset val="204"/>
    </font>
    <font>
      <sz val="10"/>
      <color theme="1"/>
      <name val="Arial"/>
      <family val="2"/>
      <charset val="204"/>
    </font>
    <font>
      <i/>
      <sz val="8"/>
      <name val="Arial"/>
      <family val="2"/>
      <charset val="204"/>
    </font>
    <font>
      <b/>
      <sz val="11"/>
      <color theme="1"/>
      <name val="Calibri"/>
      <family val="2"/>
      <charset val="204"/>
      <scheme val="minor"/>
    </font>
    <font>
      <b/>
      <sz val="12"/>
      <color theme="1"/>
      <name val="Calibri"/>
      <family val="2"/>
      <charset val="204"/>
      <scheme val="minor"/>
    </font>
    <font>
      <sz val="10"/>
      <name val="Times New Roman"/>
      <family val="1"/>
      <charset val="204"/>
    </font>
    <font>
      <sz val="8"/>
      <color theme="1"/>
      <name val="Times New Roman"/>
      <family val="1"/>
      <charset val="204"/>
    </font>
    <font>
      <b/>
      <sz val="10"/>
      <color theme="1"/>
      <name val="Times New Roman"/>
      <family val="1"/>
      <charset val="204"/>
    </font>
    <font>
      <sz val="11"/>
      <color theme="1"/>
      <name val="Times New Roman"/>
      <family val="1"/>
      <charset val="204"/>
    </font>
    <font>
      <sz val="10"/>
      <color theme="1"/>
      <name val="Calibri"/>
      <family val="2"/>
      <charset val="204"/>
      <scheme val="minor"/>
    </font>
    <font>
      <sz val="10"/>
      <color theme="1"/>
      <name val="Times New Roman"/>
      <family val="1"/>
      <charset val="204"/>
    </font>
    <font>
      <b/>
      <sz val="12"/>
      <color theme="1"/>
      <name val="Times New Roman"/>
      <family val="1"/>
      <charset val="204"/>
    </font>
    <font>
      <sz val="12"/>
      <color theme="1"/>
      <name val="Times New Roman"/>
      <family val="1"/>
      <charset val="204"/>
    </font>
    <font>
      <sz val="12"/>
      <color theme="1"/>
      <name val="Calibri"/>
      <family val="2"/>
      <charset val="204"/>
      <scheme val="minor"/>
    </font>
    <font>
      <i/>
      <sz val="10"/>
      <name val="Times New Roman"/>
      <family val="1"/>
      <charset val="204"/>
    </font>
    <font>
      <i/>
      <sz val="10"/>
      <color theme="1"/>
      <name val="Times New Roman"/>
      <family val="1"/>
      <charset val="204"/>
    </font>
    <font>
      <b/>
      <sz val="10"/>
      <name val="Times New Roman"/>
      <family val="1"/>
      <charset val="204"/>
    </font>
    <font>
      <i/>
      <u/>
      <sz val="12"/>
      <color theme="1"/>
      <name val="Times New Roman"/>
      <family val="1"/>
      <charset val="204"/>
    </font>
    <font>
      <b/>
      <sz val="14"/>
      <color theme="1"/>
      <name val="Times New Roman"/>
      <family val="1"/>
      <charset val="204"/>
    </font>
    <font>
      <b/>
      <i/>
      <sz val="12"/>
      <color theme="1"/>
      <name val="Times New Roman"/>
      <family val="1"/>
      <charset val="204"/>
    </font>
    <font>
      <u/>
      <sz val="10"/>
      <name val="Times New Roman"/>
      <family val="1"/>
      <charset val="204"/>
    </font>
    <font>
      <b/>
      <i/>
      <sz val="12"/>
      <name val="Times New Roman"/>
      <family val="1"/>
      <charset val="204"/>
    </font>
    <font>
      <b/>
      <sz val="11"/>
      <color theme="1"/>
      <name val="Times New Roman"/>
      <family val="1"/>
      <charset val="204"/>
    </font>
    <font>
      <sz val="14"/>
      <color theme="1"/>
      <name val="Times New Roman"/>
      <family val="1"/>
      <charset val="204"/>
    </font>
    <font>
      <sz val="14"/>
      <color theme="1"/>
      <name val="Calibri"/>
      <family val="2"/>
      <charset val="204"/>
      <scheme val="minor"/>
    </font>
    <font>
      <sz val="12"/>
      <name val="Times New Roman"/>
      <family val="1"/>
      <charset val="204"/>
    </font>
    <font>
      <sz val="12"/>
      <color theme="0"/>
      <name val="Times New Roman"/>
      <family val="1"/>
      <charset val="204"/>
    </font>
    <font>
      <sz val="11"/>
      <color theme="1"/>
      <name val="Arial Cyr"/>
      <charset val="204"/>
    </font>
    <font>
      <sz val="10"/>
      <color theme="1"/>
      <name val="Arial Cyr"/>
      <charset val="204"/>
    </font>
    <font>
      <i/>
      <u/>
      <sz val="10"/>
      <color theme="1"/>
      <name val="Arial Cyr"/>
      <charset val="204"/>
    </font>
    <font>
      <sz val="10"/>
      <name val="Arial Cyr"/>
      <charset val="204"/>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theme="5" tint="-0.249977111117893"/>
      <name val="Calibri"/>
      <family val="2"/>
      <charset val="204"/>
      <scheme val="minor"/>
    </font>
    <font>
      <sz val="11"/>
      <color rgb="FF7030A0"/>
      <name val="Calibri"/>
      <family val="2"/>
      <charset val="204"/>
      <scheme val="minor"/>
    </font>
    <font>
      <b/>
      <sz val="11"/>
      <color rgb="FFC00000"/>
      <name val="Calibri"/>
      <family val="2"/>
      <charset val="204"/>
      <scheme val="minor"/>
    </font>
    <font>
      <sz val="11"/>
      <name val="Calibri"/>
      <family val="2"/>
      <charset val="204"/>
      <scheme val="minor"/>
    </font>
    <font>
      <b/>
      <sz val="14"/>
      <color rgb="FFC00000"/>
      <name val="Times New Roman"/>
      <family val="1"/>
      <charset val="204"/>
    </font>
    <font>
      <sz val="11"/>
      <color rgb="FFC00000"/>
      <name val="Calibri"/>
      <family val="2"/>
      <charset val="204"/>
      <scheme val="minor"/>
    </font>
    <font>
      <sz val="11"/>
      <name val="Times New Roman"/>
      <family val="1"/>
      <charset val="204"/>
    </font>
    <font>
      <sz val="10"/>
      <color theme="0"/>
      <name val="Times New Roman"/>
      <family val="1"/>
      <charset val="204"/>
    </font>
    <font>
      <i/>
      <sz val="8"/>
      <color theme="1"/>
      <name val="Times New Roman"/>
      <family val="1"/>
      <charset val="204"/>
    </font>
    <font>
      <i/>
      <sz val="11"/>
      <color theme="1"/>
      <name val="Calibri"/>
      <family val="2"/>
      <charset val="204"/>
      <scheme val="minor"/>
    </font>
    <font>
      <i/>
      <sz val="11"/>
      <color rgb="FF7030A0"/>
      <name val="Calibri"/>
      <family val="2"/>
      <charset val="204"/>
      <scheme val="minor"/>
    </font>
    <font>
      <i/>
      <sz val="14"/>
      <color theme="1"/>
      <name val="Calibri"/>
      <family val="2"/>
      <charset val="204"/>
      <scheme val="minor"/>
    </font>
    <font>
      <sz val="11"/>
      <color theme="4" tint="-0.499984740745262"/>
      <name val="Calibri"/>
      <family val="2"/>
      <charset val="204"/>
      <scheme val="minor"/>
    </font>
    <font>
      <b/>
      <sz val="10"/>
      <color theme="1"/>
      <name val="Calibri"/>
      <family val="2"/>
      <charset val="204"/>
      <scheme val="minor"/>
    </font>
    <font>
      <sz val="11"/>
      <color rgb="FF7030A0"/>
      <name val="Times New Roman"/>
      <family val="1"/>
      <charset val="204"/>
    </font>
    <font>
      <sz val="10"/>
      <color theme="4" tint="-0.499984740745262"/>
      <name val="Calibri"/>
      <family val="2"/>
      <charset val="204"/>
      <scheme val="minor"/>
    </font>
    <font>
      <sz val="12"/>
      <name val="Times New Roman Cyr"/>
      <family val="1"/>
      <charset val="204"/>
    </font>
    <font>
      <b/>
      <sz val="12"/>
      <color rgb="FFC00000"/>
      <name val="Calibri"/>
      <family val="2"/>
      <charset val="204"/>
      <scheme val="minor"/>
    </font>
    <font>
      <vertAlign val="superscript"/>
      <sz val="10"/>
      <color theme="1"/>
      <name val="Times New Roman"/>
      <family val="1"/>
      <charset val="204"/>
    </font>
    <font>
      <sz val="12"/>
      <color rgb="FFFF0000"/>
      <name val="Times New Roman Cyr"/>
      <family val="1"/>
      <charset val="204"/>
    </font>
    <font>
      <b/>
      <sz val="10"/>
      <name val="Calibri"/>
      <family val="2"/>
      <charset val="204"/>
      <scheme val="minor"/>
    </font>
    <font>
      <sz val="11"/>
      <color theme="0"/>
      <name val="Times New Roman"/>
      <family val="1"/>
      <charset val="204"/>
    </font>
    <font>
      <sz val="11"/>
      <color rgb="FFC00000"/>
      <name val="Times New Roman"/>
      <family val="1"/>
      <charset val="204"/>
    </font>
    <font>
      <b/>
      <sz val="11"/>
      <color rgb="FFFF0000"/>
      <name val="Calibri"/>
      <family val="2"/>
      <charset val="204"/>
      <scheme val="minor"/>
    </font>
    <font>
      <sz val="10"/>
      <color rgb="FF7030A0"/>
      <name val="Times New Roman"/>
      <family val="1"/>
      <charset val="204"/>
    </font>
    <font>
      <sz val="12"/>
      <color theme="1"/>
      <name val="Times New Roman Cyr"/>
      <family val="1"/>
      <charset val="204"/>
    </font>
    <font>
      <sz val="14"/>
      <color rgb="FFFF0000"/>
      <name val="Calibri"/>
      <family val="2"/>
      <charset val="204"/>
      <scheme val="minor"/>
    </font>
    <font>
      <b/>
      <sz val="10"/>
      <color theme="0"/>
      <name val="Times New Roman"/>
      <family val="1"/>
      <charset val="204"/>
    </font>
    <font>
      <sz val="10"/>
      <color rgb="FF7030A0"/>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854">
    <xf numFmtId="0" fontId="0" fillId="0" borderId="0" xfId="0"/>
    <xf numFmtId="49" fontId="2" fillId="0" borderId="1" xfId="0" applyNumberFormat="1" applyFont="1" applyBorder="1" applyAlignment="1">
      <alignment horizontal="center" vertical="center"/>
    </xf>
    <xf numFmtId="0" fontId="2" fillId="0" borderId="1" xfId="0" applyFont="1" applyBorder="1" applyAlignment="1">
      <alignment horizontal="center"/>
    </xf>
    <xf numFmtId="0" fontId="1" fillId="0" borderId="1" xfId="0" applyFont="1" applyFill="1" applyBorder="1" applyAlignment="1">
      <alignment horizontal="left" vertical="center" wrapText="1"/>
    </xf>
    <xf numFmtId="0" fontId="6" fillId="3" borderId="0" xfId="0" applyFont="1" applyFill="1" applyAlignment="1">
      <alignment horizontal="center" vertical="center"/>
    </xf>
    <xf numFmtId="0" fontId="7" fillId="4" borderId="5" xfId="0" applyFont="1" applyFill="1" applyBorder="1" applyAlignment="1">
      <alignment horizontal="left" wrapText="1"/>
    </xf>
    <xf numFmtId="0" fontId="7" fillId="4" borderId="6" xfId="0" applyFont="1" applyFill="1" applyBorder="1" applyAlignment="1">
      <alignment horizontal="center" vertical="center"/>
    </xf>
    <xf numFmtId="0" fontId="0" fillId="4" borderId="7" xfId="0" applyFill="1" applyBorder="1" applyAlignment="1">
      <alignment horizontal="center" vertical="center"/>
    </xf>
    <xf numFmtId="0" fontId="7" fillId="4" borderId="8" xfId="0" applyFont="1" applyFill="1" applyBorder="1"/>
    <xf numFmtId="0" fontId="7" fillId="4" borderId="1" xfId="0" applyFont="1" applyFill="1" applyBorder="1" applyAlignment="1">
      <alignment horizontal="center" vertical="center"/>
    </xf>
    <xf numFmtId="9" fontId="0" fillId="4" borderId="9" xfId="0" applyNumberFormat="1" applyFill="1" applyBorder="1" applyAlignment="1">
      <alignment horizontal="center" vertical="center"/>
    </xf>
    <xf numFmtId="0" fontId="0" fillId="4" borderId="9" xfId="0" applyFill="1" applyBorder="1" applyAlignment="1">
      <alignment horizontal="center" vertical="center"/>
    </xf>
    <xf numFmtId="10" fontId="0" fillId="4" borderId="9" xfId="0" applyNumberFormat="1" applyFill="1" applyBorder="1" applyAlignment="1">
      <alignment horizontal="center" vertical="center"/>
    </xf>
    <xf numFmtId="0" fontId="7" fillId="4" borderId="10" xfId="0" applyFont="1" applyFill="1" applyBorder="1"/>
    <xf numFmtId="0" fontId="7" fillId="4" borderId="11" xfId="0" applyFont="1" applyFill="1" applyBorder="1" applyAlignment="1">
      <alignment horizontal="center" vertical="center"/>
    </xf>
    <xf numFmtId="0" fontId="0" fillId="0" borderId="0" xfId="0" applyAlignment="1">
      <alignment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10" fontId="0" fillId="4" borderId="1" xfId="0" applyNumberFormat="1" applyFill="1" applyBorder="1" applyAlignment="1">
      <alignment horizontal="center"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4" fontId="8" fillId="0" borderId="1" xfId="0" applyNumberFormat="1" applyFont="1" applyBorder="1" applyAlignment="1">
      <alignment horizontal="center" vertical="center"/>
    </xf>
    <xf numFmtId="4" fontId="8" fillId="0" borderId="9" xfId="0" applyNumberFormat="1" applyFont="1" applyBorder="1" applyAlignment="1">
      <alignment horizontal="center" vertical="center"/>
    </xf>
    <xf numFmtId="0" fontId="8" fillId="4" borderId="11" xfId="0" applyFont="1" applyFill="1" applyBorder="1" applyAlignment="1">
      <alignment horizontal="center" vertical="center"/>
    </xf>
    <xf numFmtId="4" fontId="8" fillId="0" borderId="11" xfId="0" applyNumberFormat="1" applyFont="1" applyBorder="1" applyAlignment="1">
      <alignment horizontal="center" vertical="center"/>
    </xf>
    <xf numFmtId="4" fontId="8" fillId="0" borderId="12" xfId="0" applyNumberFormat="1" applyFont="1" applyBorder="1" applyAlignment="1">
      <alignment horizontal="center" vertical="center"/>
    </xf>
    <xf numFmtId="3" fontId="9" fillId="6" borderId="8" xfId="0" applyNumberFormat="1" applyFont="1" applyFill="1" applyBorder="1" applyAlignment="1">
      <alignment horizontal="center" vertical="center"/>
    </xf>
    <xf numFmtId="3" fontId="9" fillId="6" borderId="1" xfId="0" applyNumberFormat="1" applyFont="1" applyFill="1" applyBorder="1" applyAlignment="1">
      <alignment horizontal="center" vertical="center" wrapText="1"/>
    </xf>
    <xf numFmtId="3" fontId="3" fillId="6" borderId="9"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8" fillId="0" borderId="2" xfId="0" applyFont="1" applyBorder="1" applyAlignment="1">
      <alignment horizontal="center" vertical="center"/>
    </xf>
    <xf numFmtId="2" fontId="8" fillId="4" borderId="2" xfId="0" applyNumberFormat="1" applyFont="1" applyFill="1" applyBorder="1" applyAlignment="1">
      <alignment horizontal="center" vertical="center"/>
    </xf>
    <xf numFmtId="2" fontId="8" fillId="4" borderId="1" xfId="0" applyNumberFormat="1" applyFont="1" applyFill="1" applyBorder="1" applyAlignment="1">
      <alignment horizontal="center" vertical="center"/>
    </xf>
    <xf numFmtId="3" fontId="9" fillId="6" borderId="13" xfId="0" applyNumberFormat="1" applyFont="1" applyFill="1" applyBorder="1" applyAlignment="1">
      <alignment horizontal="center" vertical="center"/>
    </xf>
    <xf numFmtId="3" fontId="9" fillId="6" borderId="1" xfId="0" applyNumberFormat="1"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horizontal="left" vertical="center"/>
    </xf>
    <xf numFmtId="0" fontId="2" fillId="0" borderId="1" xfId="0" applyFont="1" applyBorder="1" applyAlignment="1">
      <alignment horizontal="center" vertical="center"/>
    </xf>
    <xf numFmtId="49" fontId="0" fillId="0" borderId="0" xfId="0" applyNumberFormat="1" applyAlignment="1">
      <alignment horizontal="center" vertical="center"/>
    </xf>
    <xf numFmtId="0" fontId="0" fillId="4" borderId="1" xfId="0" applyFill="1" applyBorder="1" applyAlignment="1">
      <alignment horizontal="left" vertical="center" wrapText="1"/>
    </xf>
    <xf numFmtId="165" fontId="8" fillId="4" borderId="2" xfId="0" applyNumberFormat="1"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0" fillId="4" borderId="1" xfId="0" applyFont="1" applyFill="1" applyBorder="1" applyAlignment="1">
      <alignment horizontal="center" vertical="center"/>
    </xf>
    <xf numFmtId="10" fontId="0" fillId="4" borderId="1" xfId="0" applyNumberFormat="1" applyFont="1" applyFill="1" applyBorder="1" applyAlignment="1">
      <alignment horizontal="center" vertical="center"/>
    </xf>
    <xf numFmtId="0" fontId="0" fillId="0" borderId="0" xfId="0" applyFont="1"/>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4" fontId="0" fillId="0" borderId="1" xfId="0" applyNumberFormat="1" applyFont="1" applyBorder="1" applyAlignment="1">
      <alignment horizontal="center" vertical="center"/>
    </xf>
    <xf numFmtId="0" fontId="0" fillId="0" borderId="1" xfId="0" applyFill="1" applyBorder="1" applyAlignment="1">
      <alignment wrapText="1"/>
    </xf>
    <xf numFmtId="0" fontId="0" fillId="0" borderId="0" xfId="0"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2" fillId="0" borderId="1" xfId="0" applyFont="1" applyFill="1" applyBorder="1" applyAlignment="1">
      <alignment horizontal="left" vertical="center" wrapText="1"/>
    </xf>
    <xf numFmtId="0" fontId="0" fillId="4" borderId="12" xfId="0" applyFill="1" applyBorder="1" applyAlignment="1">
      <alignment horizontal="center" vertical="center"/>
    </xf>
    <xf numFmtId="0" fontId="6" fillId="0" borderId="0" xfId="0" applyFont="1" applyFill="1" applyAlignment="1">
      <alignment horizontal="center" vertical="center"/>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10" fontId="0" fillId="0" borderId="0" xfId="0" applyNumberForma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2" fontId="4"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0" fontId="15" fillId="0" borderId="0" xfId="0" applyFont="1"/>
    <xf numFmtId="2" fontId="13" fillId="0" borderId="0" xfId="0" applyNumberFormat="1" applyFont="1" applyAlignment="1">
      <alignment horizontal="center" vertical="center"/>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2" fillId="0" borderId="2" xfId="0" applyFont="1" applyFill="1" applyBorder="1" applyAlignment="1">
      <alignment horizontal="center" vertical="center" wrapText="1"/>
    </xf>
    <xf numFmtId="0" fontId="16" fillId="0" borderId="0" xfId="0" applyFont="1"/>
    <xf numFmtId="0" fontId="12" fillId="0" borderId="1" xfId="0" applyFont="1" applyFill="1" applyBorder="1" applyAlignment="1">
      <alignment horizontal="center" vertical="center" wrapText="1"/>
    </xf>
    <xf numFmtId="164" fontId="12" fillId="0" borderId="3" xfId="0" applyNumberFormat="1" applyFont="1" applyFill="1" applyBorder="1" applyAlignment="1">
      <alignment horizontal="center" vertical="center"/>
    </xf>
    <xf numFmtId="0" fontId="19" fillId="0" borderId="0" xfId="0" applyFont="1"/>
    <xf numFmtId="0" fontId="20" fillId="0" borderId="0" xfId="0" applyFont="1"/>
    <xf numFmtId="2" fontId="12" fillId="0" borderId="1"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xf>
    <xf numFmtId="2" fontId="17" fillId="0" borderId="1" xfId="0" applyNumberFormat="1" applyFont="1" applyBorder="1" applyAlignment="1">
      <alignment horizontal="center" vertical="center"/>
    </xf>
    <xf numFmtId="0" fontId="17" fillId="0" borderId="1" xfId="0" applyFont="1" applyBorder="1"/>
    <xf numFmtId="0" fontId="17" fillId="0" borderId="1" xfId="0" applyFont="1" applyBorder="1" applyAlignment="1">
      <alignment horizontal="right" vertical="center"/>
    </xf>
    <xf numFmtId="2" fontId="21" fillId="0" borderId="1" xfId="0" applyNumberFormat="1" applyFont="1" applyFill="1" applyBorder="1" applyAlignment="1">
      <alignment horizontal="left" vertical="center" wrapText="1"/>
    </xf>
    <xf numFmtId="2" fontId="12" fillId="0" borderId="1" xfId="0" applyNumberFormat="1" applyFont="1" applyFill="1" applyBorder="1" applyAlignment="1">
      <alignment horizontal="center" vertical="center"/>
    </xf>
    <xf numFmtId="0" fontId="17" fillId="0" borderId="0" xfId="0" applyFont="1"/>
    <xf numFmtId="166" fontId="12" fillId="0" borderId="1" xfId="0" applyNumberFormat="1" applyFont="1" applyFill="1" applyBorder="1" applyAlignment="1">
      <alignment horizontal="center" vertical="center"/>
    </xf>
    <xf numFmtId="0" fontId="17" fillId="0" borderId="1" xfId="0" applyFont="1" applyBorder="1" applyAlignment="1">
      <alignment horizontal="left" vertical="center" wrapText="1"/>
    </xf>
    <xf numFmtId="49" fontId="12" fillId="2"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22" fillId="0" borderId="1" xfId="0" applyFont="1" applyBorder="1" applyAlignment="1">
      <alignment horizontal="left" vertical="center" wrapText="1"/>
    </xf>
    <xf numFmtId="0" fontId="12" fillId="0" borderId="1" xfId="0" applyFont="1" applyBorder="1" applyAlignment="1">
      <alignment horizontal="center" vertical="center"/>
    </xf>
    <xf numFmtId="4" fontId="19" fillId="0" borderId="1" xfId="0" applyNumberFormat="1" applyFont="1" applyBorder="1" applyAlignment="1">
      <alignment horizontal="center" vertical="center"/>
    </xf>
    <xf numFmtId="49" fontId="15"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xf>
    <xf numFmtId="0" fontId="19" fillId="0" borderId="0" xfId="0" applyFont="1" applyAlignment="1">
      <alignment horizontal="left" vertical="center"/>
    </xf>
    <xf numFmtId="0" fontId="17"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49"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xf>
    <xf numFmtId="49" fontId="16" fillId="0" borderId="0" xfId="0" applyNumberFormat="1" applyFont="1" applyAlignment="1">
      <alignment horizontal="center" vertical="center"/>
    </xf>
    <xf numFmtId="0" fontId="16" fillId="0" borderId="0" xfId="0" applyFont="1" applyAlignment="1">
      <alignment horizontal="left" vertical="center"/>
    </xf>
    <xf numFmtId="49" fontId="17" fillId="0" borderId="0" xfId="0" applyNumberFormat="1" applyFont="1" applyAlignment="1">
      <alignment horizontal="center" vertical="center"/>
    </xf>
    <xf numFmtId="0" fontId="17" fillId="0" borderId="0" xfId="0" applyFont="1" applyAlignment="1">
      <alignment horizontal="left" vertical="center"/>
    </xf>
    <xf numFmtId="166" fontId="12" fillId="0" borderId="1" xfId="0" applyNumberFormat="1" applyFont="1" applyBorder="1" applyAlignment="1">
      <alignment horizontal="center" vertical="center"/>
    </xf>
    <xf numFmtId="0" fontId="22" fillId="0" borderId="1" xfId="0" applyFont="1" applyFill="1" applyBorder="1" applyAlignment="1">
      <alignment horizontal="left" vertical="center" wrapText="1"/>
    </xf>
    <xf numFmtId="0" fontId="22" fillId="0" borderId="1" xfId="0" applyFont="1" applyBorder="1" applyAlignment="1">
      <alignment horizontal="left" vertical="center"/>
    </xf>
    <xf numFmtId="165" fontId="17" fillId="0" borderId="1" xfId="0" applyNumberFormat="1" applyFont="1" applyBorder="1" applyAlignment="1">
      <alignment horizontal="center" vertical="center"/>
    </xf>
    <xf numFmtId="0" fontId="17" fillId="0" borderId="1" xfId="0" applyFont="1" applyBorder="1" applyAlignment="1">
      <alignment horizontal="center" wrapText="1"/>
    </xf>
    <xf numFmtId="0" fontId="30" fillId="0" borderId="0" xfId="0" applyFont="1" applyAlignment="1">
      <alignment horizontal="left" vertical="center"/>
    </xf>
    <xf numFmtId="0" fontId="30" fillId="0" borderId="0" xfId="0" applyFont="1"/>
    <xf numFmtId="0" fontId="31" fillId="0" borderId="0" xfId="0" applyFont="1"/>
    <xf numFmtId="0" fontId="32" fillId="0" borderId="1" xfId="0" applyFont="1" applyBorder="1" applyAlignment="1">
      <alignment horizontal="left" vertical="center" wrapText="1"/>
    </xf>
    <xf numFmtId="0" fontId="32" fillId="0" borderId="2" xfId="0" applyFont="1" applyFill="1" applyBorder="1" applyAlignment="1">
      <alignment horizontal="center" vertical="center" wrapText="1"/>
    </xf>
    <xf numFmtId="9" fontId="32" fillId="0" borderId="3" xfId="0" applyNumberFormat="1" applyFont="1" applyFill="1" applyBorder="1" applyAlignment="1">
      <alignment horizontal="center" vertical="center" wrapText="1"/>
    </xf>
    <xf numFmtId="49" fontId="32" fillId="0" borderId="1" xfId="0" applyNumberFormat="1" applyFont="1" applyBorder="1" applyAlignment="1">
      <alignment horizontal="center" vertical="center" wrapText="1"/>
    </xf>
    <xf numFmtId="0" fontId="32" fillId="0" borderId="1" xfId="0" applyFont="1" applyFill="1" applyBorder="1" applyAlignment="1">
      <alignment horizontal="center" vertical="center" wrapText="1"/>
    </xf>
    <xf numFmtId="9" fontId="33" fillId="0" borderId="3" xfId="0" applyNumberFormat="1" applyFont="1" applyFill="1" applyBorder="1" applyAlignment="1">
      <alignment horizontal="center" vertical="center" wrapText="1"/>
    </xf>
    <xf numFmtId="0" fontId="15" fillId="0" borderId="0" xfId="0" applyFont="1" applyAlignment="1">
      <alignment wrapText="1"/>
    </xf>
    <xf numFmtId="0" fontId="17" fillId="0" borderId="0" xfId="0" applyFont="1" applyAlignment="1">
      <alignment wrapText="1"/>
    </xf>
    <xf numFmtId="0" fontId="30" fillId="0" borderId="0" xfId="0" applyFont="1" applyAlignment="1">
      <alignment wrapText="1"/>
    </xf>
    <xf numFmtId="0" fontId="16" fillId="0" borderId="0" xfId="0" applyFont="1" applyAlignment="1">
      <alignment wrapText="1"/>
    </xf>
    <xf numFmtId="4" fontId="15" fillId="0" borderId="0" xfId="0" applyNumberFormat="1" applyFont="1"/>
    <xf numFmtId="4" fontId="12" fillId="0" borderId="2" xfId="0" applyNumberFormat="1" applyFont="1" applyFill="1" applyBorder="1" applyAlignment="1">
      <alignment horizontal="center" vertical="center" wrapText="1"/>
    </xf>
    <xf numFmtId="4" fontId="0" fillId="0" borderId="0" xfId="0" applyNumberFormat="1"/>
    <xf numFmtId="10" fontId="12" fillId="0" borderId="3"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34" fillId="0" borderId="0" xfId="0" applyFont="1"/>
    <xf numFmtId="10" fontId="4" fillId="0" borderId="0" xfId="0" applyNumberFormat="1" applyFont="1" applyAlignment="1">
      <alignment horizontal="center" vertical="center"/>
    </xf>
    <xf numFmtId="0" fontId="37" fillId="0" borderId="8" xfId="0" applyFont="1" applyBorder="1" applyAlignment="1">
      <alignment horizontal="left" vertical="center"/>
    </xf>
    <xf numFmtId="0" fontId="17" fillId="0" borderId="14" xfId="0" applyFont="1" applyBorder="1" applyAlignment="1">
      <alignment horizontal="center" vertical="center"/>
    </xf>
    <xf numFmtId="0" fontId="37" fillId="0" borderId="1" xfId="0" applyFont="1" applyBorder="1" applyAlignment="1">
      <alignment horizontal="center" vertical="center" wrapText="1"/>
    </xf>
    <xf numFmtId="4" fontId="17" fillId="0" borderId="1" xfId="0" applyNumberFormat="1" applyFont="1" applyBorder="1" applyAlignment="1">
      <alignment horizontal="center" vertical="center"/>
    </xf>
    <xf numFmtId="2" fontId="13" fillId="0" borderId="0" xfId="0" applyNumberFormat="1" applyFont="1" applyBorder="1" applyAlignment="1">
      <alignment horizontal="center" vertical="center"/>
    </xf>
    <xf numFmtId="2" fontId="17" fillId="0" borderId="0" xfId="0" applyNumberFormat="1" applyFont="1" applyBorder="1" applyAlignment="1">
      <alignment horizontal="center" vertical="center"/>
    </xf>
    <xf numFmtId="4" fontId="13" fillId="0" borderId="13" xfId="0" applyNumberFormat="1" applyFont="1" applyBorder="1" applyAlignment="1">
      <alignment horizontal="center" vertical="center"/>
    </xf>
    <xf numFmtId="0" fontId="12" fillId="0" borderId="1" xfId="0" applyFont="1" applyFill="1" applyBorder="1" applyAlignment="1">
      <alignment horizontal="center" vertical="center" wrapText="1"/>
    </xf>
    <xf numFmtId="49" fontId="17" fillId="0" borderId="1" xfId="0" applyNumberFormat="1" applyFont="1" applyBorder="1" applyAlignment="1">
      <alignment horizontal="center" vertical="center"/>
    </xf>
    <xf numFmtId="49" fontId="19" fillId="0" borderId="1" xfId="0" applyNumberFormat="1" applyFont="1" applyBorder="1" applyAlignment="1">
      <alignment horizontal="center" vertical="center"/>
    </xf>
    <xf numFmtId="49" fontId="19" fillId="0" borderId="3" xfId="0" applyNumberFormat="1" applyFont="1" applyBorder="1" applyAlignment="1">
      <alignment horizontal="center" vertical="center"/>
    </xf>
    <xf numFmtId="0" fontId="12" fillId="0" borderId="1" xfId="0" applyFont="1" applyBorder="1" applyAlignment="1">
      <alignment horizontal="left" vertical="center" wrapText="1"/>
    </xf>
    <xf numFmtId="0" fontId="17" fillId="0" borderId="1" xfId="0" applyFont="1" applyBorder="1" applyAlignment="1">
      <alignment horizontal="left" vertical="center" wrapText="1"/>
    </xf>
    <xf numFmtId="49" fontId="17" fillId="0" borderId="1" xfId="0" applyNumberFormat="1" applyFont="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49"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49" fontId="12" fillId="2"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7" fillId="0" borderId="1" xfId="0" applyFont="1" applyFill="1" applyBorder="1" applyAlignment="1">
      <alignment horizontal="center" vertical="center"/>
    </xf>
    <xf numFmtId="2" fontId="13" fillId="0" borderId="0" xfId="0" applyNumberFormat="1" applyFont="1" applyBorder="1" applyAlignment="1">
      <alignment horizontal="center"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left" vertical="center" wrapText="1"/>
    </xf>
    <xf numFmtId="2" fontId="17" fillId="0" borderId="1" xfId="0" applyNumberFormat="1" applyFont="1" applyBorder="1" applyAlignment="1">
      <alignment horizontal="center" vertical="center"/>
    </xf>
    <xf numFmtId="4" fontId="12" fillId="0" borderId="2" xfId="0" applyNumberFormat="1" applyFont="1" applyFill="1" applyBorder="1" applyAlignment="1">
      <alignment horizontal="center" vertical="center" wrapText="1"/>
    </xf>
    <xf numFmtId="49" fontId="19" fillId="0" borderId="3" xfId="0" applyNumberFormat="1" applyFont="1" applyBorder="1" applyAlignment="1">
      <alignment horizontal="center" vertical="center"/>
    </xf>
    <xf numFmtId="49" fontId="19"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2" fillId="0" borderId="1" xfId="0" applyFont="1" applyBorder="1" applyAlignment="1">
      <alignment horizontal="left" vertical="center" wrapText="1"/>
    </xf>
    <xf numFmtId="49" fontId="17"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Border="1" applyAlignment="1">
      <alignment horizontal="center" vertical="center" wrapText="1"/>
    </xf>
    <xf numFmtId="4" fontId="12" fillId="0" borderId="2" xfId="0" applyNumberFormat="1" applyFont="1" applyFill="1" applyBorder="1" applyAlignment="1">
      <alignment horizontal="center" vertical="center" wrapText="1"/>
    </xf>
    <xf numFmtId="4" fontId="17" fillId="0" borderId="13" xfId="0" applyNumberFormat="1" applyFont="1" applyBorder="1" applyAlignment="1">
      <alignment horizontal="center" vertical="center"/>
    </xf>
    <xf numFmtId="164" fontId="12" fillId="4" borderId="3" xfId="0" applyNumberFormat="1" applyFont="1" applyFill="1" applyBorder="1" applyAlignment="1">
      <alignment horizontal="center" vertical="center"/>
    </xf>
    <xf numFmtId="49" fontId="17" fillId="0" borderId="14" xfId="0" applyNumberFormat="1" applyFont="1" applyBorder="1" applyAlignment="1">
      <alignment horizontal="center" vertical="center"/>
    </xf>
    <xf numFmtId="0" fontId="17" fillId="0" borderId="3" xfId="0" applyFont="1" applyBorder="1" applyAlignment="1">
      <alignment horizontal="center" vertical="center"/>
    </xf>
    <xf numFmtId="2"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7" fillId="0" borderId="0" xfId="0" applyFont="1" applyBorder="1" applyAlignment="1">
      <alignment horizontal="center" vertical="center"/>
    </xf>
    <xf numFmtId="2" fontId="21" fillId="0" borderId="0" xfId="0" applyNumberFormat="1" applyFont="1" applyFill="1" applyBorder="1" applyAlignment="1">
      <alignment horizontal="left" vertical="center" wrapText="1"/>
    </xf>
    <xf numFmtId="2" fontId="12" fillId="0" borderId="0" xfId="0" applyNumberFormat="1" applyFont="1" applyFill="1" applyBorder="1" applyAlignment="1">
      <alignment horizontal="center" vertical="center"/>
    </xf>
    <xf numFmtId="4" fontId="17" fillId="0" borderId="0" xfId="0" applyNumberFormat="1" applyFont="1" applyBorder="1" applyAlignment="1">
      <alignment horizontal="center" vertical="center"/>
    </xf>
    <xf numFmtId="0" fontId="17" fillId="0" borderId="0" xfId="0" applyFont="1" applyBorder="1"/>
    <xf numFmtId="0" fontId="17" fillId="0" borderId="0" xfId="0" applyFont="1" applyBorder="1" applyAlignment="1">
      <alignment horizontal="left" vertical="center"/>
    </xf>
    <xf numFmtId="49" fontId="12" fillId="0" borderId="15" xfId="0" applyNumberFormat="1" applyFont="1" applyBorder="1" applyAlignment="1">
      <alignment horizontal="center" vertical="center"/>
    </xf>
    <xf numFmtId="0" fontId="12" fillId="0" borderId="4" xfId="0" applyFont="1" applyBorder="1" applyAlignment="1">
      <alignment horizontal="center" vertical="center" wrapText="1"/>
    </xf>
    <xf numFmtId="0" fontId="17" fillId="0" borderId="4" xfId="0" applyFont="1" applyBorder="1" applyAlignment="1">
      <alignment horizontal="center" vertical="center"/>
    </xf>
    <xf numFmtId="2" fontId="17" fillId="0" borderId="4" xfId="0" applyNumberFormat="1" applyFont="1" applyBorder="1" applyAlignment="1">
      <alignment horizontal="center" vertical="center"/>
    </xf>
    <xf numFmtId="0" fontId="17" fillId="0" borderId="4" xfId="0" applyFont="1" applyBorder="1" applyAlignment="1">
      <alignment horizontal="right" vertical="center"/>
    </xf>
    <xf numFmtId="0" fontId="22" fillId="0" borderId="4" xfId="0" applyFont="1" applyBorder="1" applyAlignment="1">
      <alignment horizontal="left" vertical="center" wrapText="1"/>
    </xf>
    <xf numFmtId="2" fontId="12" fillId="0" borderId="4" xfId="0" applyNumberFormat="1" applyFont="1" applyFill="1" applyBorder="1" applyAlignment="1">
      <alignment horizontal="center" vertical="center"/>
    </xf>
    <xf numFmtId="4" fontId="17" fillId="0" borderId="4" xfId="0" applyNumberFormat="1" applyFont="1" applyBorder="1" applyAlignment="1">
      <alignment horizontal="center" vertical="center"/>
    </xf>
    <xf numFmtId="0" fontId="7" fillId="5" borderId="6" xfId="0" applyFont="1" applyFill="1" applyBorder="1" applyAlignment="1">
      <alignment horizontal="center" vertical="center" wrapText="1"/>
    </xf>
    <xf numFmtId="0" fontId="17" fillId="0" borderId="1" xfId="0" applyFont="1" applyBorder="1" applyAlignment="1">
      <alignment horizontal="center" vertical="center"/>
    </xf>
    <xf numFmtId="0" fontId="12" fillId="0" borderId="1" xfId="0" applyFont="1" applyBorder="1" applyAlignment="1">
      <alignment horizontal="left" vertical="center" wrapText="1"/>
    </xf>
    <xf numFmtId="49" fontId="17" fillId="0" borderId="1" xfId="0" applyNumberFormat="1" applyFont="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7" fillId="0" borderId="3" xfId="0" applyFont="1" applyFill="1" applyBorder="1" applyAlignment="1">
      <alignment wrapText="1"/>
    </xf>
    <xf numFmtId="0" fontId="17" fillId="0" borderId="1" xfId="0" applyFont="1" applyFill="1" applyBorder="1"/>
    <xf numFmtId="49" fontId="12" fillId="0" borderId="1" xfId="0" applyNumberFormat="1" applyFont="1" applyBorder="1" applyAlignment="1">
      <alignment horizontal="center" vertical="center"/>
    </xf>
    <xf numFmtId="49" fontId="17" fillId="0" borderId="1" xfId="0" applyNumberFormat="1" applyFont="1" applyBorder="1" applyAlignment="1">
      <alignment horizontal="center" vertical="center" wrapText="1"/>
    </xf>
    <xf numFmtId="49" fontId="12" fillId="2" borderId="1" xfId="0" applyNumberFormat="1" applyFont="1" applyFill="1" applyBorder="1" applyAlignment="1">
      <alignment horizontal="center" vertical="center"/>
    </xf>
    <xf numFmtId="49" fontId="25" fillId="0" borderId="0" xfId="0" applyNumberFormat="1" applyFont="1" applyAlignment="1">
      <alignment horizontal="center" vertical="center" wrapText="1"/>
    </xf>
    <xf numFmtId="49" fontId="25" fillId="0" borderId="0" xfId="0" applyNumberFormat="1" applyFont="1" applyAlignment="1">
      <alignment horizontal="center" vertical="center"/>
    </xf>
    <xf numFmtId="0" fontId="12" fillId="0" borderId="0" xfId="0" applyFont="1" applyBorder="1" applyAlignment="1">
      <alignment horizontal="left" vertical="center" wrapText="1"/>
    </xf>
    <xf numFmtId="49" fontId="12" fillId="0" borderId="3" xfId="0" applyNumberFormat="1" applyFont="1" applyBorder="1" applyAlignment="1">
      <alignment horizontal="center" vertical="center"/>
    </xf>
    <xf numFmtId="0" fontId="0" fillId="0" borderId="1" xfId="0" applyBorder="1" applyAlignment="1">
      <alignment horizontal="center" vertical="center"/>
    </xf>
    <xf numFmtId="0" fontId="0" fillId="4" borderId="0" xfId="0" applyFill="1"/>
    <xf numFmtId="4" fontId="8" fillId="7" borderId="1" xfId="0" applyNumberFormat="1" applyFont="1" applyFill="1" applyBorder="1" applyAlignment="1">
      <alignment horizontal="center" vertical="center"/>
    </xf>
    <xf numFmtId="0" fontId="0" fillId="0" borderId="0" xfId="0" applyAlignment="1">
      <alignment horizontal="center"/>
    </xf>
    <xf numFmtId="4" fontId="8" fillId="7" borderId="11" xfId="0" applyNumberFormat="1" applyFont="1" applyFill="1" applyBorder="1" applyAlignment="1">
      <alignment horizontal="center" vertical="center"/>
    </xf>
    <xf numFmtId="49" fontId="15" fillId="0" borderId="0" xfId="0" applyNumberFormat="1" applyFont="1" applyFill="1" applyAlignment="1">
      <alignment horizontal="center" vertical="center"/>
    </xf>
    <xf numFmtId="0" fontId="15" fillId="0" borderId="0" xfId="0" applyFont="1" applyFill="1"/>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4" borderId="0" xfId="0" applyFont="1" applyFill="1"/>
    <xf numFmtId="0" fontId="41" fillId="0" borderId="0" xfId="0" applyFont="1" applyAlignment="1">
      <alignment horizontal="center" vertical="center"/>
    </xf>
    <xf numFmtId="0" fontId="0" fillId="0" borderId="0" xfId="0" applyFont="1" applyAlignment="1">
      <alignment horizontal="center" vertical="center"/>
    </xf>
    <xf numFmtId="10" fontId="0" fillId="0" borderId="0" xfId="0" applyNumberFormat="1" applyFont="1" applyAlignment="1">
      <alignment horizontal="center" vertical="center"/>
    </xf>
    <xf numFmtId="0" fontId="42" fillId="0" borderId="0" xfId="0" applyFont="1"/>
    <xf numFmtId="0" fontId="40" fillId="0" borderId="0" xfId="0" applyFont="1"/>
    <xf numFmtId="0" fontId="0" fillId="4" borderId="0" xfId="0" applyFill="1" applyAlignment="1">
      <alignment horizontal="center" vertical="center"/>
    </xf>
    <xf numFmtId="4" fontId="15" fillId="0" borderId="0" xfId="0" applyNumberFormat="1" applyFont="1" applyFill="1"/>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4" fontId="17" fillId="0" borderId="2" xfId="0" applyNumberFormat="1" applyFont="1" applyFill="1" applyBorder="1" applyAlignment="1">
      <alignment horizontal="center" vertical="center" wrapText="1"/>
    </xf>
    <xf numFmtId="0" fontId="16" fillId="4" borderId="0" xfId="0" applyFont="1" applyFill="1" applyAlignment="1">
      <alignment horizontal="center" vertical="center"/>
    </xf>
    <xf numFmtId="0" fontId="16" fillId="4" borderId="0" xfId="0" applyFont="1" applyFill="1"/>
    <xf numFmtId="164" fontId="17" fillId="0" borderId="3"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10" fontId="48" fillId="0" borderId="3" xfId="0" applyNumberFormat="1" applyFont="1" applyFill="1" applyBorder="1" applyAlignment="1">
      <alignment horizontal="center" vertical="center" wrapText="1"/>
    </xf>
    <xf numFmtId="49" fontId="49" fillId="0" borderId="2" xfId="0" applyNumberFormat="1" applyFont="1" applyFill="1" applyBorder="1" applyAlignment="1">
      <alignment horizontal="center" vertical="center"/>
    </xf>
    <xf numFmtId="0" fontId="49" fillId="0" borderId="2" xfId="0" applyFont="1" applyFill="1" applyBorder="1" applyAlignment="1">
      <alignment horizontal="center"/>
    </xf>
    <xf numFmtId="0" fontId="49" fillId="0" borderId="2" xfId="0" applyFont="1" applyFill="1" applyBorder="1" applyAlignment="1">
      <alignment horizontal="center" vertical="center"/>
    </xf>
    <xf numFmtId="3" fontId="49" fillId="0" borderId="2" xfId="0" applyNumberFormat="1" applyFont="1" applyFill="1" applyBorder="1" applyAlignment="1">
      <alignment horizontal="center"/>
    </xf>
    <xf numFmtId="0" fontId="49" fillId="4" borderId="0" xfId="0" applyFont="1" applyFill="1"/>
    <xf numFmtId="0" fontId="50" fillId="4" borderId="0" xfId="0" applyFont="1" applyFill="1"/>
    <xf numFmtId="0" fontId="50" fillId="0" borderId="0" xfId="0" applyFont="1" applyAlignment="1">
      <alignment horizontal="center" vertical="center"/>
    </xf>
    <xf numFmtId="0" fontId="50" fillId="0" borderId="0" xfId="0" applyFont="1"/>
    <xf numFmtId="0" fontId="51" fillId="0" borderId="0" xfId="0" applyFont="1"/>
    <xf numFmtId="0" fontId="3" fillId="0" borderId="0" xfId="0" applyFont="1"/>
    <xf numFmtId="0" fontId="3" fillId="4" borderId="0" xfId="0" applyFont="1" applyFill="1" applyAlignment="1">
      <alignment horizontal="center" vertical="center"/>
    </xf>
    <xf numFmtId="0" fontId="3" fillId="4" borderId="0" xfId="0" applyFont="1" applyFill="1"/>
    <xf numFmtId="0" fontId="52" fillId="0" borderId="0" xfId="0" applyFont="1"/>
    <xf numFmtId="0" fontId="19" fillId="4" borderId="1" xfId="0" applyFont="1" applyFill="1" applyBorder="1"/>
    <xf numFmtId="0" fontId="19" fillId="4" borderId="0" xfId="0" applyFont="1" applyFill="1"/>
    <xf numFmtId="0" fontId="20" fillId="4" borderId="0" xfId="0" applyFont="1" applyFill="1" applyAlignment="1">
      <alignment horizontal="center" vertical="center"/>
    </xf>
    <xf numFmtId="0" fontId="20" fillId="4" borderId="0" xfId="0" applyFont="1" applyFill="1"/>
    <xf numFmtId="49" fontId="17"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2" fontId="17" fillId="0" borderId="1" xfId="0" applyNumberFormat="1" applyFont="1" applyFill="1" applyBorder="1" applyAlignment="1">
      <alignment horizontal="center" vertical="center"/>
    </xf>
    <xf numFmtId="0" fontId="17" fillId="0" borderId="1" xfId="0" applyFont="1" applyFill="1" applyBorder="1" applyAlignment="1">
      <alignment horizontal="left" vertical="center"/>
    </xf>
    <xf numFmtId="4" fontId="17" fillId="0" borderId="1" xfId="0" applyNumberFormat="1" applyFont="1" applyFill="1" applyBorder="1" applyAlignment="1">
      <alignment horizontal="center" vertical="center"/>
    </xf>
    <xf numFmtId="4" fontId="17" fillId="4" borderId="1" xfId="0" applyNumberFormat="1" applyFont="1" applyFill="1" applyBorder="1" applyAlignment="1">
      <alignment horizontal="center" vertical="center"/>
    </xf>
    <xf numFmtId="2" fontId="17" fillId="4" borderId="0" xfId="0" applyNumberFormat="1" applyFont="1" applyFill="1" applyAlignment="1">
      <alignment horizontal="center" vertical="center"/>
    </xf>
    <xf numFmtId="4" fontId="15" fillId="0" borderId="1" xfId="0" applyNumberFormat="1" applyFont="1" applyBorder="1" applyAlignment="1">
      <alignment horizontal="center" vertical="center"/>
    </xf>
    <xf numFmtId="2" fontId="15" fillId="8" borderId="1" xfId="0" applyNumberFormat="1" applyFont="1" applyFill="1" applyBorder="1" applyAlignment="1">
      <alignment horizontal="center" vertical="center"/>
    </xf>
    <xf numFmtId="0" fontId="41" fillId="0" borderId="2" xfId="0" applyFont="1" applyBorder="1" applyAlignment="1">
      <alignment horizontal="center" vertical="center"/>
    </xf>
    <xf numFmtId="0" fontId="53" fillId="0" borderId="1" xfId="0" applyFont="1" applyBorder="1" applyAlignment="1">
      <alignment horizontal="center" vertical="center"/>
    </xf>
    <xf numFmtId="0" fontId="0" fillId="0" borderId="14" xfId="0" applyFont="1" applyBorder="1" applyAlignment="1">
      <alignment horizontal="center" vertical="center"/>
    </xf>
    <xf numFmtId="10" fontId="54" fillId="0" borderId="14" xfId="0" applyNumberFormat="1" applyFont="1" applyBorder="1" applyAlignment="1">
      <alignment horizontal="center" vertical="center"/>
    </xf>
    <xf numFmtId="2" fontId="42" fillId="0" borderId="1" xfId="0" applyNumberFormat="1" applyFont="1" applyBorder="1" applyAlignment="1">
      <alignment horizontal="center" vertical="center"/>
    </xf>
    <xf numFmtId="0" fontId="46" fillId="0" borderId="0" xfId="0" applyFont="1"/>
    <xf numFmtId="4" fontId="55" fillId="0" borderId="14" xfId="0" applyNumberFormat="1" applyFont="1" applyBorder="1" applyAlignment="1">
      <alignment horizontal="center" vertical="center"/>
    </xf>
    <xf numFmtId="4" fontId="19" fillId="0" borderId="1" xfId="0" applyNumberFormat="1" applyFont="1" applyFill="1" applyBorder="1" applyAlignment="1">
      <alignment horizontal="center" vertical="center"/>
    </xf>
    <xf numFmtId="4" fontId="42" fillId="0" borderId="1" xfId="0" applyNumberFormat="1" applyFont="1" applyBorder="1" applyAlignment="1">
      <alignment horizontal="center" vertical="center"/>
    </xf>
    <xf numFmtId="10" fontId="38" fillId="0" borderId="1" xfId="0" applyNumberFormat="1" applyFont="1" applyBorder="1" applyAlignment="1">
      <alignment horizontal="center" vertical="center"/>
    </xf>
    <xf numFmtId="4" fontId="16" fillId="0" borderId="1" xfId="0" applyNumberFormat="1" applyFont="1" applyBorder="1" applyAlignment="1">
      <alignment horizontal="center" vertical="center"/>
    </xf>
    <xf numFmtId="4" fontId="16" fillId="0" borderId="0" xfId="0" applyNumberFormat="1" applyFont="1" applyBorder="1" applyAlignment="1">
      <alignment horizontal="center" vertical="center"/>
    </xf>
    <xf numFmtId="0" fontId="16" fillId="0" borderId="1" xfId="0" applyFont="1" applyBorder="1" applyAlignment="1">
      <alignment horizontal="center" vertical="center"/>
    </xf>
    <xf numFmtId="0" fontId="56" fillId="0" borderId="1" xfId="0" applyFont="1" applyBorder="1" applyAlignment="1">
      <alignment horizontal="center" vertical="center"/>
    </xf>
    <xf numFmtId="0" fontId="16" fillId="0" borderId="0" xfId="0" applyFont="1" applyAlignment="1">
      <alignment horizontal="center" vertical="center"/>
    </xf>
    <xf numFmtId="10" fontId="16" fillId="0" borderId="1" xfId="0" applyNumberFormat="1" applyFont="1" applyBorder="1" applyAlignment="1">
      <alignment horizontal="center" vertical="center"/>
    </xf>
    <xf numFmtId="2" fontId="57" fillId="0" borderId="0" xfId="0" applyNumberFormat="1" applyFont="1"/>
    <xf numFmtId="4" fontId="19" fillId="4" borderId="1" xfId="0" applyNumberFormat="1" applyFont="1" applyFill="1" applyBorder="1"/>
    <xf numFmtId="0" fontId="19" fillId="0" borderId="1" xfId="0" applyFont="1" applyBorder="1"/>
    <xf numFmtId="0" fontId="20" fillId="0" borderId="1" xfId="0" applyFont="1" applyBorder="1" applyAlignment="1">
      <alignment horizontal="center" vertical="center"/>
    </xf>
    <xf numFmtId="0" fontId="20" fillId="0" borderId="0" xfId="0" applyFont="1" applyAlignment="1">
      <alignment horizontal="center" vertical="center"/>
    </xf>
    <xf numFmtId="10" fontId="20" fillId="0" borderId="1" xfId="0" applyNumberFormat="1" applyFont="1" applyBorder="1" applyAlignment="1">
      <alignment horizontal="center" vertical="center"/>
    </xf>
    <xf numFmtId="0" fontId="17" fillId="0" borderId="1" xfId="0" applyFont="1" applyFill="1" applyBorder="1" applyAlignment="1">
      <alignment horizontal="right" vertical="center"/>
    </xf>
    <xf numFmtId="2" fontId="22" fillId="0" borderId="1" xfId="0" applyNumberFormat="1" applyFont="1" applyFill="1" applyBorder="1" applyAlignment="1">
      <alignment horizontal="left" vertical="center" wrapText="1"/>
    </xf>
    <xf numFmtId="0" fontId="22" fillId="0" borderId="1" xfId="0" applyFont="1" applyFill="1" applyBorder="1" applyAlignment="1">
      <alignment horizontal="center" vertical="center"/>
    </xf>
    <xf numFmtId="4" fontId="17" fillId="0" borderId="1" xfId="0" applyNumberFormat="1" applyFont="1" applyFill="1" applyBorder="1"/>
    <xf numFmtId="4" fontId="17" fillId="4" borderId="1" xfId="0" applyNumberFormat="1" applyFont="1" applyFill="1" applyBorder="1"/>
    <xf numFmtId="0" fontId="17" fillId="4" borderId="0" xfId="0" applyFont="1" applyFill="1"/>
    <xf numFmtId="166" fontId="17" fillId="0" borderId="1" xfId="0" applyNumberFormat="1" applyFont="1" applyFill="1" applyBorder="1" applyAlignment="1">
      <alignment horizontal="center" vertical="center"/>
    </xf>
    <xf numFmtId="0" fontId="0" fillId="9" borderId="0" xfId="0" applyFont="1" applyFill="1"/>
    <xf numFmtId="0" fontId="42" fillId="9" borderId="0" xfId="0" applyFont="1" applyFill="1"/>
    <xf numFmtId="4" fontId="16" fillId="9" borderId="0" xfId="0" applyNumberFormat="1" applyFont="1" applyFill="1" applyBorder="1" applyAlignment="1">
      <alignment horizontal="center" vertical="center"/>
    </xf>
    <xf numFmtId="0" fontId="16" fillId="9" borderId="0" xfId="0" applyFont="1" applyFill="1"/>
    <xf numFmtId="0" fontId="16" fillId="9" borderId="0" xfId="0" applyFont="1" applyFill="1" applyAlignment="1">
      <alignment horizontal="center" vertical="center"/>
    </xf>
    <xf numFmtId="2" fontId="57" fillId="9" borderId="0" xfId="0" applyNumberFormat="1" applyFont="1" applyFill="1"/>
    <xf numFmtId="0" fontId="0" fillId="9" borderId="0" xfId="0" applyFill="1"/>
    <xf numFmtId="4" fontId="17" fillId="9" borderId="1" xfId="0" applyNumberFormat="1" applyFont="1" applyFill="1" applyBorder="1" applyAlignment="1">
      <alignment horizontal="center" vertical="center"/>
    </xf>
    <xf numFmtId="0" fontId="17" fillId="9" borderId="0" xfId="0" applyFont="1" applyFill="1" applyBorder="1" applyAlignment="1">
      <alignment horizontal="center"/>
    </xf>
    <xf numFmtId="4" fontId="15" fillId="9" borderId="1" xfId="0" applyNumberFormat="1" applyFont="1" applyFill="1" applyBorder="1" applyAlignment="1">
      <alignment horizontal="center" vertical="center"/>
    </xf>
    <xf numFmtId="2" fontId="15" fillId="9" borderId="1" xfId="0" applyNumberFormat="1" applyFont="1" applyFill="1" applyBorder="1" applyAlignment="1">
      <alignment horizontal="center" vertical="center"/>
    </xf>
    <xf numFmtId="0" fontId="41" fillId="9" borderId="2" xfId="0" applyFont="1" applyFill="1" applyBorder="1" applyAlignment="1">
      <alignment horizontal="center" vertical="center"/>
    </xf>
    <xf numFmtId="0" fontId="0" fillId="9" borderId="1" xfId="0" applyFont="1" applyFill="1" applyBorder="1" applyAlignment="1">
      <alignment horizontal="center" vertical="center"/>
    </xf>
    <xf numFmtId="0" fontId="0" fillId="9" borderId="14" xfId="0" applyFont="1" applyFill="1" applyBorder="1" applyAlignment="1">
      <alignment horizontal="center" vertical="center"/>
    </xf>
    <xf numFmtId="10" fontId="54" fillId="9" borderId="14" xfId="0" applyNumberFormat="1" applyFont="1" applyFill="1" applyBorder="1" applyAlignment="1">
      <alignment horizontal="center" vertical="center"/>
    </xf>
    <xf numFmtId="2" fontId="42" fillId="9" borderId="1" xfId="0" applyNumberFormat="1" applyFont="1" applyFill="1" applyBorder="1" applyAlignment="1">
      <alignment horizontal="center" vertical="center"/>
    </xf>
    <xf numFmtId="0" fontId="46" fillId="9" borderId="0" xfId="0" applyFont="1" applyFill="1"/>
    <xf numFmtId="4" fontId="19" fillId="9" borderId="1" xfId="0" applyNumberFormat="1" applyFont="1" applyFill="1" applyBorder="1" applyAlignment="1">
      <alignment horizontal="center" vertical="center"/>
    </xf>
    <xf numFmtId="4" fontId="42" fillId="9" borderId="1" xfId="0" applyNumberFormat="1" applyFont="1" applyFill="1" applyBorder="1" applyAlignment="1">
      <alignment horizontal="center" vertical="center"/>
    </xf>
    <xf numFmtId="10" fontId="38" fillId="9" borderId="1" xfId="0" applyNumberFormat="1" applyFont="1" applyFill="1" applyBorder="1" applyAlignment="1">
      <alignment horizontal="center" vertical="center"/>
    </xf>
    <xf numFmtId="0" fontId="16" fillId="9" borderId="1" xfId="0" applyFont="1" applyFill="1" applyBorder="1" applyAlignment="1">
      <alignment horizontal="center" vertical="center"/>
    </xf>
    <xf numFmtId="0" fontId="56" fillId="9" borderId="1" xfId="0" applyFont="1" applyFill="1" applyBorder="1" applyAlignment="1">
      <alignment horizontal="center" vertical="center"/>
    </xf>
    <xf numFmtId="10" fontId="16" fillId="9" borderId="1" xfId="0" applyNumberFormat="1" applyFont="1" applyFill="1" applyBorder="1" applyAlignment="1">
      <alignment horizontal="center" vertical="center"/>
    </xf>
    <xf numFmtId="0" fontId="31" fillId="9" borderId="0" xfId="0" applyFont="1" applyFill="1"/>
    <xf numFmtId="2" fontId="17" fillId="4" borderId="0" xfId="0" applyNumberFormat="1" applyFont="1" applyFill="1" applyBorder="1" applyAlignment="1">
      <alignment horizontal="center" vertical="center"/>
    </xf>
    <xf numFmtId="2" fontId="17" fillId="9" borderId="0" xfId="0" applyNumberFormat="1" applyFont="1" applyFill="1" applyAlignment="1">
      <alignment horizontal="center" vertical="center"/>
    </xf>
    <xf numFmtId="0" fontId="46" fillId="9" borderId="1" xfId="0" applyFont="1" applyFill="1" applyBorder="1" applyAlignment="1">
      <alignment horizontal="center" vertical="center"/>
    </xf>
    <xf numFmtId="0" fontId="46" fillId="9" borderId="14" xfId="0" applyFont="1" applyFill="1" applyBorder="1" applyAlignment="1">
      <alignment horizontal="center" vertical="center"/>
    </xf>
    <xf numFmtId="2" fontId="17" fillId="9" borderId="0" xfId="0" applyNumberFormat="1" applyFont="1" applyFill="1" applyBorder="1" applyAlignment="1">
      <alignment horizontal="center" vertical="center"/>
    </xf>
    <xf numFmtId="4" fontId="55" fillId="9" borderId="1" xfId="0" applyNumberFormat="1" applyFont="1" applyFill="1" applyBorder="1" applyAlignment="1">
      <alignment horizontal="center" vertical="center"/>
    </xf>
    <xf numFmtId="0" fontId="53" fillId="9" borderId="1" xfId="0" applyFont="1" applyFill="1" applyBorder="1" applyAlignment="1">
      <alignment horizontal="center" vertical="center"/>
    </xf>
    <xf numFmtId="10" fontId="58" fillId="9" borderId="14" xfId="0" applyNumberFormat="1" applyFont="1" applyFill="1" applyBorder="1" applyAlignment="1">
      <alignment horizontal="center" vertical="center"/>
    </xf>
    <xf numFmtId="10" fontId="43" fillId="9" borderId="1" xfId="0" applyNumberFormat="1" applyFont="1" applyFill="1" applyBorder="1" applyAlignment="1">
      <alignment horizontal="center" vertical="center"/>
    </xf>
    <xf numFmtId="0" fontId="43" fillId="9" borderId="0" xfId="0" applyFont="1" applyFill="1" applyBorder="1" applyAlignment="1">
      <alignment vertical="center"/>
    </xf>
    <xf numFmtId="2" fontId="13" fillId="4" borderId="0" xfId="0" applyNumberFormat="1" applyFont="1" applyFill="1" applyAlignment="1">
      <alignment horizontal="center" vertical="center"/>
    </xf>
    <xf numFmtId="10" fontId="0" fillId="0" borderId="1" xfId="0" applyNumberFormat="1" applyBorder="1" applyAlignment="1">
      <alignment horizontal="center" vertical="center"/>
    </xf>
    <xf numFmtId="0" fontId="15" fillId="4" borderId="0" xfId="0" applyFont="1" applyFill="1"/>
    <xf numFmtId="2" fontId="13" fillId="4" borderId="0" xfId="0" applyNumberFormat="1" applyFont="1" applyFill="1" applyBorder="1" applyAlignment="1">
      <alignment horizontal="center" vertical="center"/>
    </xf>
    <xf numFmtId="0" fontId="17" fillId="4" borderId="1" xfId="0" applyFont="1" applyFill="1" applyBorder="1"/>
    <xf numFmtId="4" fontId="19" fillId="0" borderId="1" xfId="0" applyNumberFormat="1" applyFont="1" applyBorder="1"/>
    <xf numFmtId="49" fontId="17" fillId="0" borderId="1" xfId="0" applyNumberFormat="1" applyFont="1" applyFill="1" applyBorder="1" applyAlignment="1">
      <alignment horizontal="center" vertical="center" wrapText="1"/>
    </xf>
    <xf numFmtId="0" fontId="26" fillId="0" borderId="22" xfId="0" applyFont="1" applyFill="1" applyBorder="1" applyAlignment="1">
      <alignment vertical="center"/>
    </xf>
    <xf numFmtId="0" fontId="26" fillId="4" borderId="13" xfId="0" applyFont="1" applyFill="1" applyBorder="1" applyAlignment="1">
      <alignment vertical="center"/>
    </xf>
    <xf numFmtId="2" fontId="13" fillId="9" borderId="0" xfId="0" applyNumberFormat="1" applyFont="1" applyFill="1" applyAlignment="1">
      <alignment horizontal="center" vertical="center"/>
    </xf>
    <xf numFmtId="0" fontId="0" fillId="9" borderId="0" xfId="0" applyFill="1" applyAlignment="1">
      <alignment horizontal="center" vertical="center"/>
    </xf>
    <xf numFmtId="0" fontId="0" fillId="9" borderId="1" xfId="0" applyFill="1" applyBorder="1" applyAlignment="1">
      <alignment horizontal="center" vertical="center"/>
    </xf>
    <xf numFmtId="10" fontId="0" fillId="9" borderId="1" xfId="0" applyNumberFormat="1" applyFill="1" applyBorder="1" applyAlignment="1">
      <alignment horizontal="center" vertical="center"/>
    </xf>
    <xf numFmtId="0" fontId="17" fillId="0" borderId="1" xfId="0" applyFont="1" applyFill="1" applyBorder="1" applyAlignment="1">
      <alignment vertical="center" wrapText="1"/>
    </xf>
    <xf numFmtId="4" fontId="15" fillId="4" borderId="1" xfId="0" applyNumberFormat="1" applyFont="1" applyFill="1" applyBorder="1" applyAlignment="1">
      <alignment horizontal="center" vertical="center"/>
    </xf>
    <xf numFmtId="2" fontId="15" fillId="4" borderId="1" xfId="0" applyNumberFormat="1" applyFont="1" applyFill="1" applyBorder="1" applyAlignment="1">
      <alignment horizontal="center" vertical="center"/>
    </xf>
    <xf numFmtId="0" fontId="53" fillId="4" borderId="1" xfId="0" applyFont="1" applyFill="1" applyBorder="1" applyAlignment="1">
      <alignment horizontal="center" vertical="center"/>
    </xf>
    <xf numFmtId="0" fontId="0" fillId="4" borderId="14" xfId="0" applyFont="1" applyFill="1" applyBorder="1" applyAlignment="1">
      <alignment horizontal="center" vertical="center"/>
    </xf>
    <xf numFmtId="2" fontId="42" fillId="4" borderId="1" xfId="0" applyNumberFormat="1" applyFont="1" applyFill="1" applyBorder="1" applyAlignment="1">
      <alignment horizontal="center" vertical="center"/>
    </xf>
    <xf numFmtId="0" fontId="46" fillId="4" borderId="0" xfId="0" applyFont="1" applyFill="1"/>
    <xf numFmtId="0" fontId="42" fillId="4" borderId="0" xfId="0" applyFont="1" applyFill="1"/>
    <xf numFmtId="4" fontId="19" fillId="4" borderId="1" xfId="0" applyNumberFormat="1" applyFont="1" applyFill="1" applyBorder="1" applyAlignment="1">
      <alignment horizontal="center" vertical="center"/>
    </xf>
    <xf numFmtId="4" fontId="42" fillId="4" borderId="1" xfId="0" applyNumberFormat="1" applyFont="1" applyFill="1" applyBorder="1" applyAlignment="1">
      <alignment horizontal="center" vertical="center"/>
    </xf>
    <xf numFmtId="10" fontId="38" fillId="4" borderId="1" xfId="0" applyNumberFormat="1" applyFont="1" applyFill="1" applyBorder="1" applyAlignment="1">
      <alignment horizontal="center" vertical="center"/>
    </xf>
    <xf numFmtId="4" fontId="16" fillId="4" borderId="0" xfId="0" applyNumberFormat="1" applyFont="1" applyFill="1" applyBorder="1" applyAlignment="1">
      <alignment horizontal="center" vertical="center"/>
    </xf>
    <xf numFmtId="0" fontId="0" fillId="4" borderId="1" xfId="0" applyFill="1" applyBorder="1" applyAlignment="1">
      <alignment horizontal="center" vertical="center"/>
    </xf>
    <xf numFmtId="0" fontId="16" fillId="4" borderId="1" xfId="0" applyFont="1" applyFill="1" applyBorder="1" applyAlignment="1">
      <alignment horizontal="center" vertical="center"/>
    </xf>
    <xf numFmtId="0" fontId="56" fillId="4" borderId="1" xfId="0" applyFont="1" applyFill="1" applyBorder="1" applyAlignment="1">
      <alignment horizontal="center" vertical="center"/>
    </xf>
    <xf numFmtId="10" fontId="16" fillId="4" borderId="1" xfId="0" applyNumberFormat="1" applyFont="1" applyFill="1" applyBorder="1" applyAlignment="1">
      <alignment horizontal="center" vertical="center"/>
    </xf>
    <xf numFmtId="10" fontId="58" fillId="0" borderId="14" xfId="0" applyNumberFormat="1" applyFont="1" applyBorder="1" applyAlignment="1">
      <alignment horizontal="center" vertical="center"/>
    </xf>
    <xf numFmtId="10" fontId="43" fillId="0" borderId="1" xfId="0" applyNumberFormat="1" applyFont="1" applyBorder="1" applyAlignment="1">
      <alignment horizontal="center" vertical="center"/>
    </xf>
    <xf numFmtId="0" fontId="15" fillId="0" borderId="1" xfId="0" applyFont="1" applyBorder="1" applyAlignment="1">
      <alignment horizontal="center" vertical="center"/>
    </xf>
    <xf numFmtId="2" fontId="13" fillId="0" borderId="0" xfId="0" applyNumberFormat="1" applyFont="1" applyFill="1" applyAlignment="1">
      <alignment horizontal="center" vertical="center"/>
    </xf>
    <xf numFmtId="4" fontId="15" fillId="0" borderId="1" xfId="0" applyNumberFormat="1" applyFont="1" applyFill="1" applyBorder="1" applyAlignment="1">
      <alignment horizontal="center" vertical="center"/>
    </xf>
    <xf numFmtId="2" fontId="15" fillId="0" borderId="1" xfId="0" applyNumberFormat="1" applyFont="1" applyFill="1" applyBorder="1" applyAlignment="1">
      <alignment horizontal="center" vertical="center"/>
    </xf>
    <xf numFmtId="0" fontId="0" fillId="0" borderId="0" xfId="0" applyFont="1" applyFill="1"/>
    <xf numFmtId="0" fontId="53" fillId="0" borderId="1" xfId="0" applyFont="1" applyFill="1" applyBorder="1" applyAlignment="1">
      <alignment horizontal="center" vertical="center"/>
    </xf>
    <xf numFmtId="0" fontId="0" fillId="0" borderId="14" xfId="0" applyFont="1" applyFill="1" applyBorder="1" applyAlignment="1">
      <alignment horizontal="center" vertical="center"/>
    </xf>
    <xf numFmtId="2" fontId="42" fillId="0" borderId="1" xfId="0" applyNumberFormat="1" applyFont="1" applyFill="1" applyBorder="1" applyAlignment="1">
      <alignment horizontal="center" vertical="center"/>
    </xf>
    <xf numFmtId="0" fontId="46" fillId="0" borderId="0" xfId="0" applyFont="1" applyFill="1"/>
    <xf numFmtId="0" fontId="42" fillId="0" borderId="0" xfId="0" applyFont="1" applyFill="1"/>
    <xf numFmtId="0" fontId="0" fillId="0" borderId="0" xfId="0" applyFill="1"/>
    <xf numFmtId="0" fontId="0" fillId="0" borderId="1" xfId="0" applyFill="1" applyBorder="1" applyAlignment="1">
      <alignment horizontal="center" vertical="center"/>
    </xf>
    <xf numFmtId="0" fontId="0" fillId="0" borderId="0" xfId="0" applyFill="1" applyAlignment="1">
      <alignment horizontal="center" vertical="center"/>
    </xf>
    <xf numFmtId="10" fontId="0" fillId="0" borderId="1" xfId="0" applyNumberFormat="1" applyFill="1" applyBorder="1" applyAlignment="1">
      <alignment horizontal="center" vertical="center"/>
    </xf>
    <xf numFmtId="10" fontId="43" fillId="4" borderId="1" xfId="0" applyNumberFormat="1" applyFont="1" applyFill="1" applyBorder="1" applyAlignment="1">
      <alignment horizontal="center" vertical="center"/>
    </xf>
    <xf numFmtId="0" fontId="26" fillId="0" borderId="22" xfId="0" applyFont="1" applyFill="1" applyBorder="1" applyAlignment="1">
      <alignment vertical="center" wrapText="1"/>
    </xf>
    <xf numFmtId="0" fontId="28" fillId="4" borderId="13" xfId="0" applyFont="1" applyFill="1" applyBorder="1" applyAlignment="1">
      <alignment vertical="center" wrapText="1"/>
    </xf>
    <xf numFmtId="0" fontId="39" fillId="4" borderId="0" xfId="0" applyFont="1" applyFill="1"/>
    <xf numFmtId="4" fontId="17" fillId="4" borderId="2" xfId="0" applyNumberFormat="1" applyFont="1" applyFill="1" applyBorder="1" applyAlignment="1">
      <alignment horizontal="center" vertical="center"/>
    </xf>
    <xf numFmtId="10" fontId="43" fillId="4" borderId="0" xfId="0" applyNumberFormat="1" applyFont="1" applyFill="1" applyAlignment="1">
      <alignment horizontal="center" vertical="center"/>
    </xf>
    <xf numFmtId="0" fontId="22" fillId="0" borderId="1" xfId="0" applyFont="1" applyFill="1" applyBorder="1" applyAlignment="1">
      <alignment horizontal="left" vertical="center"/>
    </xf>
    <xf numFmtId="2" fontId="13" fillId="9" borderId="0" xfId="0" applyNumberFormat="1" applyFont="1" applyFill="1" applyBorder="1" applyAlignment="1">
      <alignment horizontal="center" vertical="center"/>
    </xf>
    <xf numFmtId="10" fontId="11" fillId="9" borderId="14" xfId="0" applyNumberFormat="1" applyFont="1" applyFill="1" applyBorder="1" applyAlignment="1">
      <alignment horizontal="center" vertical="center"/>
    </xf>
    <xf numFmtId="0" fontId="18" fillId="0" borderId="22" xfId="0" applyFont="1" applyFill="1" applyBorder="1" applyAlignment="1">
      <alignment vertical="center"/>
    </xf>
    <xf numFmtId="0" fontId="18" fillId="0" borderId="13" xfId="0" applyFont="1" applyFill="1" applyBorder="1" applyAlignment="1">
      <alignment vertical="center"/>
    </xf>
    <xf numFmtId="165" fontId="17" fillId="0" borderId="1" xfId="0" applyNumberFormat="1" applyFont="1" applyFill="1" applyBorder="1" applyAlignment="1">
      <alignment horizontal="center" vertical="center"/>
    </xf>
    <xf numFmtId="0" fontId="39" fillId="0" borderId="2" xfId="0" applyFont="1" applyBorder="1" applyAlignment="1">
      <alignment horizontal="center" vertical="center"/>
    </xf>
    <xf numFmtId="2" fontId="60" fillId="0" borderId="0" xfId="0" applyNumberFormat="1" applyFont="1"/>
    <xf numFmtId="0" fontId="39" fillId="0" borderId="0" xfId="0" applyFont="1"/>
    <xf numFmtId="49" fontId="19" fillId="0" borderId="1" xfId="0" applyNumberFormat="1" applyFont="1" applyFill="1" applyBorder="1" applyAlignment="1">
      <alignment horizontal="center" vertical="center"/>
    </xf>
    <xf numFmtId="0" fontId="17" fillId="0" borderId="1" xfId="0" applyFont="1" applyFill="1" applyBorder="1" applyAlignment="1">
      <alignment horizontal="center" wrapText="1"/>
    </xf>
    <xf numFmtId="10" fontId="61" fillId="0" borderId="14" xfId="0" applyNumberFormat="1" applyFont="1" applyBorder="1" applyAlignment="1">
      <alignment horizontal="center" vertical="center"/>
    </xf>
    <xf numFmtId="49" fontId="19" fillId="0" borderId="3" xfId="0" applyNumberFormat="1" applyFont="1" applyFill="1" applyBorder="1" applyAlignment="1">
      <alignment horizontal="center" vertical="center"/>
    </xf>
    <xf numFmtId="0" fontId="41" fillId="0" borderId="1" xfId="0" applyFont="1" applyBorder="1" applyAlignment="1">
      <alignment horizontal="center" vertical="center"/>
    </xf>
    <xf numFmtId="49" fontId="0" fillId="0" borderId="0" xfId="0" applyNumberFormat="1" applyFont="1" applyFill="1" applyAlignment="1">
      <alignment horizontal="center" vertical="center"/>
    </xf>
    <xf numFmtId="2" fontId="15" fillId="8" borderId="0" xfId="0" applyNumberFormat="1" applyFont="1" applyFill="1" applyAlignment="1">
      <alignment horizontal="center" vertical="center"/>
    </xf>
    <xf numFmtId="0" fontId="42" fillId="0" borderId="0" xfId="0" applyFont="1" applyAlignment="1">
      <alignment horizontal="center" vertical="center"/>
    </xf>
    <xf numFmtId="10" fontId="0" fillId="0" borderId="0" xfId="0" applyNumberFormat="1"/>
    <xf numFmtId="4" fontId="40" fillId="0" borderId="2" xfId="0" applyNumberFormat="1" applyFont="1" applyBorder="1"/>
    <xf numFmtId="2" fontId="42" fillId="0" borderId="0" xfId="0" applyNumberFormat="1" applyFont="1" applyAlignment="1">
      <alignment horizontal="center" vertical="center"/>
    </xf>
    <xf numFmtId="4" fontId="42" fillId="0" borderId="0" xfId="0" applyNumberFormat="1" applyFont="1"/>
    <xf numFmtId="4" fontId="40" fillId="0" borderId="0" xfId="0" applyNumberFormat="1" applyFont="1"/>
    <xf numFmtId="0" fontId="0" fillId="0" borderId="0" xfId="0" applyNumberFormat="1" applyAlignment="1">
      <alignment horizontal="center" vertical="center"/>
    </xf>
    <xf numFmtId="10" fontId="0" fillId="0" borderId="0" xfId="0" applyNumberFormat="1" applyAlignment="1">
      <alignment horizontal="center" vertical="center"/>
    </xf>
    <xf numFmtId="10" fontId="0" fillId="0" borderId="1" xfId="0" applyNumberFormat="1" applyBorder="1"/>
    <xf numFmtId="4" fontId="19" fillId="0" borderId="0" xfId="0" applyNumberFormat="1" applyFont="1"/>
    <xf numFmtId="4" fontId="62" fillId="0" borderId="1" xfId="0" applyNumberFormat="1" applyFont="1" applyFill="1" applyBorder="1" applyAlignment="1">
      <alignment horizontal="center"/>
    </xf>
    <xf numFmtId="0" fontId="40" fillId="0" borderId="1" xfId="0" applyFont="1" applyBorder="1"/>
    <xf numFmtId="4" fontId="0" fillId="0" borderId="0" xfId="0" applyNumberFormat="1" applyFont="1" applyAlignment="1">
      <alignment horizontal="center" vertical="center"/>
    </xf>
    <xf numFmtId="0" fontId="19" fillId="0" borderId="0" xfId="0" applyFont="1" applyFill="1" applyAlignment="1">
      <alignment horizontal="left" vertical="center"/>
    </xf>
    <xf numFmtId="0" fontId="19" fillId="0" borderId="0" xfId="0" applyFont="1" applyFill="1"/>
    <xf numFmtId="4" fontId="40" fillId="0" borderId="1" xfId="0" applyNumberFormat="1" applyFont="1" applyBorder="1"/>
    <xf numFmtId="166" fontId="0" fillId="0" borderId="0" xfId="0" applyNumberFormat="1" applyFont="1" applyAlignment="1">
      <alignment horizontal="center" vertical="center"/>
    </xf>
    <xf numFmtId="0" fontId="0" fillId="0" borderId="0" xfId="0" applyFont="1" applyFill="1" applyAlignment="1">
      <alignment horizontal="center" vertical="center"/>
    </xf>
    <xf numFmtId="4" fontId="0" fillId="0" borderId="0" xfId="0" applyNumberFormat="1" applyFont="1" applyFill="1"/>
    <xf numFmtId="4" fontId="0" fillId="0" borderId="1" xfId="0" applyNumberFormat="1" applyBorder="1"/>
    <xf numFmtId="4" fontId="0" fillId="0" borderId="1" xfId="0" applyNumberFormat="1" applyFill="1" applyBorder="1"/>
    <xf numFmtId="4" fontId="0" fillId="0" borderId="0" xfId="0" applyNumberFormat="1" applyFont="1"/>
    <xf numFmtId="2" fontId="15" fillId="8" borderId="14" xfId="0" applyNumberFormat="1" applyFont="1" applyFill="1" applyBorder="1" applyAlignment="1">
      <alignment horizontal="center" vertical="center"/>
    </xf>
    <xf numFmtId="0" fontId="0" fillId="4" borderId="22" xfId="0" applyFont="1" applyFill="1" applyBorder="1"/>
    <xf numFmtId="0" fontId="0" fillId="0" borderId="13" xfId="0" applyFont="1" applyBorder="1" applyAlignment="1">
      <alignment horizontal="center" vertical="center"/>
    </xf>
    <xf numFmtId="4" fontId="0" fillId="0" borderId="1" xfId="0" applyNumberFormat="1" applyFont="1" applyBorder="1"/>
    <xf numFmtId="10" fontId="0" fillId="0" borderId="1" xfId="0" applyNumberFormat="1" applyFont="1" applyBorder="1" applyAlignment="1">
      <alignment vertical="center"/>
    </xf>
    <xf numFmtId="0" fontId="42" fillId="0" borderId="1" xfId="0" applyFont="1" applyBorder="1"/>
    <xf numFmtId="0" fontId="46" fillId="0" borderId="1" xfId="0" applyFont="1" applyBorder="1"/>
    <xf numFmtId="4" fontId="0" fillId="0" borderId="0" xfId="0" applyNumberFormat="1" applyFill="1"/>
    <xf numFmtId="10" fontId="0" fillId="0" borderId="1" xfId="0" applyNumberFormat="1" applyFont="1" applyBorder="1" applyAlignment="1">
      <alignment horizontal="center" vertical="center"/>
    </xf>
    <xf numFmtId="10" fontId="15" fillId="8" borderId="14" xfId="0" applyNumberFormat="1" applyFont="1" applyFill="1" applyBorder="1" applyAlignment="1">
      <alignment horizontal="center" vertical="center"/>
    </xf>
    <xf numFmtId="49" fontId="12" fillId="0" borderId="4" xfId="0" applyNumberFormat="1" applyFont="1" applyBorder="1" applyAlignment="1">
      <alignment horizontal="center" vertical="center"/>
    </xf>
    <xf numFmtId="0" fontId="12" fillId="0" borderId="0" xfId="0" applyFont="1" applyBorder="1" applyAlignment="1">
      <alignment vertical="center" wrapText="1"/>
    </xf>
    <xf numFmtId="0" fontId="19" fillId="0" borderId="0" xfId="0" applyFont="1" applyFill="1" applyAlignment="1">
      <alignment horizontal="left"/>
    </xf>
    <xf numFmtId="0" fontId="17" fillId="0" borderId="19" xfId="0" applyFont="1" applyBorder="1" applyAlignment="1">
      <alignment horizontal="center" vertical="center"/>
    </xf>
    <xf numFmtId="2" fontId="17" fillId="0" borderId="19" xfId="0" applyNumberFormat="1" applyFont="1" applyBorder="1" applyAlignment="1">
      <alignment horizontal="center" vertical="center"/>
    </xf>
    <xf numFmtId="0" fontId="7" fillId="5" borderId="6" xfId="0" applyFont="1" applyFill="1" applyBorder="1" applyAlignment="1">
      <alignment horizontal="center" vertical="center" wrapText="1"/>
    </xf>
    <xf numFmtId="2" fontId="13" fillId="0" borderId="0" xfId="0" applyNumberFormat="1" applyFont="1" applyBorder="1" applyAlignment="1">
      <alignment horizontal="center" vertical="center"/>
    </xf>
    <xf numFmtId="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2" fillId="0" borderId="1" xfId="0" applyFont="1" applyBorder="1" applyAlignment="1">
      <alignment horizontal="left" vertical="center" wrapText="1"/>
    </xf>
    <xf numFmtId="49" fontId="19" fillId="0" borderId="3" xfId="0" applyNumberFormat="1" applyFont="1" applyBorder="1" applyAlignment="1">
      <alignment horizontal="center" vertical="center"/>
    </xf>
    <xf numFmtId="49" fontId="1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7" fillId="0" borderId="3" xfId="0" applyFont="1" applyFill="1" applyBorder="1" applyAlignment="1">
      <alignment wrapText="1"/>
    </xf>
    <xf numFmtId="0" fontId="12" fillId="0" borderId="3" xfId="0" applyFont="1" applyBorder="1" applyAlignment="1">
      <alignment horizontal="center" vertical="center" wrapText="1"/>
    </xf>
    <xf numFmtId="0" fontId="17" fillId="0" borderId="1" xfId="0" applyFont="1" applyFill="1" applyBorder="1"/>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4" fontId="12" fillId="0" borderId="2" xfId="0" applyNumberFormat="1" applyFont="1" applyFill="1" applyBorder="1" applyAlignment="1">
      <alignment horizontal="center" vertical="center" wrapText="1"/>
    </xf>
    <xf numFmtId="0" fontId="17" fillId="0" borderId="1" xfId="0" applyFont="1" applyBorder="1" applyAlignment="1">
      <alignment horizontal="left" vertical="center"/>
    </xf>
    <xf numFmtId="2" fontId="17" fillId="0" borderId="1" xfId="0" applyNumberFormat="1" applyFont="1" applyBorder="1" applyAlignment="1">
      <alignment horizontal="center" vertical="center"/>
    </xf>
    <xf numFmtId="49" fontId="17" fillId="0" borderId="1" xfId="0" applyNumberFormat="1" applyFont="1" applyBorder="1" applyAlignment="1">
      <alignment horizontal="center" vertical="center" wrapText="1"/>
    </xf>
    <xf numFmtId="0" fontId="12" fillId="0" borderId="1" xfId="0" applyFont="1" applyFill="1" applyBorder="1" applyAlignment="1">
      <alignment horizontal="left" vertical="center" wrapText="1"/>
    </xf>
    <xf numFmtId="49" fontId="12" fillId="2" borderId="1" xfId="0" applyNumberFormat="1" applyFont="1" applyFill="1" applyBorder="1" applyAlignment="1">
      <alignment horizontal="center" vertical="center"/>
    </xf>
    <xf numFmtId="0" fontId="17" fillId="0" borderId="1" xfId="0" applyFont="1" applyBorder="1" applyAlignment="1">
      <alignment horizontal="left" vertical="center" wrapText="1"/>
    </xf>
    <xf numFmtId="49" fontId="25" fillId="0" borderId="0" xfId="0" applyNumberFormat="1" applyFont="1" applyAlignment="1">
      <alignment horizontal="center" vertical="center" wrapText="1"/>
    </xf>
    <xf numFmtId="49" fontId="25" fillId="0" borderId="0" xfId="0" applyNumberFormat="1" applyFont="1" applyAlignment="1">
      <alignment horizontal="center" vertical="center"/>
    </xf>
    <xf numFmtId="0" fontId="17" fillId="0" borderId="3" xfId="0" applyFont="1" applyBorder="1" applyAlignment="1">
      <alignment horizontal="center" vertical="center"/>
    </xf>
    <xf numFmtId="49" fontId="12" fillId="0" borderId="3" xfId="0" applyNumberFormat="1" applyFont="1" applyBorder="1" applyAlignment="1">
      <alignment horizontal="center" vertical="center"/>
    </xf>
    <xf numFmtId="0" fontId="0" fillId="0" borderId="1" xfId="0" applyBorder="1" applyAlignment="1">
      <alignment horizontal="center" vertical="center"/>
    </xf>
    <xf numFmtId="4" fontId="19" fillId="0" borderId="1" xfId="0" applyNumberFormat="1" applyFont="1" applyBorder="1" applyAlignment="1">
      <alignment horizontal="center" vertical="center"/>
    </xf>
    <xf numFmtId="4" fontId="42" fillId="0" borderId="1" xfId="0" applyNumberFormat="1" applyFont="1" applyBorder="1" applyAlignment="1">
      <alignment horizontal="center" vertical="center"/>
    </xf>
    <xf numFmtId="2" fontId="13" fillId="4" borderId="0" xfId="0" applyNumberFormat="1" applyFont="1" applyFill="1" applyBorder="1" applyAlignment="1">
      <alignment horizontal="center" vertical="center"/>
    </xf>
    <xf numFmtId="2" fontId="15" fillId="8"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4" fontId="17" fillId="0" borderId="1" xfId="0" applyNumberFormat="1" applyFont="1" applyFill="1" applyBorder="1" applyAlignment="1">
      <alignment horizontal="center" vertical="center"/>
    </xf>
    <xf numFmtId="4" fontId="17" fillId="4" borderId="2"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2" fontId="17" fillId="0" borderId="1" xfId="0" applyNumberFormat="1" applyFont="1" applyFill="1" applyBorder="1" applyAlignment="1">
      <alignment horizontal="center" vertical="center"/>
    </xf>
    <xf numFmtId="0" fontId="17" fillId="0" borderId="1" xfId="0" applyFont="1" applyFill="1" applyBorder="1" applyAlignment="1">
      <alignment horizontal="left" vertical="center"/>
    </xf>
    <xf numFmtId="4" fontId="19" fillId="9" borderId="1" xfId="0" applyNumberFormat="1" applyFont="1" applyFill="1" applyBorder="1" applyAlignment="1">
      <alignment horizontal="center" vertical="center"/>
    </xf>
    <xf numFmtId="4" fontId="42" fillId="9" borderId="1" xfId="0" applyNumberFormat="1" applyFont="1" applyFill="1" applyBorder="1" applyAlignment="1">
      <alignment horizontal="center" vertical="center"/>
    </xf>
    <xf numFmtId="2" fontId="13" fillId="9" borderId="0" xfId="0" applyNumberFormat="1" applyFont="1" applyFill="1" applyBorder="1" applyAlignment="1">
      <alignment horizontal="center" vertical="center"/>
    </xf>
    <xf numFmtId="2" fontId="15" fillId="9"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4" fontId="55" fillId="9" borderId="1" xfId="0" applyNumberFormat="1" applyFont="1" applyFill="1" applyBorder="1" applyAlignment="1">
      <alignment horizontal="center" vertical="center"/>
    </xf>
    <xf numFmtId="4" fontId="15" fillId="0" borderId="1" xfId="0" applyNumberFormat="1" applyFont="1" applyBorder="1" applyAlignment="1">
      <alignment horizontal="center" vertical="center"/>
    </xf>
    <xf numFmtId="2" fontId="42" fillId="0" borderId="1" xfId="0" applyNumberFormat="1" applyFont="1" applyBorder="1" applyAlignment="1">
      <alignment horizontal="center" vertical="center"/>
    </xf>
    <xf numFmtId="2" fontId="17" fillId="9" borderId="0" xfId="0" applyNumberFormat="1" applyFont="1" applyFill="1" applyBorder="1" applyAlignment="1">
      <alignment horizontal="center" vertical="center"/>
    </xf>
    <xf numFmtId="2" fontId="17" fillId="4" borderId="0"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4" fontId="17" fillId="0" borderId="2" xfId="0" applyNumberFormat="1" applyFont="1" applyFill="1" applyBorder="1" applyAlignment="1">
      <alignment horizontal="center" vertical="center" wrapText="1"/>
    </xf>
    <xf numFmtId="0" fontId="0" fillId="4" borderId="0" xfId="0" applyFill="1" applyAlignment="1">
      <alignment horizontal="center" vertical="center"/>
    </xf>
    <xf numFmtId="4" fontId="42" fillId="0" borderId="1" xfId="0" applyNumberFormat="1" applyFont="1" applyBorder="1" applyAlignment="1">
      <alignment horizontal="center" vertical="center"/>
    </xf>
    <xf numFmtId="4" fontId="8" fillId="4" borderId="1" xfId="0" applyNumberFormat="1" applyFont="1" applyFill="1" applyBorder="1" applyAlignment="1">
      <alignment horizontal="center" vertical="center"/>
    </xf>
    <xf numFmtId="0" fontId="7" fillId="0" borderId="8" xfId="0" applyFont="1" applyFill="1" applyBorder="1" applyAlignment="1">
      <alignment horizontal="left" vertical="center"/>
    </xf>
    <xf numFmtId="4" fontId="8" fillId="4" borderId="11" xfId="0" applyNumberFormat="1" applyFont="1" applyFill="1" applyBorder="1" applyAlignment="1">
      <alignment horizontal="center" vertical="center"/>
    </xf>
    <xf numFmtId="10" fontId="10" fillId="0" borderId="1" xfId="0" applyNumberFormat="1" applyFont="1" applyBorder="1" applyAlignment="1">
      <alignment horizontal="center" vertical="center" wrapText="1"/>
    </xf>
    <xf numFmtId="4" fontId="63" fillId="0" borderId="1" xfId="0" applyNumberFormat="1" applyFont="1" applyBorder="1" applyAlignment="1">
      <alignment horizontal="center" vertical="center"/>
    </xf>
    <xf numFmtId="10" fontId="54" fillId="0" borderId="1" xfId="0" applyNumberFormat="1" applyFont="1" applyBorder="1" applyAlignment="1">
      <alignment horizontal="center" vertical="center"/>
    </xf>
    <xf numFmtId="4" fontId="64" fillId="0" borderId="1" xfId="0" applyNumberFormat="1" applyFont="1" applyBorder="1" applyAlignment="1">
      <alignment horizontal="center" vertical="center"/>
    </xf>
    <xf numFmtId="10" fontId="54" fillId="9" borderId="1" xfId="0" applyNumberFormat="1" applyFont="1" applyFill="1" applyBorder="1" applyAlignment="1">
      <alignment horizontal="center" vertical="center"/>
    </xf>
    <xf numFmtId="10" fontId="58" fillId="9" borderId="1" xfId="0" applyNumberFormat="1" applyFont="1" applyFill="1" applyBorder="1" applyAlignment="1">
      <alignment horizontal="center" vertical="center"/>
    </xf>
    <xf numFmtId="4" fontId="63" fillId="4" borderId="1" xfId="0" applyNumberFormat="1" applyFont="1" applyFill="1" applyBorder="1" applyAlignment="1">
      <alignment horizontal="center" vertical="center"/>
    </xf>
    <xf numFmtId="10" fontId="58" fillId="0" borderId="1" xfId="0" applyNumberFormat="1" applyFont="1" applyBorder="1" applyAlignment="1">
      <alignment horizontal="center" vertical="center"/>
    </xf>
    <xf numFmtId="4" fontId="63" fillId="0" borderId="1" xfId="0" applyNumberFormat="1" applyFont="1" applyFill="1" applyBorder="1" applyAlignment="1">
      <alignment horizontal="center" vertical="center"/>
    </xf>
    <xf numFmtId="10" fontId="11" fillId="9" borderId="1" xfId="0" applyNumberFormat="1" applyFont="1" applyFill="1" applyBorder="1" applyAlignment="1">
      <alignment horizontal="center" vertical="center"/>
    </xf>
    <xf numFmtId="10" fontId="61" fillId="0" borderId="1" xfId="0" applyNumberFormat="1" applyFont="1" applyBorder="1" applyAlignment="1">
      <alignment horizontal="center" vertical="center"/>
    </xf>
    <xf numFmtId="2" fontId="66" fillId="0" borderId="0" xfId="0" applyNumberFormat="1" applyFont="1"/>
    <xf numFmtId="4" fontId="67" fillId="0" borderId="0" xfId="0" applyNumberFormat="1" applyFont="1"/>
    <xf numFmtId="4" fontId="62" fillId="0" borderId="0" xfId="0" applyNumberFormat="1" applyFont="1" applyFill="1" applyBorder="1" applyAlignment="1">
      <alignment horizontal="center"/>
    </xf>
    <xf numFmtId="0" fontId="40" fillId="0" borderId="0" xfId="0" applyFont="1" applyBorder="1"/>
    <xf numFmtId="4" fontId="40" fillId="0" borderId="0" xfId="0" applyNumberFormat="1" applyFont="1" applyBorder="1"/>
    <xf numFmtId="10" fontId="10" fillId="0" borderId="0" xfId="0" applyNumberFormat="1" applyFont="1" applyAlignment="1">
      <alignment horizontal="center" vertical="center"/>
    </xf>
    <xf numFmtId="2" fontId="0" fillId="0" borderId="1" xfId="0" applyNumberFormat="1" applyBorder="1" applyAlignment="1">
      <alignment horizontal="center" vertical="center"/>
    </xf>
    <xf numFmtId="0" fontId="43" fillId="0" borderId="1" xfId="0" applyFont="1" applyBorder="1"/>
    <xf numFmtId="49" fontId="17" fillId="4" borderId="1" xfId="0" applyNumberFormat="1" applyFont="1" applyFill="1" applyBorder="1" applyAlignment="1">
      <alignment horizontal="center" vertical="center"/>
    </xf>
    <xf numFmtId="49" fontId="17" fillId="4" borderId="1" xfId="0" applyNumberFormat="1"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4" fillId="4" borderId="1" xfId="0" applyFont="1" applyFill="1" applyBorder="1" applyAlignment="1">
      <alignment horizontal="left" vertical="center"/>
    </xf>
    <xf numFmtId="0" fontId="14" fillId="4" borderId="1" xfId="0" applyFont="1" applyFill="1" applyBorder="1" applyAlignment="1">
      <alignment horizontal="center" vertical="center"/>
    </xf>
    <xf numFmtId="0" fontId="41" fillId="4" borderId="2" xfId="0" applyFont="1" applyFill="1" applyBorder="1" applyAlignment="1">
      <alignment horizontal="center" vertical="center"/>
    </xf>
    <xf numFmtId="10" fontId="54" fillId="4" borderId="14" xfId="0" applyNumberFormat="1" applyFont="1" applyFill="1" applyBorder="1" applyAlignment="1">
      <alignment horizontal="center" vertical="center"/>
    </xf>
    <xf numFmtId="4" fontId="16" fillId="4" borderId="1" xfId="0" applyNumberFormat="1" applyFont="1" applyFill="1" applyBorder="1" applyAlignment="1">
      <alignment horizontal="center" vertical="center"/>
    </xf>
    <xf numFmtId="0" fontId="31" fillId="4" borderId="0" xfId="0" applyFont="1" applyFill="1"/>
    <xf numFmtId="2" fontId="57" fillId="4" borderId="0" xfId="0" applyNumberFormat="1" applyFont="1" applyFill="1"/>
    <xf numFmtId="49" fontId="17" fillId="10" borderId="1" xfId="0" applyNumberFormat="1" applyFont="1" applyFill="1" applyBorder="1" applyAlignment="1">
      <alignment horizontal="center" vertical="center"/>
    </xf>
    <xf numFmtId="49" fontId="17" fillId="10" borderId="1" xfId="0" applyNumberFormat="1"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1" xfId="0" applyFont="1" applyFill="1" applyBorder="1" applyAlignment="1">
      <alignment horizontal="center" vertical="center"/>
    </xf>
    <xf numFmtId="0" fontId="14" fillId="10" borderId="1" xfId="0" applyFont="1" applyFill="1" applyBorder="1" applyAlignment="1">
      <alignment horizontal="left" vertical="center"/>
    </xf>
    <xf numFmtId="0" fontId="14" fillId="10" borderId="1" xfId="0" applyFont="1" applyFill="1" applyBorder="1" applyAlignment="1">
      <alignment horizontal="center" vertical="center"/>
    </xf>
    <xf numFmtId="4" fontId="17" fillId="10" borderId="1" xfId="0" applyNumberFormat="1" applyFont="1" applyFill="1" applyBorder="1" applyAlignment="1">
      <alignment horizontal="center" vertical="center"/>
    </xf>
    <xf numFmtId="2" fontId="13" fillId="10" borderId="0" xfId="0" applyNumberFormat="1" applyFont="1" applyFill="1" applyAlignment="1">
      <alignment horizontal="center" vertical="center"/>
    </xf>
    <xf numFmtId="4" fontId="63" fillId="10" borderId="1" xfId="0" applyNumberFormat="1" applyFont="1" applyFill="1" applyBorder="1" applyAlignment="1">
      <alignment horizontal="center" vertical="center"/>
    </xf>
    <xf numFmtId="2" fontId="15" fillId="10" borderId="1" xfId="0" applyNumberFormat="1" applyFont="1" applyFill="1" applyBorder="1" applyAlignment="1">
      <alignment horizontal="center" vertical="center"/>
    </xf>
    <xf numFmtId="10" fontId="54" fillId="10" borderId="1" xfId="0" applyNumberFormat="1" applyFont="1" applyFill="1" applyBorder="1" applyAlignment="1">
      <alignment horizontal="center" vertical="center"/>
    </xf>
    <xf numFmtId="2" fontId="42" fillId="10" borderId="1" xfId="0" applyNumberFormat="1" applyFont="1" applyFill="1" applyBorder="1" applyAlignment="1">
      <alignment horizontal="center" vertical="center"/>
    </xf>
    <xf numFmtId="0" fontId="46" fillId="10" borderId="0" xfId="0" applyFont="1" applyFill="1"/>
    <xf numFmtId="0" fontId="42" fillId="10" borderId="0" xfId="0" applyFont="1" applyFill="1"/>
    <xf numFmtId="4" fontId="19" fillId="10" borderId="1" xfId="0" applyNumberFormat="1" applyFont="1" applyFill="1" applyBorder="1" applyAlignment="1">
      <alignment horizontal="center" vertical="center"/>
    </xf>
    <xf numFmtId="4" fontId="64" fillId="10" borderId="1" xfId="0" applyNumberFormat="1" applyFont="1" applyFill="1" applyBorder="1" applyAlignment="1">
      <alignment horizontal="center" vertical="center"/>
    </xf>
    <xf numFmtId="4" fontId="16" fillId="10" borderId="0" xfId="0" applyNumberFormat="1" applyFont="1" applyFill="1" applyBorder="1" applyAlignment="1">
      <alignment horizontal="center" vertical="center"/>
    </xf>
    <xf numFmtId="0" fontId="0" fillId="10" borderId="0" xfId="0" applyFill="1"/>
    <xf numFmtId="0" fontId="0" fillId="10" borderId="1" xfId="0" applyFill="1" applyBorder="1" applyAlignment="1">
      <alignment horizontal="center" vertical="center"/>
    </xf>
    <xf numFmtId="0" fontId="16" fillId="10" borderId="1" xfId="0" applyFont="1" applyFill="1" applyBorder="1" applyAlignment="1">
      <alignment horizontal="center" vertical="center"/>
    </xf>
    <xf numFmtId="0" fontId="56" fillId="10" borderId="1" xfId="0" applyFont="1" applyFill="1" applyBorder="1" applyAlignment="1">
      <alignment horizontal="center" vertical="center"/>
    </xf>
    <xf numFmtId="0" fontId="0" fillId="10" borderId="0" xfId="0" applyFill="1" applyAlignment="1">
      <alignment horizontal="center" vertical="center"/>
    </xf>
    <xf numFmtId="10" fontId="0" fillId="10" borderId="1" xfId="0" applyNumberFormat="1" applyFill="1" applyBorder="1" applyAlignment="1">
      <alignment horizontal="center" vertical="center"/>
    </xf>
    <xf numFmtId="10" fontId="16" fillId="10" borderId="1" xfId="0" applyNumberFormat="1" applyFont="1" applyFill="1" applyBorder="1" applyAlignment="1">
      <alignment horizontal="center" vertical="center"/>
    </xf>
    <xf numFmtId="0" fontId="31" fillId="10" borderId="0" xfId="0" applyFont="1" applyFill="1"/>
    <xf numFmtId="2" fontId="57" fillId="10" borderId="0" xfId="0" applyNumberFormat="1" applyFont="1" applyFill="1"/>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4" fontId="17"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xf>
    <xf numFmtId="10" fontId="68" fillId="0" borderId="3" xfId="0" applyNumberFormat="1"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9" xfId="0" applyFont="1" applyBorder="1" applyAlignment="1">
      <alignment horizontal="center" vertical="center" wrapText="1"/>
    </xf>
    <xf numFmtId="4" fontId="17" fillId="0" borderId="19" xfId="0" applyNumberFormat="1" applyFont="1" applyBorder="1" applyAlignment="1">
      <alignment horizontal="center" vertical="center"/>
    </xf>
    <xf numFmtId="0" fontId="17" fillId="0" borderId="19" xfId="0" applyFont="1" applyBorder="1"/>
    <xf numFmtId="164" fontId="23" fillId="0" borderId="1" xfId="0" applyNumberFormat="1" applyFont="1" applyFill="1" applyBorder="1" applyAlignment="1">
      <alignment horizontal="center" vertical="center"/>
    </xf>
    <xf numFmtId="10" fontId="23" fillId="0" borderId="1" xfId="0" applyNumberFormat="1" applyFont="1" applyFill="1" applyBorder="1" applyAlignment="1">
      <alignment horizontal="center" vertical="center" wrapText="1"/>
    </xf>
    <xf numFmtId="2" fontId="17" fillId="8" borderId="1" xfId="0" applyNumberFormat="1" applyFont="1" applyFill="1" applyBorder="1" applyAlignment="1">
      <alignment horizontal="center" vertical="center"/>
    </xf>
    <xf numFmtId="0" fontId="10" fillId="0" borderId="17" xfId="0" applyFont="1" applyBorder="1" applyAlignment="1">
      <alignment vertical="center" wrapText="1"/>
    </xf>
    <xf numFmtId="4" fontId="17" fillId="0" borderId="2" xfId="0" applyNumberFormat="1" applyFont="1" applyBorder="1" applyAlignment="1">
      <alignment horizontal="center" vertical="center"/>
    </xf>
    <xf numFmtId="2" fontId="13" fillId="0" borderId="0" xfId="0" applyNumberFormat="1" applyFont="1" applyBorder="1" applyAlignment="1">
      <alignment horizontal="center" vertical="center"/>
    </xf>
    <xf numFmtId="4" fontId="12" fillId="0" borderId="2" xfId="0" applyNumberFormat="1" applyFont="1" applyFill="1" applyBorder="1" applyAlignment="1">
      <alignment horizontal="center" vertical="center" wrapText="1"/>
    </xf>
    <xf numFmtId="4" fontId="17" fillId="0" borderId="20" xfId="0" applyNumberFormat="1" applyFont="1" applyBorder="1" applyAlignment="1">
      <alignment horizontal="center" vertical="center"/>
    </xf>
    <xf numFmtId="0" fontId="0" fillId="0" borderId="0" xfId="0" applyBorder="1"/>
    <xf numFmtId="49" fontId="25" fillId="0" borderId="0" xfId="0" applyNumberFormat="1" applyFont="1" applyAlignment="1">
      <alignment horizontal="center" vertical="center"/>
    </xf>
    <xf numFmtId="0" fontId="19" fillId="0" borderId="0" xfId="0" applyFont="1" applyAlignment="1">
      <alignment vertical="center" wrapText="1"/>
    </xf>
    <xf numFmtId="0" fontId="12" fillId="4" borderId="1"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8" xfId="0" applyFont="1" applyFill="1" applyBorder="1" applyAlignment="1">
      <alignment horizontal="center" vertical="center"/>
    </xf>
    <xf numFmtId="49" fontId="15" fillId="0" borderId="0" xfId="0" applyNumberFormat="1" applyFont="1" applyAlignment="1">
      <alignment horizontal="left" vertical="center" wrapText="1"/>
    </xf>
    <xf numFmtId="0" fontId="19" fillId="0" borderId="0" xfId="0" applyFont="1" applyAlignment="1">
      <alignment horizontal="right" vertical="center" wrapText="1"/>
    </xf>
    <xf numFmtId="49" fontId="25" fillId="0" borderId="0" xfId="0" applyNumberFormat="1" applyFont="1" applyAlignment="1">
      <alignment horizontal="center" vertical="center" wrapText="1"/>
    </xf>
    <xf numFmtId="49" fontId="25" fillId="0" borderId="0" xfId="0" applyNumberFormat="1" applyFont="1" applyAlignment="1">
      <alignment horizontal="center" vertical="center"/>
    </xf>
    <xf numFmtId="0" fontId="29" fillId="0" borderId="0" xfId="0" applyFont="1" applyAlignment="1">
      <alignment horizontal="center" vertical="center"/>
    </xf>
    <xf numFmtId="49" fontId="12"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49" fontId="17" fillId="0" borderId="1" xfId="0" applyNumberFormat="1" applyFont="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49" fontId="17" fillId="0" borderId="1" xfId="0" applyNumberFormat="1" applyFont="1" applyBorder="1" applyAlignment="1">
      <alignment horizontal="center" vertical="center" wrapText="1"/>
    </xf>
    <xf numFmtId="4" fontId="17" fillId="0" borderId="2" xfId="0" applyNumberFormat="1" applyFont="1" applyBorder="1" applyAlignment="1">
      <alignment horizontal="center" vertical="center"/>
    </xf>
    <xf numFmtId="4" fontId="17" fillId="0" borderId="3" xfId="0" applyNumberFormat="1" applyFont="1" applyBorder="1" applyAlignment="1">
      <alignment horizontal="center" vertical="center"/>
    </xf>
    <xf numFmtId="4" fontId="17" fillId="0" borderId="1" xfId="0" applyNumberFormat="1" applyFont="1" applyBorder="1" applyAlignment="1">
      <alignment horizontal="center" vertical="center"/>
    </xf>
    <xf numFmtId="0" fontId="28" fillId="0" borderId="1" xfId="0" applyFont="1" applyBorder="1" applyAlignment="1">
      <alignment horizontal="left" vertical="center" wrapText="1"/>
    </xf>
    <xf numFmtId="49" fontId="12" fillId="2" borderId="1" xfId="0" applyNumberFormat="1" applyFont="1" applyFill="1" applyBorder="1" applyAlignment="1">
      <alignment horizontal="center" vertical="center"/>
    </xf>
    <xf numFmtId="0" fontId="17"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2" fontId="13" fillId="0" borderId="0" xfId="0" applyNumberFormat="1" applyFont="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49" fontId="19" fillId="0" borderId="2" xfId="0" applyNumberFormat="1" applyFont="1" applyBorder="1" applyAlignment="1">
      <alignment horizontal="center" vertical="center"/>
    </xf>
    <xf numFmtId="49" fontId="19" fillId="0" borderId="3" xfId="0" applyNumberFormat="1" applyFont="1" applyBorder="1" applyAlignment="1">
      <alignment horizontal="center" vertical="center"/>
    </xf>
    <xf numFmtId="0" fontId="18" fillId="0" borderId="1" xfId="0" applyFont="1" applyBorder="1" applyAlignment="1">
      <alignment horizontal="center" vertical="center"/>
    </xf>
    <xf numFmtId="0" fontId="12" fillId="0" borderId="1" xfId="0" applyFont="1" applyFill="1" applyBorder="1" applyAlignment="1">
      <alignment horizontal="left" vertical="center" wrapText="1"/>
    </xf>
    <xf numFmtId="2" fontId="1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26" fillId="0" borderId="1" xfId="0" applyFont="1" applyBorder="1" applyAlignment="1">
      <alignment horizontal="lef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4" fontId="12" fillId="0" borderId="2" xfId="0"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7" fillId="0" borderId="3" xfId="0" applyFont="1" applyFill="1" applyBorder="1" applyAlignment="1">
      <alignment wrapText="1"/>
    </xf>
    <xf numFmtId="0" fontId="12" fillId="0" borderId="1" xfId="0" applyFont="1" applyFill="1" applyBorder="1"/>
    <xf numFmtId="0" fontId="17" fillId="0" borderId="1" xfId="0" applyFont="1" applyFill="1" applyBorder="1"/>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9" fillId="0" borderId="0" xfId="0" applyFont="1" applyFill="1" applyAlignment="1">
      <alignment horizontal="right" vertical="top" wrapText="1"/>
    </xf>
    <xf numFmtId="0" fontId="42" fillId="0" borderId="2"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3"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3"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3" xfId="0" applyFont="1" applyBorder="1" applyAlignment="1">
      <alignment horizontal="center" vertical="center" wrapText="1"/>
    </xf>
    <xf numFmtId="10" fontId="0" fillId="0" borderId="1" xfId="0" applyNumberFormat="1" applyFont="1" applyBorder="1" applyAlignment="1">
      <alignment horizontal="center" vertical="center" wrapText="1"/>
    </xf>
    <xf numFmtId="49" fontId="25" fillId="0" borderId="0" xfId="0" applyNumberFormat="1" applyFont="1" applyFill="1" applyAlignment="1">
      <alignment horizontal="center" vertical="center" wrapText="1"/>
    </xf>
    <xf numFmtId="49" fontId="25" fillId="0" borderId="0" xfId="0" applyNumberFormat="1" applyFont="1" applyFill="1" applyAlignment="1">
      <alignment horizontal="center" vertical="center"/>
    </xf>
    <xf numFmtId="0" fontId="16" fillId="0" borderId="21" xfId="0" applyFont="1" applyBorder="1" applyAlignment="1">
      <alignment horizontal="center" wrapText="1"/>
    </xf>
    <xf numFmtId="0" fontId="0" fillId="4" borderId="0" xfId="0" applyFill="1" applyAlignment="1">
      <alignment horizontal="center" vertical="center" wrapText="1"/>
    </xf>
    <xf numFmtId="0" fontId="0" fillId="4" borderId="19" xfId="0" applyFill="1" applyBorder="1" applyAlignment="1">
      <alignment horizontal="center" vertical="center" wrapText="1"/>
    </xf>
    <xf numFmtId="0" fontId="0" fillId="4" borderId="0" xfId="0" applyFill="1" applyAlignment="1">
      <alignment horizontal="center" vertical="center"/>
    </xf>
    <xf numFmtId="0" fontId="0" fillId="4" borderId="19" xfId="0" applyFill="1" applyBorder="1" applyAlignment="1">
      <alignment horizontal="center" vertical="center"/>
    </xf>
    <xf numFmtId="0" fontId="0" fillId="4" borderId="2"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3" xfId="0" applyFill="1" applyBorder="1" applyAlignment="1">
      <alignment horizontal="center" vertical="center" wrapText="1"/>
    </xf>
    <xf numFmtId="0" fontId="25" fillId="0" borderId="2" xfId="0" applyFont="1" applyBorder="1" applyAlignment="1">
      <alignment horizontal="center" wrapText="1"/>
    </xf>
    <xf numFmtId="0" fontId="25" fillId="0" borderId="20" xfId="0" applyFont="1" applyBorder="1" applyAlignment="1">
      <alignment horizontal="center" wrapText="1"/>
    </xf>
    <xf numFmtId="0" fontId="25" fillId="0" borderId="3" xfId="0" applyFont="1" applyBorder="1" applyAlignment="1">
      <alignment horizontal="center" wrapText="1"/>
    </xf>
    <xf numFmtId="49"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10" fontId="10" fillId="0" borderId="1" xfId="0" applyNumberFormat="1" applyFont="1" applyBorder="1" applyAlignment="1">
      <alignment horizontal="center" vertical="center" wrapText="1"/>
    </xf>
    <xf numFmtId="0" fontId="18" fillId="0" borderId="14"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13"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7" fillId="8" borderId="19" xfId="0" applyFont="1" applyFill="1" applyBorder="1" applyAlignment="1">
      <alignment horizontal="center" vertical="center" wrapText="1"/>
    </xf>
    <xf numFmtId="0" fontId="47" fillId="8"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wrapText="1"/>
    </xf>
    <xf numFmtId="4" fontId="17" fillId="0" borderId="2" xfId="0" applyNumberFormat="1" applyFont="1" applyFill="1" applyBorder="1" applyAlignment="1">
      <alignment horizontal="center" vertical="center" wrapText="1"/>
    </xf>
    <xf numFmtId="4" fontId="17" fillId="0" borderId="3"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 fontId="17" fillId="4" borderId="2" xfId="0" applyNumberFormat="1" applyFont="1" applyFill="1" applyBorder="1" applyAlignment="1">
      <alignment horizontal="center" vertical="center"/>
    </xf>
    <xf numFmtId="4" fontId="17" fillId="4" borderId="3" xfId="0" applyNumberFormat="1" applyFont="1" applyFill="1" applyBorder="1" applyAlignment="1">
      <alignment horizontal="center" vertical="center"/>
    </xf>
    <xf numFmtId="2" fontId="17" fillId="4" borderId="20" xfId="0" applyNumberFormat="1" applyFont="1" applyFill="1" applyBorder="1" applyAlignment="1">
      <alignment horizontal="center" vertical="center"/>
    </xf>
    <xf numFmtId="0" fontId="17" fillId="0" borderId="1" xfId="0" applyFont="1" applyFill="1" applyBorder="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10" fontId="16" fillId="0" borderId="2" xfId="0" applyNumberFormat="1" applyFont="1" applyBorder="1" applyAlignment="1">
      <alignment horizontal="center" vertical="center"/>
    </xf>
    <xf numFmtId="10" fontId="16" fillId="0" borderId="3" xfId="0" applyNumberFormat="1" applyFont="1" applyBorder="1" applyAlignment="1">
      <alignment horizontal="center" vertical="center"/>
    </xf>
    <xf numFmtId="4" fontId="19" fillId="0" borderId="1" xfId="0" applyNumberFormat="1" applyFont="1" applyBorder="1" applyAlignment="1">
      <alignment horizontal="center" vertical="center"/>
    </xf>
    <xf numFmtId="0" fontId="31" fillId="0" borderId="21" xfId="0" applyFont="1" applyBorder="1" applyAlignment="1">
      <alignment horizontal="center"/>
    </xf>
    <xf numFmtId="0" fontId="56" fillId="0" borderId="2" xfId="0" applyFont="1" applyBorder="1" applyAlignment="1">
      <alignment horizontal="center" vertical="center"/>
    </xf>
    <xf numFmtId="0" fontId="56" fillId="0" borderId="3" xfId="0" applyFont="1" applyBorder="1" applyAlignment="1">
      <alignment horizontal="center" vertical="center"/>
    </xf>
    <xf numFmtId="4" fontId="63" fillId="0" borderId="1" xfId="0" applyNumberFormat="1" applyFont="1" applyBorder="1" applyAlignment="1">
      <alignment horizontal="center" vertical="center"/>
    </xf>
    <xf numFmtId="2" fontId="15" fillId="8" borderId="1" xfId="0" applyNumberFormat="1" applyFont="1" applyFill="1" applyBorder="1" applyAlignment="1">
      <alignment horizontal="center" vertical="center"/>
    </xf>
    <xf numFmtId="10" fontId="54" fillId="0" borderId="1" xfId="0" applyNumberFormat="1" applyFont="1" applyBorder="1" applyAlignment="1">
      <alignment horizontal="center" vertical="center"/>
    </xf>
    <xf numFmtId="2" fontId="42" fillId="0" borderId="2" xfId="0" applyNumberFormat="1" applyFont="1" applyBorder="1" applyAlignment="1">
      <alignment horizontal="center" vertical="center"/>
    </xf>
    <xf numFmtId="2" fontId="42" fillId="0" borderId="3" xfId="0" applyNumberFormat="1" applyFont="1" applyBorder="1" applyAlignment="1">
      <alignment horizontal="center" vertical="center"/>
    </xf>
    <xf numFmtId="4" fontId="64" fillId="0" borderId="2" xfId="0" applyNumberFormat="1" applyFont="1" applyBorder="1" applyAlignment="1">
      <alignment horizontal="center" vertical="center"/>
    </xf>
    <xf numFmtId="4" fontId="64" fillId="0" borderId="3" xfId="0" applyNumberFormat="1" applyFont="1" applyBorder="1" applyAlignment="1">
      <alignment horizontal="center" vertical="center"/>
    </xf>
    <xf numFmtId="4" fontId="63" fillId="0" borderId="2" xfId="0" applyNumberFormat="1" applyFont="1" applyBorder="1" applyAlignment="1">
      <alignment horizontal="center" vertical="center"/>
    </xf>
    <xf numFmtId="4" fontId="63" fillId="0" borderId="3" xfId="0" applyNumberFormat="1" applyFont="1" applyBorder="1" applyAlignment="1">
      <alignment horizontal="center" vertical="center"/>
    </xf>
    <xf numFmtId="2" fontId="17" fillId="0" borderId="1" xfId="0" applyNumberFormat="1" applyFont="1" applyFill="1" applyBorder="1" applyAlignment="1">
      <alignment horizontal="left" vertical="center" wrapText="1"/>
    </xf>
    <xf numFmtId="2" fontId="17" fillId="0" borderId="1" xfId="0" applyNumberFormat="1" applyFont="1" applyFill="1" applyBorder="1" applyAlignment="1">
      <alignment horizontal="center" vertical="center"/>
    </xf>
    <xf numFmtId="4" fontId="55" fillId="9" borderId="2" xfId="0" applyNumberFormat="1" applyFont="1" applyFill="1" applyBorder="1" applyAlignment="1">
      <alignment horizontal="center" vertical="center"/>
    </xf>
    <xf numFmtId="4" fontId="55" fillId="9" borderId="3" xfId="0" applyNumberFormat="1" applyFont="1" applyFill="1" applyBorder="1" applyAlignment="1">
      <alignment horizontal="center" vertical="center"/>
    </xf>
    <xf numFmtId="2" fontId="15" fillId="9" borderId="1" xfId="0" applyNumberFormat="1" applyFont="1" applyFill="1" applyBorder="1" applyAlignment="1">
      <alignment horizontal="center" vertical="center"/>
    </xf>
    <xf numFmtId="10" fontId="58" fillId="9" borderId="1" xfId="0" applyNumberFormat="1" applyFont="1" applyFill="1" applyBorder="1" applyAlignment="1">
      <alignment horizontal="center" vertical="center"/>
    </xf>
    <xf numFmtId="2" fontId="42" fillId="9" borderId="2" xfId="0" applyNumberFormat="1" applyFont="1" applyFill="1" applyBorder="1" applyAlignment="1">
      <alignment horizontal="center" vertical="center"/>
    </xf>
    <xf numFmtId="2" fontId="42" fillId="9" borderId="3" xfId="0" applyNumberFormat="1" applyFont="1" applyFill="1" applyBorder="1" applyAlignment="1">
      <alignment horizontal="center" vertical="center"/>
    </xf>
    <xf numFmtId="0" fontId="31" fillId="9" borderId="21" xfId="0" applyFont="1" applyFill="1" applyBorder="1" applyAlignment="1">
      <alignment horizontal="center"/>
    </xf>
    <xf numFmtId="0" fontId="56" fillId="9" borderId="2" xfId="0" applyFont="1" applyFill="1" applyBorder="1" applyAlignment="1">
      <alignment horizontal="center" vertical="center"/>
    </xf>
    <xf numFmtId="0" fontId="56" fillId="9" borderId="3" xfId="0" applyFont="1" applyFill="1" applyBorder="1" applyAlignment="1">
      <alignment horizontal="center" vertical="center"/>
    </xf>
    <xf numFmtId="0" fontId="16" fillId="9" borderId="2" xfId="0" applyFont="1" applyFill="1" applyBorder="1" applyAlignment="1">
      <alignment horizontal="center" vertical="center"/>
    </xf>
    <xf numFmtId="0" fontId="16" fillId="9" borderId="3" xfId="0" applyFont="1" applyFill="1" applyBorder="1" applyAlignment="1">
      <alignment horizontal="center" vertical="center"/>
    </xf>
    <xf numFmtId="10" fontId="16" fillId="9" borderId="2" xfId="0" applyNumberFormat="1" applyFont="1" applyFill="1" applyBorder="1" applyAlignment="1">
      <alignment horizontal="center" vertical="center"/>
    </xf>
    <xf numFmtId="10" fontId="16" fillId="9" borderId="3" xfId="0" applyNumberFormat="1" applyFont="1" applyFill="1" applyBorder="1" applyAlignment="1">
      <alignment horizontal="center" vertical="center"/>
    </xf>
    <xf numFmtId="4" fontId="19" fillId="9" borderId="1" xfId="0" applyNumberFormat="1" applyFont="1" applyFill="1" applyBorder="1" applyAlignment="1">
      <alignment horizontal="center" vertical="center"/>
    </xf>
    <xf numFmtId="10" fontId="43" fillId="9" borderId="2" xfId="0" applyNumberFormat="1" applyFont="1" applyFill="1" applyBorder="1" applyAlignment="1">
      <alignment horizontal="center" vertical="center"/>
    </xf>
    <xf numFmtId="0" fontId="43" fillId="9" borderId="3" xfId="0" applyFont="1" applyFill="1" applyBorder="1" applyAlignment="1">
      <alignment horizontal="center" vertical="center"/>
    </xf>
    <xf numFmtId="4" fontId="17" fillId="9" borderId="2" xfId="0" applyNumberFormat="1" applyFont="1" applyFill="1" applyBorder="1" applyAlignment="1">
      <alignment horizontal="center" vertical="center"/>
    </xf>
    <xf numFmtId="4" fontId="17" fillId="9" borderId="3" xfId="0" applyNumberFormat="1" applyFont="1" applyFill="1" applyBorder="1" applyAlignment="1">
      <alignment horizontal="center" vertical="center"/>
    </xf>
    <xf numFmtId="2" fontId="17" fillId="9" borderId="20" xfId="0" applyNumberFormat="1" applyFont="1" applyFill="1" applyBorder="1" applyAlignment="1">
      <alignment horizontal="center" vertical="center"/>
    </xf>
    <xf numFmtId="4" fontId="65" fillId="0" borderId="1"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0" fillId="0" borderId="3" xfId="0" applyFont="1" applyFill="1" applyBorder="1"/>
    <xf numFmtId="4" fontId="17" fillId="0" borderId="2" xfId="0" applyNumberFormat="1" applyFont="1" applyFill="1" applyBorder="1" applyAlignment="1">
      <alignment horizontal="center" vertical="center"/>
    </xf>
    <xf numFmtId="0" fontId="17" fillId="0" borderId="1" xfId="0" applyNumberFormat="1" applyFont="1" applyFill="1" applyBorder="1" applyAlignment="1">
      <alignment horizontal="left" vertical="center" wrapText="1"/>
    </xf>
    <xf numFmtId="2" fontId="13" fillId="4" borderId="20" xfId="0" applyNumberFormat="1" applyFont="1" applyFill="1" applyBorder="1" applyAlignment="1">
      <alignment horizontal="center" vertical="center"/>
    </xf>
    <xf numFmtId="2" fontId="42"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0" fontId="26" fillId="0" borderId="14" xfId="0" applyFont="1" applyFill="1" applyBorder="1" applyAlignment="1">
      <alignment horizontal="left" vertical="center"/>
    </xf>
    <xf numFmtId="0" fontId="26" fillId="0" borderId="22" xfId="0" applyFont="1" applyFill="1" applyBorder="1" applyAlignment="1">
      <alignment horizontal="left" vertical="center"/>
    </xf>
    <xf numFmtId="4" fontId="55" fillId="9" borderId="1" xfId="0" applyNumberFormat="1" applyFont="1" applyFill="1" applyBorder="1" applyAlignment="1">
      <alignment horizontal="center"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10" fontId="0" fillId="9" borderId="2" xfId="0" applyNumberFormat="1" applyFill="1" applyBorder="1" applyAlignment="1">
      <alignment horizontal="center" vertical="center"/>
    </xf>
    <xf numFmtId="10" fontId="0" fillId="9" borderId="3" xfId="0" applyNumberFormat="1" applyFill="1" applyBorder="1" applyAlignment="1">
      <alignment horizontal="center" vertical="center"/>
    </xf>
    <xf numFmtId="4" fontId="17" fillId="0" borderId="3" xfId="0" applyNumberFormat="1" applyFont="1" applyFill="1" applyBorder="1" applyAlignment="1">
      <alignment horizontal="center" vertical="center"/>
    </xf>
    <xf numFmtId="0" fontId="26" fillId="0" borderId="14" xfId="0" applyFont="1" applyFill="1" applyBorder="1" applyAlignment="1">
      <alignment horizontal="left" vertical="center" wrapText="1"/>
    </xf>
    <xf numFmtId="0" fontId="26" fillId="0" borderId="22" xfId="0" applyFont="1" applyFill="1" applyBorder="1" applyAlignment="1">
      <alignment horizontal="left" vertical="center" wrapText="1"/>
    </xf>
    <xf numFmtId="2" fontId="15" fillId="8" borderId="2" xfId="0" applyNumberFormat="1" applyFont="1" applyFill="1" applyBorder="1" applyAlignment="1">
      <alignment horizontal="center" vertical="center"/>
    </xf>
    <xf numFmtId="2" fontId="15" fillId="8" borderId="3" xfId="0" applyNumberFormat="1" applyFont="1" applyFill="1" applyBorder="1" applyAlignment="1">
      <alignment horizontal="center" vertical="center"/>
    </xf>
    <xf numFmtId="0" fontId="17" fillId="0" borderId="3" xfId="0" applyFont="1" applyFill="1" applyBorder="1" applyAlignment="1">
      <alignment horizontal="center" vertical="center"/>
    </xf>
    <xf numFmtId="2" fontId="13" fillId="9" borderId="20" xfId="0" applyNumberFormat="1" applyFont="1" applyFill="1" applyBorder="1" applyAlignment="1">
      <alignment horizontal="center" vertical="center"/>
    </xf>
    <xf numFmtId="10" fontId="54" fillId="9" borderId="1" xfId="0" applyNumberFormat="1" applyFont="1" applyFill="1" applyBorder="1" applyAlignment="1">
      <alignment horizontal="center" vertical="center"/>
    </xf>
    <xf numFmtId="10" fontId="58" fillId="0" borderId="1" xfId="0" applyNumberFormat="1" applyFont="1" applyBorder="1" applyAlignment="1">
      <alignment horizontal="center" vertical="center"/>
    </xf>
    <xf numFmtId="10" fontId="43" fillId="0" borderId="2" xfId="0" applyNumberFormat="1" applyFont="1" applyBorder="1" applyAlignment="1">
      <alignment horizontal="center" vertical="center"/>
    </xf>
    <xf numFmtId="0" fontId="43" fillId="0" borderId="3" xfId="0" applyFont="1" applyBorder="1" applyAlignment="1">
      <alignment horizontal="center" vertical="center"/>
    </xf>
    <xf numFmtId="49" fontId="19" fillId="0" borderId="2"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0" fontId="29" fillId="0" borderId="0" xfId="0" applyFont="1" applyFill="1" applyAlignment="1">
      <alignment horizontal="center" vertical="center"/>
    </xf>
    <xf numFmtId="0" fontId="15" fillId="0" borderId="0" xfId="0" applyNumberFormat="1" applyFont="1" applyFill="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10" fontId="0" fillId="0" borderId="2" xfId="0" applyNumberFormat="1" applyFont="1" applyBorder="1" applyAlignment="1">
      <alignment horizontal="center" vertical="center"/>
    </xf>
    <xf numFmtId="10" fontId="0" fillId="0" borderId="3" xfId="0" applyNumberFormat="1" applyFont="1" applyBorder="1" applyAlignment="1">
      <alignment horizontal="center" vertical="center"/>
    </xf>
    <xf numFmtId="2" fontId="0" fillId="0" borderId="2" xfId="0" applyNumberFormat="1" applyFont="1" applyBorder="1" applyAlignment="1">
      <alignment horizontal="center" vertical="center"/>
    </xf>
    <xf numFmtId="2" fontId="0" fillId="0" borderId="3"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0" fillId="0" borderId="3" xfId="0" applyNumberFormat="1" applyFont="1" applyBorder="1" applyAlignment="1">
      <alignment horizontal="center" vertical="center"/>
    </xf>
    <xf numFmtId="4" fontId="15" fillId="0" borderId="2" xfId="0" applyNumberFormat="1" applyFont="1" applyBorder="1" applyAlignment="1">
      <alignment horizontal="center" vertical="center"/>
    </xf>
    <xf numFmtId="4" fontId="15" fillId="0" borderId="3" xfId="0" applyNumberFormat="1" applyFont="1" applyBorder="1" applyAlignment="1">
      <alignment horizontal="center" vertical="center"/>
    </xf>
    <xf numFmtId="10" fontId="11" fillId="0" borderId="1"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20" xfId="0" applyFont="1" applyBorder="1" applyAlignment="1">
      <alignment horizontal="center" vertic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49" fontId="25" fillId="0" borderId="0" xfId="0" applyNumberFormat="1" applyFont="1" applyAlignment="1">
      <alignment horizontal="center" wrapText="1"/>
    </xf>
    <xf numFmtId="49" fontId="25" fillId="0" borderId="0" xfId="0" applyNumberFormat="1" applyFont="1" applyAlignment="1">
      <alignment horizontal="center"/>
    </xf>
    <xf numFmtId="0" fontId="0" fillId="0" borderId="3" xfId="0" applyBorder="1"/>
    <xf numFmtId="14" fontId="12" fillId="0" borderId="2" xfId="0" applyNumberFormat="1" applyFont="1" applyFill="1" applyBorder="1" applyAlignment="1">
      <alignment horizontal="center" vertical="center" wrapText="1"/>
    </xf>
    <xf numFmtId="49" fontId="12" fillId="0" borderId="3" xfId="0" applyNumberFormat="1" applyFont="1" applyBorder="1" applyAlignment="1">
      <alignment horizontal="center" vertical="center"/>
    </xf>
    <xf numFmtId="0" fontId="12" fillId="0" borderId="3" xfId="0" applyFont="1" applyBorder="1" applyAlignment="1">
      <alignment horizontal="left" vertical="center" wrapText="1"/>
    </xf>
    <xf numFmtId="0" fontId="17" fillId="0" borderId="3" xfId="0" applyFont="1" applyBorder="1" applyAlignment="1">
      <alignment horizontal="center" vertical="center"/>
    </xf>
    <xf numFmtId="4" fontId="17" fillId="0" borderId="20" xfId="0" applyNumberFormat="1" applyFont="1" applyBorder="1" applyAlignment="1">
      <alignment horizontal="center" vertical="center"/>
    </xf>
    <xf numFmtId="0" fontId="17" fillId="0" borderId="3" xfId="0" applyFont="1" applyBorder="1" applyAlignment="1">
      <alignment horizontal="left" vertical="center"/>
    </xf>
    <xf numFmtId="0" fontId="12" fillId="0" borderId="2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9" fillId="0" borderId="0" xfId="0" applyFont="1" applyFill="1" applyAlignment="1">
      <alignment horizontal="right"/>
    </xf>
    <xf numFmtId="0" fontId="19" fillId="0" borderId="0" xfId="0" applyFont="1" applyFill="1" applyAlignment="1">
      <alignment horizontal="left" wrapText="1"/>
    </xf>
    <xf numFmtId="0" fontId="30" fillId="0" borderId="0" xfId="0" applyFont="1" applyAlignment="1">
      <alignment horizontal="center" wrapText="1"/>
    </xf>
    <xf numFmtId="0" fontId="19" fillId="0" borderId="0" xfId="0" applyNumberFormat="1" applyFont="1" applyAlignment="1">
      <alignment horizontal="left" vertical="center" wrapText="1"/>
    </xf>
    <xf numFmtId="49" fontId="18" fillId="0" borderId="4" xfId="0" applyNumberFormat="1" applyFont="1" applyBorder="1" applyAlignment="1">
      <alignment horizontal="center" vertical="center"/>
    </xf>
    <xf numFmtId="0" fontId="30" fillId="0" borderId="0" xfId="0" applyFont="1" applyAlignment="1">
      <alignment horizontal="left"/>
    </xf>
    <xf numFmtId="0" fontId="30" fillId="0" borderId="0" xfId="0" applyFont="1" applyAlignment="1">
      <alignment horizontal="left"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8" xfId="0"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1" xfId="0" applyFont="1" applyFill="1" applyBorder="1" applyAlignment="1">
      <alignment wrapText="1"/>
    </xf>
    <xf numFmtId="0" fontId="11" fillId="0" borderId="0" xfId="0" applyFont="1" applyAlignment="1">
      <alignment horizontal="center" vertical="center"/>
    </xf>
    <xf numFmtId="0" fontId="0" fillId="0" borderId="1" xfId="0" applyBorder="1" applyAlignment="1">
      <alignment horizontal="center" vertical="center" wrapText="1"/>
    </xf>
    <xf numFmtId="0" fontId="10" fillId="4"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5" fillId="0" borderId="0" xfId="0" applyFont="1" applyBorder="1" applyAlignment="1">
      <alignment horizontal="right" vertical="center" wrapText="1"/>
    </xf>
    <xf numFmtId="0" fontId="1" fillId="0" borderId="1" xfId="0" applyFont="1" applyFill="1" applyBorder="1"/>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xf numFmtId="0" fontId="4" fillId="0" borderId="3" xfId="0" applyFont="1" applyFill="1" applyBorder="1" applyAlignment="1">
      <alignment wrapText="1"/>
    </xf>
    <xf numFmtId="0" fontId="46" fillId="0" borderId="2"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3" xfId="0" applyFont="1" applyBorder="1" applyAlignment="1">
      <alignment horizontal="center" vertical="center" wrapText="1"/>
    </xf>
    <xf numFmtId="10" fontId="10" fillId="0" borderId="15" xfId="0" applyNumberFormat="1" applyFont="1" applyBorder="1" applyAlignment="1">
      <alignment horizontal="center" vertical="center" wrapText="1"/>
    </xf>
    <xf numFmtId="10" fontId="10" fillId="0" borderId="21" xfId="0" applyNumberFormat="1" applyFont="1" applyBorder="1" applyAlignment="1">
      <alignment horizontal="center" vertical="center" wrapText="1"/>
    </xf>
    <xf numFmtId="10" fontId="10" fillId="0" borderId="17" xfId="0" applyNumberFormat="1" applyFont="1" applyBorder="1" applyAlignment="1">
      <alignment horizontal="center" vertical="center" wrapText="1"/>
    </xf>
    <xf numFmtId="10" fontId="54" fillId="0" borderId="15" xfId="0" applyNumberFormat="1" applyFont="1" applyBorder="1" applyAlignment="1">
      <alignment horizontal="center" vertical="center"/>
    </xf>
    <xf numFmtId="10" fontId="54" fillId="0" borderId="17" xfId="0" applyNumberFormat="1" applyFont="1" applyBorder="1" applyAlignment="1">
      <alignment horizontal="center" vertical="center"/>
    </xf>
    <xf numFmtId="4" fontId="42" fillId="0" borderId="1" xfId="0" applyNumberFormat="1" applyFont="1" applyBorder="1" applyAlignment="1">
      <alignment horizontal="center" vertical="center"/>
    </xf>
    <xf numFmtId="10" fontId="38" fillId="0" borderId="2" xfId="0" applyNumberFormat="1" applyFont="1" applyBorder="1" applyAlignment="1">
      <alignment horizontal="center" vertical="center"/>
    </xf>
    <xf numFmtId="10" fontId="38" fillId="0" borderId="3" xfId="0" applyNumberFormat="1" applyFont="1" applyBorder="1" applyAlignment="1">
      <alignment horizontal="center" vertical="center"/>
    </xf>
    <xf numFmtId="4" fontId="16" fillId="0" borderId="2" xfId="0" applyNumberFormat="1" applyFont="1" applyBorder="1" applyAlignment="1">
      <alignment horizontal="center" vertical="center"/>
    </xf>
    <xf numFmtId="4" fontId="16" fillId="0" borderId="3" xfId="0" applyNumberFormat="1" applyFont="1" applyBorder="1" applyAlignment="1">
      <alignment horizontal="center" vertical="center"/>
    </xf>
    <xf numFmtId="2" fontId="17" fillId="4" borderId="0" xfId="0" applyNumberFormat="1" applyFont="1" applyFill="1" applyBorder="1" applyAlignment="1">
      <alignment horizontal="center" vertical="center"/>
    </xf>
    <xf numFmtId="4" fontId="15" fillId="0" borderId="1" xfId="0" applyNumberFormat="1"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6" fillId="0" borderId="1" xfId="0" applyFont="1" applyBorder="1" applyAlignment="1">
      <alignment horizontal="center" vertical="center"/>
    </xf>
    <xf numFmtId="0" fontId="46" fillId="0" borderId="14" xfId="0" applyFont="1" applyBorder="1" applyAlignment="1">
      <alignment horizontal="center" vertical="center"/>
    </xf>
    <xf numFmtId="0" fontId="0" fillId="4" borderId="3" xfId="0" applyFill="1" applyBorder="1"/>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0" fillId="9" borderId="3" xfId="0" applyFill="1" applyBorder="1"/>
    <xf numFmtId="10" fontId="58" fillId="9" borderId="15" xfId="0" applyNumberFormat="1" applyFont="1" applyFill="1" applyBorder="1" applyAlignment="1">
      <alignment horizontal="center" vertical="center"/>
    </xf>
    <xf numFmtId="10" fontId="58" fillId="9" borderId="17" xfId="0" applyNumberFormat="1" applyFont="1" applyFill="1" applyBorder="1" applyAlignment="1">
      <alignment horizontal="center" vertical="center"/>
    </xf>
    <xf numFmtId="4" fontId="42" fillId="9" borderId="1" xfId="0" applyNumberFormat="1" applyFont="1" applyFill="1" applyBorder="1" applyAlignment="1">
      <alignment horizontal="center" vertical="center"/>
    </xf>
    <xf numFmtId="10" fontId="38" fillId="9" borderId="2" xfId="0" applyNumberFormat="1" applyFont="1" applyFill="1" applyBorder="1" applyAlignment="1">
      <alignment horizontal="center" vertical="center"/>
    </xf>
    <xf numFmtId="10" fontId="38" fillId="9" borderId="3" xfId="0" applyNumberFormat="1" applyFont="1" applyFill="1" applyBorder="1" applyAlignment="1">
      <alignment horizontal="center" vertical="center"/>
    </xf>
    <xf numFmtId="2" fontId="17" fillId="9" borderId="0" xfId="0" applyNumberFormat="1" applyFont="1" applyFill="1" applyBorder="1" applyAlignment="1">
      <alignment horizontal="center" vertical="center"/>
    </xf>
    <xf numFmtId="0" fontId="41" fillId="9" borderId="2" xfId="0" applyFont="1" applyFill="1" applyBorder="1" applyAlignment="1">
      <alignment horizontal="center" vertical="center"/>
    </xf>
    <xf numFmtId="0" fontId="41" fillId="9" borderId="3" xfId="0" applyFont="1" applyFill="1" applyBorder="1" applyAlignment="1">
      <alignment horizontal="center" vertical="center"/>
    </xf>
    <xf numFmtId="0" fontId="46" fillId="9" borderId="1" xfId="0" applyFont="1" applyFill="1" applyBorder="1" applyAlignment="1">
      <alignment horizontal="center" vertical="center"/>
    </xf>
    <xf numFmtId="0" fontId="46" fillId="9" borderId="14" xfId="0" applyFont="1" applyFill="1" applyBorder="1" applyAlignment="1">
      <alignment horizontal="center" vertical="center"/>
    </xf>
    <xf numFmtId="2" fontId="17" fillId="4" borderId="21" xfId="0" applyNumberFormat="1" applyFont="1" applyFill="1" applyBorder="1" applyAlignment="1">
      <alignment horizontal="center" vertical="center"/>
    </xf>
    <xf numFmtId="2" fontId="13" fillId="4" borderId="0" xfId="0" applyNumberFormat="1" applyFont="1" applyFill="1" applyBorder="1" applyAlignment="1">
      <alignment horizontal="center" vertical="center"/>
    </xf>
    <xf numFmtId="10" fontId="54" fillId="9" borderId="15" xfId="0" applyNumberFormat="1" applyFont="1" applyFill="1" applyBorder="1" applyAlignment="1">
      <alignment horizontal="center" vertical="center"/>
    </xf>
    <xf numFmtId="10" fontId="54" fillId="9" borderId="17" xfId="0" applyNumberFormat="1" applyFont="1" applyFill="1" applyBorder="1" applyAlignment="1">
      <alignment horizontal="center" vertical="center"/>
    </xf>
    <xf numFmtId="2" fontId="13" fillId="9" borderId="0" xfId="0" applyNumberFormat="1" applyFont="1" applyFill="1" applyBorder="1" applyAlignment="1">
      <alignment horizontal="center" vertical="center"/>
    </xf>
    <xf numFmtId="0" fontId="46" fillId="0" borderId="15" xfId="0" applyFont="1" applyBorder="1" applyAlignment="1">
      <alignment horizontal="center" vertical="center"/>
    </xf>
    <xf numFmtId="0" fontId="46" fillId="0" borderId="17" xfId="0" applyFont="1" applyBorder="1" applyAlignment="1">
      <alignment horizontal="center" vertical="center"/>
    </xf>
    <xf numFmtId="10" fontId="58" fillId="0" borderId="15" xfId="0" applyNumberFormat="1" applyFont="1" applyBorder="1" applyAlignment="1">
      <alignment horizontal="center" vertical="center"/>
    </xf>
    <xf numFmtId="10" fontId="58" fillId="0" borderId="17" xfId="0" applyNumberFormat="1" applyFont="1" applyBorder="1" applyAlignment="1">
      <alignment horizontal="center" vertical="center"/>
    </xf>
    <xf numFmtId="4" fontId="42" fillId="0" borderId="2" xfId="0" applyNumberFormat="1" applyFont="1" applyBorder="1" applyAlignment="1">
      <alignment horizontal="center" vertical="center"/>
    </xf>
    <xf numFmtId="4" fontId="42" fillId="0" borderId="3" xfId="0" applyNumberFormat="1"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cellXfs>
  <cellStyles count="1">
    <cellStyle name="Обычный" xfId="0" builtinId="0"/>
  </cellStyles>
  <dxfs count="17">
    <dxf>
      <font>
        <condense val="0"/>
        <extend val="0"/>
        <color rgb="FF9C0006"/>
      </font>
      <fill>
        <patternFill>
          <bgColor rgb="FFFFC7CE"/>
        </patternFill>
      </fill>
    </dxf>
    <dxf>
      <font>
        <condense val="0"/>
        <extend val="0"/>
        <color rgb="FF006100"/>
      </font>
      <fill>
        <patternFill>
          <bgColor rgb="FFC6EFCE"/>
        </patternFill>
      </fill>
    </dxf>
    <dxf>
      <fill>
        <patternFill>
          <bgColor rgb="FF0070C0"/>
        </patternFill>
      </fill>
    </dxf>
    <dxf>
      <fill>
        <patternFill>
          <bgColor theme="1"/>
        </patternFill>
      </fill>
    </dxf>
    <dxf>
      <font>
        <condense val="0"/>
        <extend val="0"/>
        <color rgb="FF9C0006"/>
      </font>
      <fill>
        <patternFill>
          <bgColor rgb="FFFFC7CE"/>
        </patternFill>
      </fill>
    </dxf>
    <dxf>
      <fill>
        <patternFill>
          <bgColor rgb="FFFFFF0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1"/>
        </patternFill>
      </fill>
    </dxf>
    <dxf>
      <font>
        <condense val="0"/>
        <extend val="0"/>
        <color rgb="FF9C0006"/>
      </font>
      <fill>
        <patternFill>
          <bgColor rgb="FFFFC7CE"/>
        </patternFill>
      </fill>
    </dxf>
    <dxf>
      <fill>
        <patternFill>
          <bgColor rgb="FFFFFF0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076;&#1083;&#1103;%20&#1087;&#1088;&#1077;&#1081;&#1089;&#1082;&#1091;&#1088;&#1072;&#1085;&#1090;&#1072;\&#1055;&#1088;&#1077;&#1081;&#1089;&#1082;&#1091;&#1088;&#1072;&#1085;&#1090;%20&#1077;&#1076;&#1080;&#1085;&#1099;&#1081;%20%20v%203.2%20&#1085;&#1072;%202014%20&#1075;&#1086;&#1076;%20&#1076;&#1077;&#1081;&#1089;&#1090;&#1074;&#1091;&#1102;&#1097;&#1080;&#10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co1/Desktop/&#1040;&#1085;&#1072;&#1089;&#1090;&#1072;&#1089;&#1080;&#1103;/&#1057;&#1076;&#1077;&#1083;&#1072;&#1085;&#1086;/&#1055;&#1088;&#1077;&#1081;&#1089;&#1082;&#1091;&#1088;&#1072;&#1085;&#1090;%20%20&#1085;&#1072;%20&#1091;&#1089;&#1083;&#1091;&#1075;&#1080;%20&#1085;&#1072;&#1089;&#1077;&#1083;&#1077;&#1085;&#1080;&#1102;%202022%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2;&#1072;&#1078;&#1085;&#1072;&#1103;%20&#1080;&#1085;&#1092;&#1086;&#1088;&#1084;&#1072;&#1094;&#1080;&#1103;%20(&#1077;&#1078;&#1077;&#1076;&#1085;&#1077;&#1074;&#1085;&#1099;&#1081;%20&#1072;&#1088;&#1093;&#1080;&#1074;)/&#1056;&#1072;&#1073;&#1086;&#1095;&#1072;&#1103;%20&#1087;&#1072;&#1087;&#1082;&#1072;%202011/6.&#1055;&#1088;&#1077;&#1081;&#1089;&#1082;&#1091;&#1088;&#1072;&#1085;&#1090;&#1099;/&#1055;&#1088;&#1077;&#1081;&#1089;&#1082;&#1091;&#1088;&#1072;&#1085;&#1090;&#1099;,%20&#1082;&#1072;&#1083;&#1100;&#1082;&#1091;&#1083;&#1103;&#1094;&#1080;&#1080;/_2015,%202016,%202017,%202018%20&#1055;&#1088;&#1077;&#1081;&#1089;&#1082;&#1091;&#1088;&#1072;&#1085;&#1090;&#1099;/2019%20&#1075;&#1086;&#1076;/&#1059;&#1089;&#1083;&#1091;&#1075;&#1080;%20&#1085;&#1072;&#1089;&#1077;&#1083;&#1077;&#1085;&#1080;&#1102;/&#1087;&#1091;&#1085;&#1082;&#1090;%204.37.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42;&#1072;&#1078;&#1085;&#1072;&#1103;%20&#1080;&#1085;&#1092;&#1086;&#1088;&#1084;&#1072;&#1094;&#1080;&#1103;%20(&#1077;&#1078;&#1077;&#1076;&#1085;&#1077;&#1074;&#1085;&#1099;&#1081;%20&#1072;&#1088;&#1093;&#1080;&#1074;)/&#1056;&#1072;&#1073;&#1086;&#1095;&#1072;&#1103;%20&#1087;&#1072;&#1087;&#1082;&#1072;%202011/6.&#1055;&#1088;&#1077;&#1081;&#1089;&#1082;&#1091;&#1088;&#1072;&#1085;&#1090;&#1099;/&#1055;&#1088;&#1077;&#1081;&#1089;&#1082;&#1091;&#1088;&#1072;&#1085;&#1090;&#1099;,%20&#1082;&#1072;&#1083;&#1100;&#1082;&#1091;&#1083;&#1103;&#1094;&#1080;&#1080;/_2015,%202016,%202017,%202018%20&#1055;&#1088;&#1077;&#1081;&#1089;&#1082;&#1091;&#1088;&#1072;&#1085;&#1090;&#1099;/2020%20&#1075;&#1086;&#1076;/&#1059;&#1089;&#1083;&#1091;&#1075;&#1080;%20&#1085;&#1072;&#1089;&#1077;&#1083;&#1077;&#1085;&#1080;&#1102;/&#1055;&#1088;&#1077;&#1081;&#1089;&#1082;&#1091;&#1088;&#1072;&#1085;&#1090;%20&#1085;&#1072;%20&#1091;&#1089;&#1083;&#1091;&#1075;&#1080;%20&#1085;&#1072;&#1089;&#1077;&#1083;&#1077;&#1085;&#1080;&#1102;%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5;&#1088;&#1077;&#1081;&#1089;&#1082;&#1091;&#1088;&#1072;&#1085;&#1090;%20&#1085;&#1072;%20&#1091;&#1089;&#1083;&#1091;&#1075;&#1080;%20&#1085;&#1072;&#1089;&#1077;&#1083;&#1077;&#1085;&#1080;&#1102;%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5;&#1088;&#1077;&#1081;&#1089;&#1082;&#1091;&#1088;&#1072;&#1085;&#1090;%20%20&#1085;&#1072;%20&#1091;&#1089;&#1083;&#1091;&#1075;&#1080;%20&#1085;&#1072;&#1089;&#1077;&#1083;&#1077;&#1085;&#1080;&#1102;%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данные"/>
      <sheetName val="мастерская"/>
      <sheetName val="ЧФОТ"/>
      <sheetName val="машины"/>
      <sheetName val="прейскурант"/>
      <sheetName val="прейскурант (дополнения)"/>
      <sheetName val="изменение"/>
      <sheetName val="Материалы"/>
      <sheetName val="Титульный"/>
    </sheetNames>
    <sheetDataSet>
      <sheetData sheetId="0" refreshError="1">
        <row r="6">
          <cell r="C6">
            <v>0.30199999999999999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словия, ФОТ"/>
      <sheetName val="калькуляция 2022"/>
      <sheetName val="Прейскурант 2022"/>
      <sheetName val="калькуляция 2021 (2)"/>
      <sheetName val="материалы"/>
      <sheetName val="расход ГСМ"/>
      <sheetName val="мастерская"/>
      <sheetName val="материалы (рАБОЧАЯ ВКЛ)"/>
      <sheetName val="Прейскурант 2021 (2)"/>
    </sheetNames>
    <sheetDataSet>
      <sheetData sheetId="0">
        <row r="7">
          <cell r="C7">
            <v>0.66500000000000004</v>
          </cell>
        </row>
        <row r="14">
          <cell r="A14" t="str">
            <v>бухгалтер АО</v>
          </cell>
          <cell r="B14">
            <v>1.47</v>
          </cell>
          <cell r="C14">
            <v>16807</v>
          </cell>
          <cell r="D14">
            <v>1680.7</v>
          </cell>
          <cell r="F14">
            <v>12941.39</v>
          </cell>
          <cell r="G14">
            <v>31429.09</v>
          </cell>
          <cell r="H14">
            <v>191.17</v>
          </cell>
          <cell r="I14">
            <v>218.41</v>
          </cell>
        </row>
        <row r="15">
          <cell r="A15" t="str">
            <v>водитель (Газель)</v>
          </cell>
          <cell r="B15">
            <v>1.44</v>
          </cell>
          <cell r="C15">
            <v>18048</v>
          </cell>
          <cell r="D15">
            <v>1804.8</v>
          </cell>
          <cell r="E15">
            <v>721.92</v>
          </cell>
          <cell r="F15">
            <v>14402.3</v>
          </cell>
          <cell r="G15">
            <v>34977.019999999997</v>
          </cell>
          <cell r="H15">
            <v>212.76</v>
          </cell>
          <cell r="I15">
            <v>243.08</v>
          </cell>
        </row>
        <row r="16">
          <cell r="A16" t="str">
            <v>водитель (Клетка)</v>
          </cell>
          <cell r="B16">
            <v>1.44</v>
          </cell>
          <cell r="C16">
            <v>16601</v>
          </cell>
          <cell r="D16">
            <v>1660.1</v>
          </cell>
          <cell r="E16">
            <v>4814.29</v>
          </cell>
          <cell r="F16">
            <v>16152.77</v>
          </cell>
          <cell r="G16">
            <v>39228.160000000003</v>
          </cell>
          <cell r="H16">
            <v>238.61</v>
          </cell>
          <cell r="I16">
            <v>272.61</v>
          </cell>
        </row>
        <row r="17">
          <cell r="A17" t="str">
            <v>водитель (УАЗ)</v>
          </cell>
          <cell r="B17">
            <v>1.44</v>
          </cell>
          <cell r="C17">
            <v>15866</v>
          </cell>
          <cell r="D17">
            <v>1586.6</v>
          </cell>
          <cell r="E17">
            <v>3966.5</v>
          </cell>
          <cell r="F17">
            <v>14993.37</v>
          </cell>
          <cell r="G17">
            <v>36412.47</v>
          </cell>
          <cell r="H17">
            <v>221.49</v>
          </cell>
          <cell r="I17">
            <v>253.05</v>
          </cell>
        </row>
        <row r="18">
          <cell r="A18" t="str">
            <v>инженер 1 кат.</v>
          </cell>
          <cell r="B18">
            <v>1.98</v>
          </cell>
          <cell r="C18">
            <v>21002</v>
          </cell>
          <cell r="D18">
            <v>2100.1999999999998</v>
          </cell>
          <cell r="F18">
            <v>16171.54</v>
          </cell>
          <cell r="G18">
            <v>39273.740000000005</v>
          </cell>
          <cell r="H18">
            <v>238.89</v>
          </cell>
          <cell r="I18">
            <v>272.93</v>
          </cell>
        </row>
        <row r="19">
          <cell r="A19" t="str">
            <v>мастер</v>
          </cell>
          <cell r="B19">
            <v>1.6</v>
          </cell>
          <cell r="C19">
            <v>19125</v>
          </cell>
          <cell r="D19">
            <v>1912.5</v>
          </cell>
          <cell r="F19">
            <v>14726.25</v>
          </cell>
          <cell r="G19">
            <v>35763.75</v>
          </cell>
          <cell r="H19">
            <v>217.54</v>
          </cell>
          <cell r="I19">
            <v>248.54</v>
          </cell>
        </row>
        <row r="20">
          <cell r="A20" t="str">
            <v>приемщик заказов</v>
          </cell>
          <cell r="B20">
            <v>1</v>
          </cell>
          <cell r="C20">
            <v>16807</v>
          </cell>
          <cell r="D20">
            <v>1680.7</v>
          </cell>
          <cell r="F20">
            <v>12941.39</v>
          </cell>
          <cell r="G20">
            <v>31429.09</v>
          </cell>
          <cell r="H20">
            <v>191.17</v>
          </cell>
          <cell r="I20">
            <v>218.41</v>
          </cell>
        </row>
        <row r="21">
          <cell r="A21" t="str">
            <v>секретарь</v>
          </cell>
          <cell r="B21">
            <v>1.2</v>
          </cell>
          <cell r="C21">
            <v>16807</v>
          </cell>
          <cell r="D21">
            <v>1680.7</v>
          </cell>
          <cell r="F21">
            <v>12941.39</v>
          </cell>
          <cell r="G21">
            <v>31429.09</v>
          </cell>
          <cell r="H21">
            <v>191.17</v>
          </cell>
          <cell r="I21">
            <v>218.41</v>
          </cell>
        </row>
        <row r="22">
          <cell r="A22" t="str">
            <v>сл. 3-4 р</v>
          </cell>
          <cell r="B22">
            <v>1.3</v>
          </cell>
          <cell r="C22">
            <v>16160.5</v>
          </cell>
          <cell r="D22">
            <v>1616.05</v>
          </cell>
          <cell r="F22">
            <v>12443.59</v>
          </cell>
          <cell r="G22">
            <v>30220.14</v>
          </cell>
          <cell r="H22">
            <v>183.82</v>
          </cell>
          <cell r="I22">
            <v>210.01</v>
          </cell>
        </row>
        <row r="23">
          <cell r="A23" t="str">
            <v>слесарь 2 р</v>
          </cell>
          <cell r="B23">
            <v>1.1000000000000001</v>
          </cell>
          <cell r="C23">
            <v>14307</v>
          </cell>
          <cell r="D23">
            <v>1430.7</v>
          </cell>
          <cell r="F23">
            <v>11016.39</v>
          </cell>
          <cell r="G23">
            <v>26754.09</v>
          </cell>
          <cell r="H23">
            <v>162.74</v>
          </cell>
          <cell r="I23">
            <v>185.93</v>
          </cell>
        </row>
        <row r="24">
          <cell r="A24" t="str">
            <v>слесарь 3 р</v>
          </cell>
          <cell r="B24">
            <v>1.22</v>
          </cell>
          <cell r="C24">
            <v>15866</v>
          </cell>
          <cell r="D24">
            <v>1586.6</v>
          </cell>
          <cell r="F24">
            <v>12216.82</v>
          </cell>
          <cell r="G24">
            <v>29669.42</v>
          </cell>
          <cell r="H24">
            <v>180.47</v>
          </cell>
          <cell r="I24">
            <v>206.19</v>
          </cell>
        </row>
        <row r="25">
          <cell r="A25" t="str">
            <v>слесарь 4 р</v>
          </cell>
          <cell r="B25">
            <v>1.38</v>
          </cell>
          <cell r="C25">
            <v>16455</v>
          </cell>
          <cell r="D25">
            <v>1645.5</v>
          </cell>
          <cell r="F25">
            <v>12670.35</v>
          </cell>
          <cell r="G25">
            <v>30770.85</v>
          </cell>
          <cell r="H25">
            <v>187.17</v>
          </cell>
          <cell r="I25">
            <v>213.84</v>
          </cell>
        </row>
        <row r="26">
          <cell r="A26" t="str">
            <v>слесарь 5 р</v>
          </cell>
          <cell r="B26">
            <v>1.56</v>
          </cell>
          <cell r="C26">
            <v>17336</v>
          </cell>
          <cell r="D26">
            <v>1733.6</v>
          </cell>
          <cell r="F26">
            <v>13348.72</v>
          </cell>
          <cell r="G26">
            <v>32418.32</v>
          </cell>
          <cell r="H26">
            <v>197.19</v>
          </cell>
          <cell r="I26">
            <v>225.29</v>
          </cell>
        </row>
        <row r="27">
          <cell r="A27" t="str">
            <v>токарь 6 р</v>
          </cell>
          <cell r="B27">
            <v>2.04</v>
          </cell>
          <cell r="C27">
            <v>18217</v>
          </cell>
          <cell r="D27">
            <v>1821.7</v>
          </cell>
          <cell r="F27">
            <v>13025.16</v>
          </cell>
          <cell r="G27">
            <v>33063.86</v>
          </cell>
          <cell r="H27">
            <v>201.12</v>
          </cell>
          <cell r="I27">
            <v>229.78</v>
          </cell>
        </row>
        <row r="28">
          <cell r="A28" t="str">
            <v>эл.газосв.5 р</v>
          </cell>
          <cell r="B28">
            <v>1.89</v>
          </cell>
          <cell r="C28">
            <v>18029</v>
          </cell>
          <cell r="D28">
            <v>1802.9</v>
          </cell>
          <cell r="E28">
            <v>1442.32</v>
          </cell>
          <cell r="F28">
            <v>14891.95</v>
          </cell>
          <cell r="G28">
            <v>36166.17</v>
          </cell>
          <cell r="H28">
            <v>219.99</v>
          </cell>
          <cell r="I28">
            <v>251.34</v>
          </cell>
        </row>
      </sheetData>
      <sheetData sheetId="1"/>
      <sheetData sheetId="2" refreshError="1"/>
      <sheetData sheetId="3" refreshError="1"/>
      <sheetData sheetId="4">
        <row r="5">
          <cell r="A5" t="str">
            <v>ацетилен</v>
          </cell>
          <cell r="B5" t="str">
            <v>баллон</v>
          </cell>
          <cell r="C5">
            <v>3500</v>
          </cell>
          <cell r="D5">
            <v>2916.67</v>
          </cell>
          <cell r="E5" t="str">
            <v>м3</v>
          </cell>
          <cell r="F5">
            <v>6</v>
          </cell>
          <cell r="G5">
            <v>486.11</v>
          </cell>
        </row>
        <row r="6">
          <cell r="A6" t="str">
            <v>ветошь</v>
          </cell>
          <cell r="B6" t="str">
            <v>кг</v>
          </cell>
          <cell r="C6">
            <v>80</v>
          </cell>
          <cell r="D6">
            <v>66.67</v>
          </cell>
          <cell r="E6" t="str">
            <v>кг</v>
          </cell>
          <cell r="F6">
            <v>1</v>
          </cell>
          <cell r="G6">
            <v>66.67</v>
          </cell>
        </row>
        <row r="7">
          <cell r="A7" t="str">
            <v>кислород</v>
          </cell>
          <cell r="B7" t="str">
            <v>баллон</v>
          </cell>
          <cell r="C7">
            <v>1100</v>
          </cell>
          <cell r="D7">
            <v>916.67</v>
          </cell>
          <cell r="E7" t="str">
            <v>м3</v>
          </cell>
          <cell r="F7">
            <v>6</v>
          </cell>
          <cell r="G7">
            <v>152.78</v>
          </cell>
        </row>
        <row r="8">
          <cell r="A8" t="str">
            <v>контрагайка Ду 15 мм</v>
          </cell>
          <cell r="B8" t="str">
            <v>шт.</v>
          </cell>
          <cell r="C8">
            <v>30</v>
          </cell>
          <cell r="D8">
            <v>25</v>
          </cell>
          <cell r="E8" t="str">
            <v>шт.</v>
          </cell>
          <cell r="F8">
            <v>1</v>
          </cell>
          <cell r="G8">
            <v>25</v>
          </cell>
        </row>
        <row r="9">
          <cell r="A9" t="str">
            <v>круг отрезной 150*22*2,5 мм</v>
          </cell>
          <cell r="B9" t="str">
            <v>шт.</v>
          </cell>
          <cell r="C9">
            <v>45</v>
          </cell>
          <cell r="D9">
            <v>37.5</v>
          </cell>
          <cell r="E9" t="str">
            <v>шт.</v>
          </cell>
          <cell r="F9">
            <v>1</v>
          </cell>
          <cell r="G9">
            <v>37.5</v>
          </cell>
        </row>
        <row r="10">
          <cell r="A10" t="str">
            <v>лист медный</v>
          </cell>
          <cell r="B10" t="str">
            <v>кг</v>
          </cell>
          <cell r="C10">
            <v>720</v>
          </cell>
          <cell r="D10">
            <v>600</v>
          </cell>
          <cell r="E10" t="str">
            <v>кг</v>
          </cell>
          <cell r="F10">
            <v>1</v>
          </cell>
          <cell r="G10">
            <v>600</v>
          </cell>
        </row>
        <row r="11">
          <cell r="A11" t="str">
            <v>лента ФУМ 10 мм</v>
          </cell>
          <cell r="B11" t="str">
            <v>кг</v>
          </cell>
          <cell r="C11">
            <v>865</v>
          </cell>
          <cell r="D11">
            <v>720.83</v>
          </cell>
          <cell r="E11" t="str">
            <v>кг</v>
          </cell>
          <cell r="F11">
            <v>1</v>
          </cell>
          <cell r="G11">
            <v>720.83</v>
          </cell>
        </row>
        <row r="12">
          <cell r="A12" t="str">
            <v>муфта Ду 15 мм</v>
          </cell>
          <cell r="B12" t="str">
            <v>шт.</v>
          </cell>
          <cell r="C12">
            <v>40</v>
          </cell>
          <cell r="D12">
            <v>33.33</v>
          </cell>
          <cell r="E12" t="str">
            <v>шт.</v>
          </cell>
          <cell r="F12">
            <v>1</v>
          </cell>
          <cell r="G12">
            <v>33.33</v>
          </cell>
        </row>
        <row r="13">
          <cell r="A13" t="str">
            <v>мыло</v>
          </cell>
          <cell r="B13" t="str">
            <v>кг</v>
          </cell>
          <cell r="C13">
            <v>95</v>
          </cell>
          <cell r="D13">
            <v>79.17</v>
          </cell>
          <cell r="E13" t="str">
            <v>кг</v>
          </cell>
          <cell r="F13">
            <v>1</v>
          </cell>
          <cell r="G13">
            <v>79.17</v>
          </cell>
        </row>
        <row r="14">
          <cell r="A14" t="str">
            <v xml:space="preserve">переходник </v>
          </cell>
          <cell r="B14" t="str">
            <v>шт.</v>
          </cell>
          <cell r="C14">
            <v>80</v>
          </cell>
          <cell r="D14">
            <v>66.67</v>
          </cell>
          <cell r="E14" t="str">
            <v>шт.</v>
          </cell>
          <cell r="F14">
            <v>1</v>
          </cell>
          <cell r="G14">
            <v>66.67</v>
          </cell>
        </row>
        <row r="15">
          <cell r="A15" t="str">
            <v>петля</v>
          </cell>
          <cell r="B15" t="str">
            <v>шт.</v>
          </cell>
          <cell r="C15">
            <v>50</v>
          </cell>
          <cell r="D15">
            <v>41.67</v>
          </cell>
          <cell r="E15" t="str">
            <v>шт.</v>
          </cell>
          <cell r="F15">
            <v>1</v>
          </cell>
          <cell r="G15">
            <v>41.67</v>
          </cell>
        </row>
        <row r="16">
          <cell r="A16" t="str">
            <v>проволока ЛОК</v>
          </cell>
          <cell r="B16" t="str">
            <v>кг</v>
          </cell>
          <cell r="C16">
            <v>1800</v>
          </cell>
          <cell r="D16">
            <v>1500</v>
          </cell>
          <cell r="E16" t="str">
            <v>кг</v>
          </cell>
          <cell r="F16">
            <v>1</v>
          </cell>
          <cell r="G16">
            <v>1500</v>
          </cell>
        </row>
        <row r="17">
          <cell r="A17" t="str">
            <v>прокладка паронитовая</v>
          </cell>
          <cell r="B17" t="str">
            <v>шт.</v>
          </cell>
          <cell r="C17">
            <v>0.7</v>
          </cell>
          <cell r="D17">
            <v>0.57999999999999996</v>
          </cell>
          <cell r="E17" t="str">
            <v>шт.</v>
          </cell>
          <cell r="F17">
            <v>1</v>
          </cell>
          <cell r="G17">
            <v>0.57999999999999996</v>
          </cell>
        </row>
        <row r="18">
          <cell r="A18" t="str">
            <v>прокладка паронитовая  1/2 для баллонов</v>
          </cell>
          <cell r="B18" t="str">
            <v>шт.</v>
          </cell>
          <cell r="C18">
            <v>0.7</v>
          </cell>
          <cell r="D18">
            <v>0.57999999999999996</v>
          </cell>
          <cell r="E18" t="str">
            <v>шт.</v>
          </cell>
          <cell r="F18">
            <v>1</v>
          </cell>
          <cell r="G18">
            <v>0.57999999999999996</v>
          </cell>
        </row>
        <row r="19">
          <cell r="A19" t="str">
            <v>прокладка резиновая</v>
          </cell>
          <cell r="B19" t="str">
            <v>шт.</v>
          </cell>
          <cell r="C19">
            <v>0.8</v>
          </cell>
          <cell r="D19">
            <v>0.67</v>
          </cell>
          <cell r="F19">
            <v>1</v>
          </cell>
          <cell r="G19">
            <v>0.67</v>
          </cell>
        </row>
        <row r="20">
          <cell r="A20" t="str">
            <v>сварная заглушка</v>
          </cell>
          <cell r="B20" t="str">
            <v>шт.</v>
          </cell>
          <cell r="C20">
            <v>35</v>
          </cell>
          <cell r="D20">
            <v>29.17</v>
          </cell>
          <cell r="E20" t="str">
            <v>шт.</v>
          </cell>
          <cell r="F20">
            <v>1</v>
          </cell>
          <cell r="G20">
            <v>29.17</v>
          </cell>
        </row>
        <row r="21">
          <cell r="A21" t="str">
            <v>сварочная проволока СВ08А (3 мм)</v>
          </cell>
          <cell r="B21" t="str">
            <v>тонна</v>
          </cell>
          <cell r="C21">
            <v>150000</v>
          </cell>
          <cell r="D21">
            <v>125000</v>
          </cell>
          <cell r="E21" t="str">
            <v>кг</v>
          </cell>
          <cell r="F21">
            <v>1000</v>
          </cell>
          <cell r="G21">
            <v>125</v>
          </cell>
        </row>
        <row r="22">
          <cell r="A22" t="str">
            <v>сгон 1/2</v>
          </cell>
          <cell r="B22" t="str">
            <v>шт.</v>
          </cell>
          <cell r="C22">
            <v>50</v>
          </cell>
          <cell r="D22">
            <v>41.67</v>
          </cell>
          <cell r="E22" t="str">
            <v>шт.</v>
          </cell>
          <cell r="F22">
            <v>1</v>
          </cell>
          <cell r="G22">
            <v>41.67</v>
          </cell>
        </row>
        <row r="23">
          <cell r="A23" t="str">
            <v>труба ВГП 15*2,8</v>
          </cell>
          <cell r="B23" t="str">
            <v>м</v>
          </cell>
          <cell r="C23">
            <v>132.99</v>
          </cell>
          <cell r="D23">
            <v>110.83</v>
          </cell>
          <cell r="E23" t="str">
            <v>м</v>
          </cell>
          <cell r="F23">
            <v>1</v>
          </cell>
          <cell r="G23">
            <v>110.83</v>
          </cell>
        </row>
        <row r="24">
          <cell r="A24" t="str">
            <v>труба ВГП 32*3,2</v>
          </cell>
          <cell r="B24" t="str">
            <v>м</v>
          </cell>
          <cell r="C24">
            <v>289.52999999999997</v>
          </cell>
          <cell r="D24">
            <v>241.28</v>
          </cell>
          <cell r="E24" t="str">
            <v>м</v>
          </cell>
          <cell r="F24">
            <v>1</v>
          </cell>
          <cell r="G24">
            <v>241.28</v>
          </cell>
        </row>
        <row r="25">
          <cell r="A25" t="str">
            <v>угольник Ду 15 мм</v>
          </cell>
          <cell r="B25" t="str">
            <v>шт.</v>
          </cell>
          <cell r="C25">
            <v>50</v>
          </cell>
          <cell r="D25">
            <v>41.67</v>
          </cell>
          <cell r="E25" t="str">
            <v>шт.</v>
          </cell>
          <cell r="F25">
            <v>1</v>
          </cell>
          <cell r="G25">
            <v>41.67</v>
          </cell>
        </row>
        <row r="26">
          <cell r="A26" t="str">
            <v>хомут со шпилькой и дюбелем</v>
          </cell>
          <cell r="B26" t="str">
            <v>шт.</v>
          </cell>
          <cell r="C26">
            <v>20</v>
          </cell>
          <cell r="D26">
            <v>16.670000000000002</v>
          </cell>
          <cell r="E26" t="str">
            <v>шт.</v>
          </cell>
          <cell r="F26">
            <v>1</v>
          </cell>
          <cell r="G26">
            <v>16.670000000000002</v>
          </cell>
        </row>
        <row r="27">
          <cell r="A27" t="str">
            <v>хомутики для крепления резиновых шлангов</v>
          </cell>
          <cell r="B27" t="str">
            <v>шт.</v>
          </cell>
          <cell r="C27">
            <v>13</v>
          </cell>
          <cell r="D27">
            <v>10.83</v>
          </cell>
          <cell r="E27" t="str">
            <v>шт.</v>
          </cell>
          <cell r="F27">
            <v>1</v>
          </cell>
          <cell r="G27">
            <v>10.83</v>
          </cell>
        </row>
        <row r="28">
          <cell r="A28" t="str">
            <v>шнур асбестовый</v>
          </cell>
          <cell r="B28" t="str">
            <v>кг</v>
          </cell>
          <cell r="C28">
            <v>332.25259999999997</v>
          </cell>
          <cell r="D28">
            <v>276.88</v>
          </cell>
          <cell r="E28" t="str">
            <v>кг</v>
          </cell>
          <cell r="F28">
            <v>1</v>
          </cell>
          <cell r="G28">
            <v>276.88</v>
          </cell>
        </row>
        <row r="29">
          <cell r="A29" t="str">
            <v>штуцер 1-рожковый</v>
          </cell>
          <cell r="B29" t="str">
            <v>шт.</v>
          </cell>
          <cell r="C29">
            <v>60</v>
          </cell>
          <cell r="D29">
            <v>50</v>
          </cell>
          <cell r="E29" t="str">
            <v>шт.</v>
          </cell>
          <cell r="F29">
            <v>1</v>
          </cell>
          <cell r="G29">
            <v>50</v>
          </cell>
        </row>
        <row r="30">
          <cell r="A30" t="str">
            <v>штуцер 2-рожковый</v>
          </cell>
          <cell r="B30" t="str">
            <v>шт.</v>
          </cell>
          <cell r="C30">
            <v>60</v>
          </cell>
          <cell r="D30">
            <v>50</v>
          </cell>
          <cell r="E30" t="str">
            <v>шт.</v>
          </cell>
          <cell r="F30">
            <v>1</v>
          </cell>
          <cell r="G30">
            <v>50</v>
          </cell>
        </row>
        <row r="31">
          <cell r="A31" t="str">
            <v>электроды</v>
          </cell>
          <cell r="B31" t="str">
            <v>кг</v>
          </cell>
          <cell r="C31">
            <v>220</v>
          </cell>
          <cell r="D31">
            <v>183.33</v>
          </cell>
          <cell r="E31" t="str">
            <v>кг</v>
          </cell>
          <cell r="F31">
            <v>1</v>
          </cell>
          <cell r="G31">
            <v>183.33</v>
          </cell>
        </row>
        <row r="32">
          <cell r="A32" t="str">
            <v xml:space="preserve">РЕГУЛЯТОР ДАВЛЕНИЯ </v>
          </cell>
          <cell r="B32" t="str">
            <v>шт.</v>
          </cell>
          <cell r="C32">
            <v>350</v>
          </cell>
          <cell r="D32">
            <v>291.67</v>
          </cell>
          <cell r="E32" t="str">
            <v>шт.</v>
          </cell>
          <cell r="F32">
            <v>1</v>
          </cell>
          <cell r="G32">
            <v>291.67</v>
          </cell>
        </row>
        <row r="33">
          <cell r="A33" t="str">
            <v>ШЛАНГ</v>
          </cell>
          <cell r="B33" t="str">
            <v>шт.</v>
          </cell>
          <cell r="C33">
            <v>30</v>
          </cell>
          <cell r="D33">
            <v>25</v>
          </cell>
          <cell r="E33" t="str">
            <v>шт.</v>
          </cell>
          <cell r="F33">
            <v>1</v>
          </cell>
          <cell r="G33">
            <v>25</v>
          </cell>
        </row>
        <row r="34">
          <cell r="A34" t="str">
            <v xml:space="preserve">кран газовый шаровый </v>
          </cell>
          <cell r="B34" t="str">
            <v>шт.</v>
          </cell>
          <cell r="C34">
            <v>200</v>
          </cell>
          <cell r="D34">
            <v>166.67</v>
          </cell>
          <cell r="E34" t="str">
            <v>шт.</v>
          </cell>
          <cell r="F34">
            <v>1</v>
          </cell>
          <cell r="G34">
            <v>166.67</v>
          </cell>
        </row>
      </sheetData>
      <sheetData sheetId="5">
        <row r="4">
          <cell r="J4">
            <v>470.85</v>
          </cell>
        </row>
        <row r="6">
          <cell r="J6">
            <v>179.05</v>
          </cell>
          <cell r="K6">
            <v>3.65</v>
          </cell>
        </row>
        <row r="8">
          <cell r="J8">
            <v>265.16000000000003</v>
          </cell>
          <cell r="K8">
            <v>5.41</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словия, ФОТ"/>
      <sheetName val="калькуляция"/>
      <sheetName val="Прейскурант"/>
      <sheetName val="материалы"/>
      <sheetName val="расход ГСМ"/>
      <sheetName val="мастерская"/>
    </sheetNames>
    <sheetDataSet>
      <sheetData sheetId="0" refreshError="1"/>
      <sheetData sheetId="1" refreshError="1"/>
      <sheetData sheetId="2" refreshError="1"/>
      <sheetData sheetId="3">
        <row r="5">
          <cell r="A5" t="str">
            <v>ацетилен</v>
          </cell>
          <cell r="B5" t="str">
            <v>баллон</v>
          </cell>
          <cell r="C5">
            <v>2500</v>
          </cell>
          <cell r="D5">
            <v>2118.64</v>
          </cell>
          <cell r="E5" t="str">
            <v>м3</v>
          </cell>
          <cell r="F5">
            <v>6</v>
          </cell>
          <cell r="G5">
            <v>379.24</v>
          </cell>
        </row>
        <row r="6">
          <cell r="A6" t="str">
            <v>ветошь</v>
          </cell>
          <cell r="B6" t="str">
            <v>кг</v>
          </cell>
          <cell r="C6">
            <v>43.754399999999997</v>
          </cell>
          <cell r="D6">
            <v>37.08</v>
          </cell>
          <cell r="E6" t="str">
            <v>кг</v>
          </cell>
          <cell r="F6">
            <v>1</v>
          </cell>
          <cell r="G6">
            <v>39.82</v>
          </cell>
        </row>
        <row r="7">
          <cell r="A7" t="str">
            <v>кислород</v>
          </cell>
          <cell r="B7" t="str">
            <v>баллон</v>
          </cell>
          <cell r="C7">
            <v>360</v>
          </cell>
          <cell r="D7">
            <v>305.08</v>
          </cell>
          <cell r="E7" t="str">
            <v>м3</v>
          </cell>
          <cell r="F7">
            <v>6</v>
          </cell>
          <cell r="G7">
            <v>54.61</v>
          </cell>
        </row>
        <row r="8">
          <cell r="A8" t="str">
            <v>контрагайка Ду 15 мм</v>
          </cell>
          <cell r="B8" t="str">
            <v>шт.</v>
          </cell>
          <cell r="C8">
            <v>4</v>
          </cell>
          <cell r="D8">
            <v>3.39</v>
          </cell>
          <cell r="E8" t="str">
            <v>шт.</v>
          </cell>
          <cell r="F8">
            <v>1</v>
          </cell>
          <cell r="G8">
            <v>3.64</v>
          </cell>
        </row>
        <row r="9">
          <cell r="A9" t="str">
            <v>круг отрезной 150*22*2,5 мм</v>
          </cell>
          <cell r="B9" t="str">
            <v>шт.</v>
          </cell>
          <cell r="C9">
            <v>34</v>
          </cell>
          <cell r="D9">
            <v>28.81</v>
          </cell>
          <cell r="E9" t="str">
            <v>шт.</v>
          </cell>
          <cell r="F9">
            <v>1</v>
          </cell>
          <cell r="G9">
            <v>30.94</v>
          </cell>
        </row>
        <row r="10">
          <cell r="A10" t="str">
            <v>лист медный</v>
          </cell>
          <cell r="B10" t="str">
            <v>кг</v>
          </cell>
          <cell r="C10">
            <v>799.99279999999999</v>
          </cell>
          <cell r="D10">
            <v>677.96</v>
          </cell>
          <cell r="E10" t="str">
            <v>кг</v>
          </cell>
          <cell r="F10">
            <v>1</v>
          </cell>
          <cell r="G10">
            <v>728.13</v>
          </cell>
        </row>
        <row r="11">
          <cell r="A11" t="str">
            <v>лента ФУМ 10 мм</v>
          </cell>
          <cell r="B11" t="str">
            <v>кг</v>
          </cell>
          <cell r="C11">
            <v>783.10699999999997</v>
          </cell>
          <cell r="D11">
            <v>663.65</v>
          </cell>
          <cell r="E11" t="str">
            <v>кг</v>
          </cell>
          <cell r="F11">
            <v>1</v>
          </cell>
          <cell r="G11">
            <v>712.76</v>
          </cell>
        </row>
        <row r="12">
          <cell r="A12" t="str">
            <v>муфта Ду 15 мм</v>
          </cell>
          <cell r="B12" t="str">
            <v>шт.</v>
          </cell>
          <cell r="C12">
            <v>12.979999999999999</v>
          </cell>
          <cell r="D12">
            <v>11</v>
          </cell>
          <cell r="E12" t="str">
            <v>шт.</v>
          </cell>
          <cell r="F12">
            <v>1</v>
          </cell>
          <cell r="G12">
            <v>11.81</v>
          </cell>
        </row>
        <row r="13">
          <cell r="A13" t="str">
            <v>мыло</v>
          </cell>
          <cell r="B13" t="str">
            <v>кг</v>
          </cell>
          <cell r="C13">
            <v>72.074399999999997</v>
          </cell>
          <cell r="D13">
            <v>61.08</v>
          </cell>
          <cell r="E13" t="str">
            <v>кг</v>
          </cell>
          <cell r="F13">
            <v>1</v>
          </cell>
          <cell r="G13">
            <v>65.599999999999994</v>
          </cell>
        </row>
        <row r="14">
          <cell r="A14" t="str">
            <v xml:space="preserve">переходник </v>
          </cell>
          <cell r="B14" t="str">
            <v>шт.</v>
          </cell>
          <cell r="C14">
            <v>66.587400000000002</v>
          </cell>
          <cell r="D14">
            <v>56.43</v>
          </cell>
          <cell r="E14" t="str">
            <v>шт.</v>
          </cell>
          <cell r="F14">
            <v>1</v>
          </cell>
          <cell r="G14">
            <v>60.61</v>
          </cell>
        </row>
        <row r="15">
          <cell r="A15" t="str">
            <v>петля</v>
          </cell>
          <cell r="B15" t="str">
            <v>шт.</v>
          </cell>
          <cell r="C15">
            <v>34.007599999999996</v>
          </cell>
          <cell r="D15">
            <v>28.82</v>
          </cell>
          <cell r="E15" t="str">
            <v>шт.</v>
          </cell>
          <cell r="F15">
            <v>1</v>
          </cell>
          <cell r="G15">
            <v>30.95</v>
          </cell>
        </row>
        <row r="16">
          <cell r="A16" t="str">
            <v>проволока ЛОК</v>
          </cell>
          <cell r="B16" t="str">
            <v>кг</v>
          </cell>
          <cell r="C16">
            <v>748.49760000000003</v>
          </cell>
          <cell r="D16">
            <v>634.32000000000005</v>
          </cell>
          <cell r="E16" t="str">
            <v>кг</v>
          </cell>
          <cell r="F16">
            <v>1</v>
          </cell>
          <cell r="G16">
            <v>681.26</v>
          </cell>
        </row>
        <row r="17">
          <cell r="A17" t="str">
            <v>прокладка паронитовая</v>
          </cell>
          <cell r="B17" t="str">
            <v>шт.</v>
          </cell>
          <cell r="C17">
            <v>8.6375999999999991</v>
          </cell>
          <cell r="D17">
            <v>7.32</v>
          </cell>
          <cell r="E17" t="str">
            <v>шт.</v>
          </cell>
          <cell r="F17">
            <v>1</v>
          </cell>
          <cell r="G17">
            <v>7.49</v>
          </cell>
        </row>
        <row r="18">
          <cell r="A18" t="str">
            <v>прокладка паронитовая  1/2 для баллонов</v>
          </cell>
          <cell r="B18" t="str">
            <v>шт.</v>
          </cell>
          <cell r="C18">
            <v>8.6375999999999991</v>
          </cell>
          <cell r="D18">
            <v>7.32</v>
          </cell>
          <cell r="E18" t="str">
            <v>шт.</v>
          </cell>
          <cell r="F18">
            <v>1</v>
          </cell>
          <cell r="G18">
            <v>7.49</v>
          </cell>
        </row>
        <row r="19">
          <cell r="A19" t="str">
            <v>прокладка резиновая</v>
          </cell>
          <cell r="B19" t="str">
            <v>шт.</v>
          </cell>
          <cell r="C19">
            <v>6.7495999999999992</v>
          </cell>
          <cell r="D19">
            <v>5.72</v>
          </cell>
          <cell r="F19">
            <v>1</v>
          </cell>
          <cell r="G19">
            <v>7.68</v>
          </cell>
        </row>
        <row r="20">
          <cell r="A20" t="str">
            <v>сварная заглушка</v>
          </cell>
          <cell r="B20" t="str">
            <v>шт.</v>
          </cell>
          <cell r="C20">
            <v>32.520799999999994</v>
          </cell>
          <cell r="D20">
            <v>27.56</v>
          </cell>
          <cell r="E20" t="str">
            <v>шт.</v>
          </cell>
          <cell r="F20">
            <v>1</v>
          </cell>
          <cell r="G20">
            <v>24.810000000000002</v>
          </cell>
        </row>
        <row r="21">
          <cell r="A21" t="str">
            <v>сварочная проволока СВ08А (3 мм)</v>
          </cell>
          <cell r="B21" t="str">
            <v>тонна</v>
          </cell>
          <cell r="C21">
            <v>49380</v>
          </cell>
          <cell r="D21">
            <v>41847.46</v>
          </cell>
          <cell r="E21" t="str">
            <v>кг</v>
          </cell>
          <cell r="F21">
            <v>1000</v>
          </cell>
          <cell r="G21">
            <v>44.94</v>
          </cell>
        </row>
        <row r="22">
          <cell r="A22" t="str">
            <v>сгон 1/2</v>
          </cell>
          <cell r="B22" t="str">
            <v>шт.</v>
          </cell>
          <cell r="C22">
            <v>34.656599999999997</v>
          </cell>
          <cell r="D22">
            <v>29.37</v>
          </cell>
          <cell r="E22" t="str">
            <v>шт.</v>
          </cell>
          <cell r="F22">
            <v>1</v>
          </cell>
          <cell r="G22">
            <v>31.54</v>
          </cell>
        </row>
        <row r="23">
          <cell r="A23" t="str">
            <v>труба ВГП 15*2,8</v>
          </cell>
          <cell r="B23" t="str">
            <v>м</v>
          </cell>
          <cell r="C23">
            <v>48.769399999999997</v>
          </cell>
          <cell r="D23">
            <v>41.33</v>
          </cell>
          <cell r="E23" t="str">
            <v>м</v>
          </cell>
          <cell r="F23">
            <v>1</v>
          </cell>
          <cell r="G23">
            <v>44.39</v>
          </cell>
        </row>
        <row r="24">
          <cell r="A24" t="str">
            <v>труба ВГП 32*3,2</v>
          </cell>
          <cell r="B24" t="str">
            <v>м</v>
          </cell>
          <cell r="C24">
            <v>89.408599999999993</v>
          </cell>
          <cell r="D24">
            <v>75.77</v>
          </cell>
          <cell r="E24" t="str">
            <v>м</v>
          </cell>
          <cell r="F24">
            <v>1</v>
          </cell>
          <cell r="G24">
            <v>81.38</v>
          </cell>
        </row>
        <row r="25">
          <cell r="A25" t="str">
            <v>угольник Ду 15 мм</v>
          </cell>
          <cell r="B25" t="str">
            <v>шт.</v>
          </cell>
          <cell r="C25">
            <v>33</v>
          </cell>
          <cell r="D25">
            <v>27.97</v>
          </cell>
          <cell r="E25" t="str">
            <v>шт.</v>
          </cell>
          <cell r="F25">
            <v>1</v>
          </cell>
          <cell r="G25">
            <v>30.04</v>
          </cell>
        </row>
        <row r="26">
          <cell r="A26" t="str">
            <v>хомут со шпилькой и дюбелем</v>
          </cell>
          <cell r="B26" t="str">
            <v>шт.</v>
          </cell>
          <cell r="C26">
            <v>33</v>
          </cell>
          <cell r="D26">
            <v>27.97</v>
          </cell>
          <cell r="E26" t="str">
            <v>шт.</v>
          </cell>
          <cell r="F26">
            <v>1</v>
          </cell>
          <cell r="G26">
            <v>30.04</v>
          </cell>
        </row>
        <row r="27">
          <cell r="A27" t="str">
            <v>хомутики для крепления резиновых шлангов</v>
          </cell>
          <cell r="B27" t="str">
            <v>шт.</v>
          </cell>
          <cell r="C27">
            <v>15</v>
          </cell>
          <cell r="D27">
            <v>12.71</v>
          </cell>
          <cell r="E27" t="str">
            <v>шт.</v>
          </cell>
          <cell r="F27">
            <v>1</v>
          </cell>
          <cell r="G27">
            <v>13.65</v>
          </cell>
        </row>
        <row r="28">
          <cell r="A28" t="str">
            <v>шнур асбестовый</v>
          </cell>
          <cell r="B28" t="str">
            <v>кг</v>
          </cell>
          <cell r="C28">
            <v>332.25259999999997</v>
          </cell>
          <cell r="D28">
            <v>281.57</v>
          </cell>
          <cell r="E28" t="str">
            <v>кг</v>
          </cell>
          <cell r="F28">
            <v>1</v>
          </cell>
          <cell r="G28">
            <v>302.41000000000003</v>
          </cell>
        </row>
        <row r="29">
          <cell r="A29" t="str">
            <v>штуцер 1-рожковый</v>
          </cell>
          <cell r="B29" t="str">
            <v>шт.</v>
          </cell>
          <cell r="C29">
            <v>38.656799999999997</v>
          </cell>
          <cell r="D29">
            <v>32.76</v>
          </cell>
          <cell r="E29" t="str">
            <v>шт.</v>
          </cell>
          <cell r="F29">
            <v>1</v>
          </cell>
          <cell r="G29">
            <v>35.18</v>
          </cell>
        </row>
        <row r="30">
          <cell r="A30" t="str">
            <v>штуцер 2-рожковый</v>
          </cell>
          <cell r="B30" t="str">
            <v>шт.</v>
          </cell>
          <cell r="C30">
            <v>64.722999999999999</v>
          </cell>
          <cell r="D30">
            <v>54.85</v>
          </cell>
          <cell r="E30" t="str">
            <v>шт.</v>
          </cell>
          <cell r="F30">
            <v>1</v>
          </cell>
          <cell r="G30">
            <v>58.91</v>
          </cell>
        </row>
        <row r="31">
          <cell r="A31" t="str">
            <v>электроды</v>
          </cell>
          <cell r="B31" t="str">
            <v>кг</v>
          </cell>
          <cell r="C31">
            <v>89.3142</v>
          </cell>
          <cell r="D31">
            <v>75.69</v>
          </cell>
          <cell r="E31" t="str">
            <v>кг</v>
          </cell>
          <cell r="F31">
            <v>1</v>
          </cell>
          <cell r="G31">
            <v>81.290000000000006</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словия, ФОТ"/>
      <sheetName val="калькуляция"/>
      <sheetName val="Прейскурант"/>
      <sheetName val="материалы"/>
      <sheetName val="расход ГСМ"/>
      <sheetName val="мастерская"/>
    </sheetNames>
    <sheetDataSet>
      <sheetData sheetId="0"/>
      <sheetData sheetId="1"/>
      <sheetData sheetId="2"/>
      <sheetData sheetId="3">
        <row r="5">
          <cell r="A5" t="str">
            <v>ацетилен</v>
          </cell>
          <cell r="B5" t="str">
            <v>баллон</v>
          </cell>
          <cell r="C5">
            <v>2500</v>
          </cell>
          <cell r="D5">
            <v>2118.64</v>
          </cell>
          <cell r="E5" t="str">
            <v>м3</v>
          </cell>
          <cell r="F5">
            <v>6</v>
          </cell>
          <cell r="G5">
            <v>379.24</v>
          </cell>
        </row>
        <row r="6">
          <cell r="A6" t="str">
            <v>ветошь</v>
          </cell>
          <cell r="B6" t="str">
            <v>кг</v>
          </cell>
          <cell r="C6">
            <v>43.754399999999997</v>
          </cell>
          <cell r="D6">
            <v>37.08</v>
          </cell>
          <cell r="E6" t="str">
            <v>кг</v>
          </cell>
          <cell r="F6">
            <v>1</v>
          </cell>
          <cell r="G6">
            <v>39.82</v>
          </cell>
        </row>
        <row r="7">
          <cell r="A7" t="str">
            <v>кислород</v>
          </cell>
          <cell r="B7" t="str">
            <v>баллон</v>
          </cell>
          <cell r="C7">
            <v>360</v>
          </cell>
          <cell r="D7">
            <v>305.08</v>
          </cell>
          <cell r="E7" t="str">
            <v>м3</v>
          </cell>
          <cell r="F7">
            <v>6</v>
          </cell>
          <cell r="G7">
            <v>54.61</v>
          </cell>
        </row>
        <row r="8">
          <cell r="A8" t="str">
            <v>контрагайка Ду 15 мм</v>
          </cell>
          <cell r="B8" t="str">
            <v>шт.</v>
          </cell>
          <cell r="C8">
            <v>4</v>
          </cell>
          <cell r="D8">
            <v>3.39</v>
          </cell>
          <cell r="E8" t="str">
            <v>шт.</v>
          </cell>
          <cell r="F8">
            <v>1</v>
          </cell>
          <cell r="G8">
            <v>3.64</v>
          </cell>
        </row>
        <row r="9">
          <cell r="A9" t="str">
            <v>круг отрезной 150*22*2,5 мм</v>
          </cell>
          <cell r="B9" t="str">
            <v>шт.</v>
          </cell>
          <cell r="C9">
            <v>34</v>
          </cell>
          <cell r="D9">
            <v>28.81</v>
          </cell>
          <cell r="E9" t="str">
            <v>шт.</v>
          </cell>
          <cell r="F9">
            <v>1</v>
          </cell>
          <cell r="G9">
            <v>30.94</v>
          </cell>
        </row>
        <row r="10">
          <cell r="A10" t="str">
            <v>лист медный</v>
          </cell>
          <cell r="B10" t="str">
            <v>кг</v>
          </cell>
          <cell r="C10">
            <v>799.99279999999999</v>
          </cell>
          <cell r="D10">
            <v>677.96</v>
          </cell>
          <cell r="E10" t="str">
            <v>кг</v>
          </cell>
          <cell r="F10">
            <v>1</v>
          </cell>
          <cell r="G10">
            <v>728.13</v>
          </cell>
        </row>
        <row r="11">
          <cell r="A11" t="str">
            <v>лента ФУМ 10 мм</v>
          </cell>
          <cell r="B11" t="str">
            <v>кг</v>
          </cell>
          <cell r="C11">
            <v>783.10699999999997</v>
          </cell>
          <cell r="D11">
            <v>663.65</v>
          </cell>
          <cell r="E11" t="str">
            <v>кг</v>
          </cell>
          <cell r="F11">
            <v>1</v>
          </cell>
          <cell r="G11">
            <v>712.76</v>
          </cell>
        </row>
        <row r="12">
          <cell r="A12" t="str">
            <v>муфта Ду 15 мм</v>
          </cell>
          <cell r="B12" t="str">
            <v>шт.</v>
          </cell>
          <cell r="C12">
            <v>12.979999999999999</v>
          </cell>
          <cell r="D12">
            <v>11</v>
          </cell>
          <cell r="E12" t="str">
            <v>шт.</v>
          </cell>
          <cell r="F12">
            <v>1</v>
          </cell>
          <cell r="G12">
            <v>11.81</v>
          </cell>
        </row>
        <row r="13">
          <cell r="A13" t="str">
            <v>мыло</v>
          </cell>
          <cell r="B13" t="str">
            <v>кг</v>
          </cell>
          <cell r="C13">
            <v>72.074399999999997</v>
          </cell>
          <cell r="D13">
            <v>61.08</v>
          </cell>
          <cell r="E13" t="str">
            <v>кг</v>
          </cell>
          <cell r="F13">
            <v>1</v>
          </cell>
          <cell r="G13">
            <v>65.599999999999994</v>
          </cell>
        </row>
        <row r="14">
          <cell r="A14" t="str">
            <v xml:space="preserve">переходник </v>
          </cell>
          <cell r="B14" t="str">
            <v>шт.</v>
          </cell>
          <cell r="C14">
            <v>66.587400000000002</v>
          </cell>
          <cell r="D14">
            <v>56.43</v>
          </cell>
          <cell r="E14" t="str">
            <v>шт.</v>
          </cell>
          <cell r="F14">
            <v>1</v>
          </cell>
          <cell r="G14">
            <v>60.61</v>
          </cell>
        </row>
        <row r="15">
          <cell r="A15" t="str">
            <v>петля</v>
          </cell>
          <cell r="B15" t="str">
            <v>шт.</v>
          </cell>
          <cell r="C15">
            <v>34.007599999999996</v>
          </cell>
          <cell r="D15">
            <v>28.82</v>
          </cell>
          <cell r="E15" t="str">
            <v>шт.</v>
          </cell>
          <cell r="F15">
            <v>1</v>
          </cell>
          <cell r="G15">
            <v>30.95</v>
          </cell>
        </row>
        <row r="16">
          <cell r="A16" t="str">
            <v>проволока ЛОК</v>
          </cell>
          <cell r="B16" t="str">
            <v>кг</v>
          </cell>
          <cell r="C16">
            <v>748.49760000000003</v>
          </cell>
          <cell r="D16">
            <v>634.32000000000005</v>
          </cell>
          <cell r="E16" t="str">
            <v>кг</v>
          </cell>
          <cell r="F16">
            <v>1</v>
          </cell>
          <cell r="G16">
            <v>681.26</v>
          </cell>
        </row>
        <row r="17">
          <cell r="A17" t="str">
            <v>прокладка паронитовая</v>
          </cell>
          <cell r="B17" t="str">
            <v>шт.</v>
          </cell>
          <cell r="C17">
            <v>8.6375999999999991</v>
          </cell>
          <cell r="D17">
            <v>7.32</v>
          </cell>
          <cell r="E17" t="str">
            <v>шт.</v>
          </cell>
          <cell r="F17">
            <v>1</v>
          </cell>
          <cell r="G17">
            <v>7.49</v>
          </cell>
        </row>
        <row r="18">
          <cell r="A18" t="str">
            <v>прокладка паронитовая  1/2 для баллонов</v>
          </cell>
          <cell r="B18" t="str">
            <v>шт.</v>
          </cell>
          <cell r="C18">
            <v>8.6375999999999991</v>
          </cell>
          <cell r="D18">
            <v>7.32</v>
          </cell>
          <cell r="E18" t="str">
            <v>шт.</v>
          </cell>
          <cell r="F18">
            <v>1</v>
          </cell>
          <cell r="G18">
            <v>7.49</v>
          </cell>
        </row>
        <row r="19">
          <cell r="A19" t="str">
            <v>прокладка резиновая</v>
          </cell>
          <cell r="B19" t="str">
            <v>шт.</v>
          </cell>
          <cell r="C19">
            <v>6.7495999999999992</v>
          </cell>
          <cell r="D19">
            <v>5.72</v>
          </cell>
          <cell r="F19">
            <v>1</v>
          </cell>
          <cell r="G19">
            <v>7.68</v>
          </cell>
        </row>
        <row r="20">
          <cell r="A20" t="str">
            <v>сварная заглушка</v>
          </cell>
          <cell r="B20" t="str">
            <v>шт.</v>
          </cell>
          <cell r="C20">
            <v>32.520799999999994</v>
          </cell>
          <cell r="D20">
            <v>27.56</v>
          </cell>
          <cell r="E20" t="str">
            <v>шт.</v>
          </cell>
          <cell r="F20">
            <v>1</v>
          </cell>
          <cell r="G20">
            <v>24.810000000000002</v>
          </cell>
        </row>
        <row r="21">
          <cell r="A21" t="str">
            <v>сварочная проволока СВ08А (3 мм)</v>
          </cell>
          <cell r="B21" t="str">
            <v>тонна</v>
          </cell>
          <cell r="C21">
            <v>49380</v>
          </cell>
          <cell r="D21">
            <v>41847.46</v>
          </cell>
          <cell r="E21" t="str">
            <v>кг</v>
          </cell>
          <cell r="F21">
            <v>1000</v>
          </cell>
          <cell r="G21">
            <v>44.94</v>
          </cell>
        </row>
        <row r="22">
          <cell r="A22" t="str">
            <v>сгон 1/2</v>
          </cell>
          <cell r="B22" t="str">
            <v>шт.</v>
          </cell>
          <cell r="C22">
            <v>34.656599999999997</v>
          </cell>
          <cell r="D22">
            <v>29.37</v>
          </cell>
          <cell r="E22" t="str">
            <v>шт.</v>
          </cell>
          <cell r="F22">
            <v>1</v>
          </cell>
          <cell r="G22">
            <v>31.54</v>
          </cell>
        </row>
        <row r="23">
          <cell r="A23" t="str">
            <v>труба ВГП 15*2,8</v>
          </cell>
          <cell r="B23" t="str">
            <v>м</v>
          </cell>
          <cell r="C23">
            <v>48.769399999999997</v>
          </cell>
          <cell r="D23">
            <v>41.33</v>
          </cell>
          <cell r="E23" t="str">
            <v>м</v>
          </cell>
          <cell r="F23">
            <v>1</v>
          </cell>
          <cell r="G23">
            <v>44.39</v>
          </cell>
        </row>
        <row r="24">
          <cell r="A24" t="str">
            <v>труба ВГП 32*3,2</v>
          </cell>
          <cell r="B24" t="str">
            <v>м</v>
          </cell>
          <cell r="C24">
            <v>89.408599999999993</v>
          </cell>
          <cell r="D24">
            <v>75.77</v>
          </cell>
          <cell r="E24" t="str">
            <v>м</v>
          </cell>
          <cell r="F24">
            <v>1</v>
          </cell>
          <cell r="G24">
            <v>81.38</v>
          </cell>
        </row>
        <row r="25">
          <cell r="A25" t="str">
            <v>угольник Ду 15 мм</v>
          </cell>
          <cell r="B25" t="str">
            <v>шт.</v>
          </cell>
          <cell r="C25">
            <v>33</v>
          </cell>
          <cell r="D25">
            <v>27.97</v>
          </cell>
          <cell r="E25" t="str">
            <v>шт.</v>
          </cell>
          <cell r="F25">
            <v>1</v>
          </cell>
          <cell r="G25">
            <v>30.04</v>
          </cell>
        </row>
        <row r="26">
          <cell r="A26" t="str">
            <v>хомут со шпилькой и дюбелем</v>
          </cell>
          <cell r="B26" t="str">
            <v>шт.</v>
          </cell>
          <cell r="C26">
            <v>33</v>
          </cell>
          <cell r="D26">
            <v>27.97</v>
          </cell>
          <cell r="E26" t="str">
            <v>шт.</v>
          </cell>
          <cell r="F26">
            <v>1</v>
          </cell>
          <cell r="G26">
            <v>30.04</v>
          </cell>
        </row>
        <row r="27">
          <cell r="A27" t="str">
            <v>хомутики для крепления резиновых шлангов</v>
          </cell>
          <cell r="B27" t="str">
            <v>шт.</v>
          </cell>
          <cell r="C27">
            <v>15</v>
          </cell>
          <cell r="D27">
            <v>12.71</v>
          </cell>
          <cell r="E27" t="str">
            <v>шт.</v>
          </cell>
          <cell r="F27">
            <v>1</v>
          </cell>
          <cell r="G27">
            <v>13.65</v>
          </cell>
        </row>
        <row r="28">
          <cell r="A28" t="str">
            <v>шнур асбестовый</v>
          </cell>
          <cell r="B28" t="str">
            <v>кг</v>
          </cell>
          <cell r="C28">
            <v>332.25259999999997</v>
          </cell>
          <cell r="D28">
            <v>281.57</v>
          </cell>
          <cell r="E28" t="str">
            <v>кг</v>
          </cell>
          <cell r="F28">
            <v>1</v>
          </cell>
          <cell r="G28">
            <v>302.41000000000003</v>
          </cell>
        </row>
        <row r="29">
          <cell r="A29" t="str">
            <v>штуцер 1-рожковый</v>
          </cell>
          <cell r="B29" t="str">
            <v>шт.</v>
          </cell>
          <cell r="C29">
            <v>38.656799999999997</v>
          </cell>
          <cell r="D29">
            <v>32.76</v>
          </cell>
          <cell r="E29" t="str">
            <v>шт.</v>
          </cell>
          <cell r="F29">
            <v>1</v>
          </cell>
          <cell r="G29">
            <v>35.18</v>
          </cell>
        </row>
        <row r="30">
          <cell r="A30" t="str">
            <v>штуцер 2-рожковый</v>
          </cell>
          <cell r="B30" t="str">
            <v>шт.</v>
          </cell>
          <cell r="C30">
            <v>64.722999999999999</v>
          </cell>
          <cell r="D30">
            <v>54.85</v>
          </cell>
          <cell r="E30" t="str">
            <v>шт.</v>
          </cell>
          <cell r="F30">
            <v>1</v>
          </cell>
          <cell r="G30">
            <v>58.91</v>
          </cell>
        </row>
        <row r="31">
          <cell r="A31" t="str">
            <v>электроды</v>
          </cell>
          <cell r="B31" t="str">
            <v>кг</v>
          </cell>
          <cell r="C31">
            <v>89.3142</v>
          </cell>
          <cell r="D31">
            <v>75.69</v>
          </cell>
          <cell r="E31" t="str">
            <v>кг</v>
          </cell>
          <cell r="F31">
            <v>1</v>
          </cell>
          <cell r="G31">
            <v>81.290000000000006</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словия, ФОТ"/>
      <sheetName val="калькуляция"/>
      <sheetName val="Прейскурант"/>
      <sheetName val="материалы"/>
      <sheetName val="расход ГСМ"/>
      <sheetName val="мастерская"/>
    </sheetNames>
    <sheetDataSet>
      <sheetData sheetId="0" refreshError="1"/>
      <sheetData sheetId="1">
        <row r="8">
          <cell r="U8">
            <v>1186</v>
          </cell>
        </row>
        <row r="101">
          <cell r="U101">
            <v>146</v>
          </cell>
        </row>
      </sheetData>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словия, ФОТ"/>
      <sheetName val="калькуляция 2022"/>
      <sheetName val="Прейскурант 2022"/>
      <sheetName val="калькуляция 2021 (2)"/>
      <sheetName val="материалы"/>
      <sheetName val="расход ГСМ"/>
      <sheetName val="мастерская"/>
      <sheetName val="материалы (рАБОЧАЯ ВКЛ)"/>
      <sheetName val="Прейскурант 2021 (2)"/>
    </sheetNames>
    <sheetDataSet>
      <sheetData sheetId="0">
        <row r="7">
          <cell r="C7">
            <v>0.66500000000000004</v>
          </cell>
        </row>
        <row r="14">
          <cell r="A14" t="str">
            <v>бухгалтер АО</v>
          </cell>
          <cell r="B14">
            <v>1.47</v>
          </cell>
          <cell r="C14">
            <v>13890</v>
          </cell>
          <cell r="D14">
            <v>1389</v>
          </cell>
          <cell r="F14">
            <v>10695.3</v>
          </cell>
          <cell r="G14">
            <v>25974.3</v>
          </cell>
          <cell r="H14">
            <v>157.99</v>
          </cell>
          <cell r="I14">
            <v>180.5</v>
          </cell>
        </row>
        <row r="15">
          <cell r="A15" t="str">
            <v>водитель (ВАЗ-2106)</v>
          </cell>
          <cell r="B15">
            <v>1.26</v>
          </cell>
          <cell r="C15">
            <v>13890</v>
          </cell>
          <cell r="D15">
            <v>1389</v>
          </cell>
          <cell r="E15">
            <v>3472.5</v>
          </cell>
          <cell r="F15">
            <v>13126.05</v>
          </cell>
          <cell r="G15">
            <v>31877.55</v>
          </cell>
          <cell r="H15">
            <v>193.9</v>
          </cell>
          <cell r="I15">
            <v>221.53</v>
          </cell>
        </row>
        <row r="16">
          <cell r="A16" t="str">
            <v>водитель (Газель)</v>
          </cell>
          <cell r="B16">
            <v>1.44</v>
          </cell>
          <cell r="C16">
            <v>13890</v>
          </cell>
          <cell r="D16">
            <v>1389</v>
          </cell>
          <cell r="E16">
            <v>3472.5</v>
          </cell>
          <cell r="F16">
            <v>13126.05</v>
          </cell>
          <cell r="G16">
            <v>31877.55</v>
          </cell>
          <cell r="H16">
            <v>193.9</v>
          </cell>
          <cell r="I16">
            <v>221.53</v>
          </cell>
        </row>
        <row r="17">
          <cell r="A17" t="str">
            <v>водитель (ЗИЛ)</v>
          </cell>
          <cell r="B17">
            <v>1.44</v>
          </cell>
          <cell r="C17">
            <v>13890</v>
          </cell>
          <cell r="D17">
            <v>1389</v>
          </cell>
          <cell r="E17">
            <v>4028.1</v>
          </cell>
          <cell r="F17">
            <v>13514.97</v>
          </cell>
          <cell r="G17">
            <v>32822.07</v>
          </cell>
          <cell r="H17">
            <v>199.65</v>
          </cell>
          <cell r="I17">
            <v>228.1</v>
          </cell>
        </row>
        <row r="18">
          <cell r="A18" t="str">
            <v>водитель (ИЖ-2715)</v>
          </cell>
          <cell r="B18">
            <v>1.26</v>
          </cell>
          <cell r="C18">
            <v>13890</v>
          </cell>
          <cell r="D18">
            <v>1389</v>
          </cell>
          <cell r="E18">
            <v>3472.5</v>
          </cell>
          <cell r="F18">
            <v>13126.05</v>
          </cell>
          <cell r="G18">
            <v>31877.55</v>
          </cell>
          <cell r="H18">
            <v>193.9</v>
          </cell>
          <cell r="I18">
            <v>221.53</v>
          </cell>
        </row>
        <row r="19">
          <cell r="A19" t="str">
            <v>водитель (УАЗ)</v>
          </cell>
          <cell r="B19">
            <v>1.44</v>
          </cell>
          <cell r="C19">
            <v>13890</v>
          </cell>
          <cell r="D19">
            <v>1389</v>
          </cell>
          <cell r="E19">
            <v>3472.5</v>
          </cell>
          <cell r="F19">
            <v>13126.05</v>
          </cell>
          <cell r="G19">
            <v>31877.55</v>
          </cell>
          <cell r="H19">
            <v>193.9</v>
          </cell>
          <cell r="I19">
            <v>221.53</v>
          </cell>
        </row>
        <row r="20">
          <cell r="A20" t="str">
            <v>инженер 1 кат.</v>
          </cell>
          <cell r="B20">
            <v>1.98</v>
          </cell>
          <cell r="C20">
            <v>17357</v>
          </cell>
          <cell r="D20">
            <v>1735.7</v>
          </cell>
          <cell r="F20">
            <v>13364.89</v>
          </cell>
          <cell r="G20">
            <v>32457.59</v>
          </cell>
          <cell r="H20">
            <v>197.43</v>
          </cell>
          <cell r="I20">
            <v>225.56</v>
          </cell>
        </row>
        <row r="21">
          <cell r="A21" t="str">
            <v>заведующий тех.кабинетом</v>
          </cell>
          <cell r="B21">
            <v>1.66</v>
          </cell>
          <cell r="C21">
            <v>11713</v>
          </cell>
          <cell r="D21">
            <v>1171.3</v>
          </cell>
          <cell r="F21">
            <v>9019.01</v>
          </cell>
          <cell r="G21">
            <v>21903.309999999998</v>
          </cell>
          <cell r="H21">
            <v>133.22999999999999</v>
          </cell>
          <cell r="I21">
            <v>152.22</v>
          </cell>
        </row>
        <row r="22">
          <cell r="A22" t="str">
            <v>мастер</v>
          </cell>
          <cell r="B22">
            <v>1.6</v>
          </cell>
          <cell r="C22">
            <v>13890</v>
          </cell>
          <cell r="D22">
            <v>1389</v>
          </cell>
          <cell r="F22">
            <v>10695.3</v>
          </cell>
          <cell r="G22">
            <v>25974.3</v>
          </cell>
          <cell r="H22">
            <v>157.99</v>
          </cell>
          <cell r="I22">
            <v>180.5</v>
          </cell>
        </row>
        <row r="23">
          <cell r="A23" t="str">
            <v>приемщик заказов</v>
          </cell>
          <cell r="B23">
            <v>1</v>
          </cell>
          <cell r="C23">
            <v>13890</v>
          </cell>
          <cell r="D23">
            <v>1389</v>
          </cell>
          <cell r="F23">
            <v>10695.3</v>
          </cell>
          <cell r="G23">
            <v>25974.3</v>
          </cell>
          <cell r="H23">
            <v>157.99</v>
          </cell>
          <cell r="I23">
            <v>180.5</v>
          </cell>
        </row>
        <row r="24">
          <cell r="A24" t="str">
            <v>секретарь</v>
          </cell>
          <cell r="B24">
            <v>1.2</v>
          </cell>
          <cell r="C24">
            <v>13890</v>
          </cell>
          <cell r="D24">
            <v>1389</v>
          </cell>
          <cell r="F24">
            <v>10695.3</v>
          </cell>
          <cell r="G24">
            <v>25974.3</v>
          </cell>
          <cell r="H24">
            <v>157.99</v>
          </cell>
          <cell r="I24">
            <v>180.5</v>
          </cell>
        </row>
        <row r="25">
          <cell r="A25" t="str">
            <v>сл. 3-4 р</v>
          </cell>
          <cell r="B25">
            <v>1.3</v>
          </cell>
          <cell r="C25">
            <v>13890</v>
          </cell>
          <cell r="D25">
            <v>1389</v>
          </cell>
          <cell r="F25">
            <v>10695.3</v>
          </cell>
          <cell r="G25">
            <v>25974.3</v>
          </cell>
          <cell r="H25">
            <v>157.99</v>
          </cell>
          <cell r="I25">
            <v>180.5</v>
          </cell>
        </row>
        <row r="26">
          <cell r="A26" t="str">
            <v>слесарь</v>
          </cell>
          <cell r="B26">
            <v>1.32</v>
          </cell>
          <cell r="C26">
            <v>13890</v>
          </cell>
          <cell r="D26">
            <v>1389</v>
          </cell>
          <cell r="F26">
            <v>10695.3</v>
          </cell>
          <cell r="G26">
            <v>25974.3</v>
          </cell>
          <cell r="H26">
            <v>157.99</v>
          </cell>
          <cell r="I26">
            <v>180.5</v>
          </cell>
        </row>
        <row r="27">
          <cell r="A27" t="str">
            <v>слесарь 2 р</v>
          </cell>
          <cell r="B27">
            <v>1.1000000000000001</v>
          </cell>
          <cell r="C27">
            <v>13890</v>
          </cell>
          <cell r="D27">
            <v>1389</v>
          </cell>
          <cell r="F27">
            <v>10695.3</v>
          </cell>
          <cell r="G27">
            <v>25974.3</v>
          </cell>
          <cell r="H27">
            <v>157.99</v>
          </cell>
          <cell r="I27">
            <v>180.5</v>
          </cell>
        </row>
        <row r="28">
          <cell r="A28" t="str">
            <v>слесарь 3 р</v>
          </cell>
          <cell r="B28">
            <v>1.22</v>
          </cell>
          <cell r="C28">
            <v>13890</v>
          </cell>
          <cell r="D28">
            <v>1389</v>
          </cell>
          <cell r="F28">
            <v>10695.3</v>
          </cell>
          <cell r="G28">
            <v>25974.3</v>
          </cell>
          <cell r="H28">
            <v>157.99</v>
          </cell>
          <cell r="I28">
            <v>180.5</v>
          </cell>
        </row>
        <row r="29">
          <cell r="A29" t="str">
            <v>слесарь 4 р</v>
          </cell>
          <cell r="B29">
            <v>1.38</v>
          </cell>
          <cell r="C29">
            <v>13890</v>
          </cell>
          <cell r="D29">
            <v>1389</v>
          </cell>
          <cell r="F29">
            <v>10695.3</v>
          </cell>
          <cell r="G29">
            <v>25974.3</v>
          </cell>
          <cell r="H29">
            <v>157.99</v>
          </cell>
          <cell r="I29">
            <v>180.5</v>
          </cell>
        </row>
        <row r="30">
          <cell r="A30" t="str">
            <v>слесарь 5 р</v>
          </cell>
          <cell r="B30">
            <v>1.56</v>
          </cell>
          <cell r="C30">
            <v>13890</v>
          </cell>
          <cell r="D30">
            <v>1389</v>
          </cell>
          <cell r="F30">
            <v>10695.3</v>
          </cell>
          <cell r="G30">
            <v>25974.3</v>
          </cell>
          <cell r="H30">
            <v>157.99</v>
          </cell>
          <cell r="I30">
            <v>180.5</v>
          </cell>
        </row>
        <row r="31">
          <cell r="A31" t="str">
            <v>токарь 6 р</v>
          </cell>
          <cell r="B31">
            <v>2.04</v>
          </cell>
          <cell r="C31">
            <v>14394</v>
          </cell>
          <cell r="D31">
            <v>1439.4</v>
          </cell>
          <cell r="F31">
            <v>10291.709999999999</v>
          </cell>
          <cell r="G31">
            <v>26125.11</v>
          </cell>
          <cell r="H31">
            <v>158.91</v>
          </cell>
          <cell r="I31">
            <v>181.55</v>
          </cell>
        </row>
        <row r="32">
          <cell r="A32" t="str">
            <v>эл.газосв.5 р</v>
          </cell>
          <cell r="B32">
            <v>1.89</v>
          </cell>
          <cell r="C32">
            <v>13890</v>
          </cell>
          <cell r="D32">
            <v>1389</v>
          </cell>
          <cell r="E32">
            <v>1111.2</v>
          </cell>
          <cell r="F32">
            <v>11473.14</v>
          </cell>
          <cell r="G32">
            <v>27863.34</v>
          </cell>
          <cell r="H32">
            <v>169.49</v>
          </cell>
          <cell r="I32">
            <v>193.64</v>
          </cell>
        </row>
      </sheetData>
      <sheetData sheetId="1"/>
      <sheetData sheetId="2" refreshError="1"/>
      <sheetData sheetId="3" refreshError="1"/>
      <sheetData sheetId="4">
        <row r="5">
          <cell r="A5" t="str">
            <v>ацетилен</v>
          </cell>
          <cell r="B5" t="str">
            <v>баллон</v>
          </cell>
          <cell r="C5">
            <v>3500</v>
          </cell>
          <cell r="D5">
            <v>2916.67</v>
          </cell>
          <cell r="E5" t="str">
            <v>м3</v>
          </cell>
          <cell r="F5">
            <v>6</v>
          </cell>
          <cell r="G5">
            <v>486.11</v>
          </cell>
        </row>
        <row r="6">
          <cell r="A6" t="str">
            <v>ветошь</v>
          </cell>
          <cell r="B6" t="str">
            <v>кг</v>
          </cell>
          <cell r="C6">
            <v>80</v>
          </cell>
          <cell r="D6">
            <v>66.67</v>
          </cell>
          <cell r="E6" t="str">
            <v>кг</v>
          </cell>
          <cell r="F6">
            <v>1</v>
          </cell>
          <cell r="G6">
            <v>66.67</v>
          </cell>
        </row>
        <row r="7">
          <cell r="A7" t="str">
            <v>кислород</v>
          </cell>
          <cell r="B7" t="str">
            <v>баллон</v>
          </cell>
          <cell r="C7">
            <v>1100</v>
          </cell>
          <cell r="D7">
            <v>916.67</v>
          </cell>
          <cell r="E7" t="str">
            <v>м3</v>
          </cell>
          <cell r="F7">
            <v>6</v>
          </cell>
          <cell r="G7">
            <v>152.78</v>
          </cell>
        </row>
        <row r="8">
          <cell r="A8" t="str">
            <v>контрагайка Ду 15 мм</v>
          </cell>
          <cell r="B8" t="str">
            <v>шт.</v>
          </cell>
          <cell r="C8">
            <v>30</v>
          </cell>
          <cell r="D8">
            <v>25</v>
          </cell>
          <cell r="E8" t="str">
            <v>шт.</v>
          </cell>
          <cell r="F8">
            <v>1</v>
          </cell>
          <cell r="G8">
            <v>25</v>
          </cell>
        </row>
        <row r="9">
          <cell r="A9" t="str">
            <v>круг отрезной 150*22*2,5 мм</v>
          </cell>
          <cell r="B9" t="str">
            <v>шт.</v>
          </cell>
          <cell r="C9">
            <v>45</v>
          </cell>
          <cell r="D9">
            <v>37.5</v>
          </cell>
          <cell r="E9" t="str">
            <v>шт.</v>
          </cell>
          <cell r="F9">
            <v>1</v>
          </cell>
          <cell r="G9">
            <v>37.5</v>
          </cell>
        </row>
        <row r="10">
          <cell r="A10" t="str">
            <v>лист медный</v>
          </cell>
          <cell r="B10" t="str">
            <v>кг</v>
          </cell>
          <cell r="C10">
            <v>720</v>
          </cell>
          <cell r="D10">
            <v>600</v>
          </cell>
          <cell r="E10" t="str">
            <v>кг</v>
          </cell>
          <cell r="F10">
            <v>1</v>
          </cell>
          <cell r="G10">
            <v>600</v>
          </cell>
        </row>
        <row r="11">
          <cell r="A11" t="str">
            <v>лента ФУМ 10 мм</v>
          </cell>
          <cell r="B11" t="str">
            <v>кг</v>
          </cell>
          <cell r="C11">
            <v>865</v>
          </cell>
          <cell r="D11">
            <v>720.83</v>
          </cell>
          <cell r="E11" t="str">
            <v>кг</v>
          </cell>
          <cell r="F11">
            <v>1</v>
          </cell>
          <cell r="G11">
            <v>720.83</v>
          </cell>
        </row>
        <row r="12">
          <cell r="A12" t="str">
            <v>муфта Ду 15 мм</v>
          </cell>
          <cell r="B12" t="str">
            <v>шт.</v>
          </cell>
          <cell r="C12">
            <v>40</v>
          </cell>
          <cell r="D12">
            <v>33.33</v>
          </cell>
          <cell r="E12" t="str">
            <v>шт.</v>
          </cell>
          <cell r="F12">
            <v>1</v>
          </cell>
          <cell r="G12">
            <v>33.33</v>
          </cell>
        </row>
        <row r="13">
          <cell r="A13" t="str">
            <v>мыло</v>
          </cell>
          <cell r="B13" t="str">
            <v>кг</v>
          </cell>
          <cell r="C13">
            <v>95</v>
          </cell>
          <cell r="D13">
            <v>79.17</v>
          </cell>
          <cell r="E13" t="str">
            <v>кг</v>
          </cell>
          <cell r="F13">
            <v>1</v>
          </cell>
          <cell r="G13">
            <v>79.17</v>
          </cell>
        </row>
        <row r="14">
          <cell r="A14" t="str">
            <v xml:space="preserve">переходник </v>
          </cell>
          <cell r="B14" t="str">
            <v>шт.</v>
          </cell>
          <cell r="C14">
            <v>80</v>
          </cell>
          <cell r="D14">
            <v>66.67</v>
          </cell>
          <cell r="E14" t="str">
            <v>шт.</v>
          </cell>
          <cell r="F14">
            <v>1</v>
          </cell>
          <cell r="G14">
            <v>66.67</v>
          </cell>
        </row>
        <row r="15">
          <cell r="A15" t="str">
            <v>петля</v>
          </cell>
          <cell r="B15" t="str">
            <v>шт.</v>
          </cell>
          <cell r="C15">
            <v>50</v>
          </cell>
          <cell r="D15">
            <v>41.67</v>
          </cell>
          <cell r="E15" t="str">
            <v>шт.</v>
          </cell>
          <cell r="F15">
            <v>1</v>
          </cell>
          <cell r="G15">
            <v>41.67</v>
          </cell>
        </row>
        <row r="16">
          <cell r="A16" t="str">
            <v>проволока ЛОК</v>
          </cell>
          <cell r="B16" t="str">
            <v>кг</v>
          </cell>
          <cell r="C16">
            <v>1800</v>
          </cell>
          <cell r="D16">
            <v>1500</v>
          </cell>
          <cell r="E16" t="str">
            <v>кг</v>
          </cell>
          <cell r="F16">
            <v>1</v>
          </cell>
          <cell r="G16">
            <v>1500</v>
          </cell>
        </row>
        <row r="17">
          <cell r="A17" t="str">
            <v>прокладка паронитовая</v>
          </cell>
          <cell r="B17" t="str">
            <v>шт.</v>
          </cell>
          <cell r="C17">
            <v>0.7</v>
          </cell>
          <cell r="D17">
            <v>0.57999999999999996</v>
          </cell>
          <cell r="E17" t="str">
            <v>шт.</v>
          </cell>
          <cell r="F17">
            <v>1</v>
          </cell>
          <cell r="G17">
            <v>0.57999999999999996</v>
          </cell>
        </row>
        <row r="18">
          <cell r="A18" t="str">
            <v>прокладка паронитовая  1/2 для баллонов</v>
          </cell>
          <cell r="B18" t="str">
            <v>шт.</v>
          </cell>
          <cell r="C18">
            <v>0.7</v>
          </cell>
          <cell r="D18">
            <v>0.57999999999999996</v>
          </cell>
          <cell r="E18" t="str">
            <v>шт.</v>
          </cell>
          <cell r="F18">
            <v>1</v>
          </cell>
          <cell r="G18">
            <v>0.57999999999999996</v>
          </cell>
        </row>
        <row r="19">
          <cell r="A19" t="str">
            <v>прокладка резиновая</v>
          </cell>
          <cell r="B19" t="str">
            <v>шт.</v>
          </cell>
          <cell r="C19">
            <v>0.8</v>
          </cell>
          <cell r="D19">
            <v>0.67</v>
          </cell>
          <cell r="F19">
            <v>1</v>
          </cell>
          <cell r="G19">
            <v>0.67</v>
          </cell>
        </row>
        <row r="20">
          <cell r="A20" t="str">
            <v>сварная заглушка</v>
          </cell>
          <cell r="B20" t="str">
            <v>шт.</v>
          </cell>
          <cell r="C20">
            <v>35</v>
          </cell>
          <cell r="D20">
            <v>29.17</v>
          </cell>
          <cell r="E20" t="str">
            <v>шт.</v>
          </cell>
          <cell r="F20">
            <v>1</v>
          </cell>
          <cell r="G20">
            <v>29.17</v>
          </cell>
        </row>
        <row r="21">
          <cell r="A21" t="str">
            <v>сварочная проволока СВ08А (3 мм)</v>
          </cell>
          <cell r="B21" t="str">
            <v>тонна</v>
          </cell>
          <cell r="C21">
            <v>150000</v>
          </cell>
          <cell r="D21">
            <v>125000</v>
          </cell>
          <cell r="E21" t="str">
            <v>кг</v>
          </cell>
          <cell r="F21">
            <v>1000</v>
          </cell>
          <cell r="G21">
            <v>125</v>
          </cell>
        </row>
        <row r="22">
          <cell r="A22" t="str">
            <v>сгон 1/2</v>
          </cell>
          <cell r="B22" t="str">
            <v>шт.</v>
          </cell>
          <cell r="C22">
            <v>50</v>
          </cell>
          <cell r="D22">
            <v>41.67</v>
          </cell>
          <cell r="E22" t="str">
            <v>шт.</v>
          </cell>
          <cell r="F22">
            <v>1</v>
          </cell>
          <cell r="G22">
            <v>41.67</v>
          </cell>
        </row>
        <row r="23">
          <cell r="A23" t="str">
            <v>труба ВГП 15*2,8</v>
          </cell>
          <cell r="B23" t="str">
            <v>м</v>
          </cell>
          <cell r="C23">
            <v>132.99</v>
          </cell>
          <cell r="D23">
            <v>110.83</v>
          </cell>
          <cell r="E23" t="str">
            <v>м</v>
          </cell>
          <cell r="F23">
            <v>1</v>
          </cell>
          <cell r="G23">
            <v>110.83</v>
          </cell>
        </row>
        <row r="24">
          <cell r="A24" t="str">
            <v>труба ВГП 32*3,2</v>
          </cell>
          <cell r="B24" t="str">
            <v>м</v>
          </cell>
          <cell r="C24">
            <v>289.52999999999997</v>
          </cell>
          <cell r="D24">
            <v>241.28</v>
          </cell>
          <cell r="E24" t="str">
            <v>м</v>
          </cell>
          <cell r="F24">
            <v>1</v>
          </cell>
          <cell r="G24">
            <v>241.28</v>
          </cell>
        </row>
        <row r="25">
          <cell r="A25" t="str">
            <v>угольник Ду 15 мм</v>
          </cell>
          <cell r="B25" t="str">
            <v>шт.</v>
          </cell>
          <cell r="C25">
            <v>50</v>
          </cell>
          <cell r="D25">
            <v>41.67</v>
          </cell>
          <cell r="E25" t="str">
            <v>шт.</v>
          </cell>
          <cell r="F25">
            <v>1</v>
          </cell>
          <cell r="G25">
            <v>41.67</v>
          </cell>
        </row>
        <row r="26">
          <cell r="A26" t="str">
            <v>хомут со шпилькой и дюбелем</v>
          </cell>
          <cell r="B26" t="str">
            <v>шт.</v>
          </cell>
          <cell r="C26">
            <v>20</v>
          </cell>
          <cell r="D26">
            <v>16.670000000000002</v>
          </cell>
          <cell r="E26" t="str">
            <v>шт.</v>
          </cell>
          <cell r="F26">
            <v>1</v>
          </cell>
          <cell r="G26">
            <v>16.670000000000002</v>
          </cell>
        </row>
        <row r="27">
          <cell r="A27" t="str">
            <v>хомутики для крепления резиновых шлангов</v>
          </cell>
          <cell r="B27" t="str">
            <v>шт.</v>
          </cell>
          <cell r="C27">
            <v>13</v>
          </cell>
          <cell r="D27">
            <v>10.83</v>
          </cell>
          <cell r="E27" t="str">
            <v>шт.</v>
          </cell>
          <cell r="F27">
            <v>1</v>
          </cell>
          <cell r="G27">
            <v>10.83</v>
          </cell>
        </row>
        <row r="28">
          <cell r="A28" t="str">
            <v>шнур асбестовый</v>
          </cell>
          <cell r="B28" t="str">
            <v>кг</v>
          </cell>
          <cell r="C28">
            <v>332.25259999999997</v>
          </cell>
          <cell r="D28">
            <v>276.88</v>
          </cell>
          <cell r="E28" t="str">
            <v>кг</v>
          </cell>
          <cell r="F28">
            <v>1</v>
          </cell>
          <cell r="G28">
            <v>276.88</v>
          </cell>
        </row>
        <row r="29">
          <cell r="A29" t="str">
            <v>штуцер 1-рожковый</v>
          </cell>
          <cell r="B29" t="str">
            <v>шт.</v>
          </cell>
          <cell r="C29">
            <v>60</v>
          </cell>
          <cell r="D29">
            <v>50</v>
          </cell>
          <cell r="E29" t="str">
            <v>шт.</v>
          </cell>
          <cell r="F29">
            <v>1</v>
          </cell>
          <cell r="G29">
            <v>50</v>
          </cell>
        </row>
        <row r="30">
          <cell r="A30" t="str">
            <v>штуцер 2-рожковый</v>
          </cell>
          <cell r="B30" t="str">
            <v>шт.</v>
          </cell>
          <cell r="C30">
            <v>60</v>
          </cell>
          <cell r="D30">
            <v>50</v>
          </cell>
          <cell r="E30" t="str">
            <v>шт.</v>
          </cell>
          <cell r="F30">
            <v>1</v>
          </cell>
          <cell r="G30">
            <v>50</v>
          </cell>
        </row>
        <row r="31">
          <cell r="A31" t="str">
            <v>электроды</v>
          </cell>
          <cell r="B31" t="str">
            <v>кг</v>
          </cell>
          <cell r="C31">
            <v>220</v>
          </cell>
          <cell r="D31">
            <v>183.33</v>
          </cell>
          <cell r="E31" t="str">
            <v>кг</v>
          </cell>
          <cell r="F31">
            <v>1</v>
          </cell>
          <cell r="G31">
            <v>183.33</v>
          </cell>
        </row>
        <row r="32">
          <cell r="A32" t="str">
            <v xml:space="preserve">РЕГУЛЯТОР ДАВЛЕНИЯ </v>
          </cell>
          <cell r="B32" t="str">
            <v>шт.</v>
          </cell>
          <cell r="C32">
            <v>350</v>
          </cell>
          <cell r="D32">
            <v>291.67</v>
          </cell>
          <cell r="E32" t="str">
            <v>шт.</v>
          </cell>
          <cell r="F32">
            <v>1</v>
          </cell>
          <cell r="G32">
            <v>291.67</v>
          </cell>
        </row>
        <row r="33">
          <cell r="A33" t="str">
            <v>ШЛАНГ</v>
          </cell>
          <cell r="B33" t="str">
            <v>шт.</v>
          </cell>
          <cell r="C33">
            <v>30</v>
          </cell>
          <cell r="D33">
            <v>25</v>
          </cell>
          <cell r="E33" t="str">
            <v>шт.</v>
          </cell>
          <cell r="F33">
            <v>1</v>
          </cell>
          <cell r="G33">
            <v>25</v>
          </cell>
        </row>
        <row r="34">
          <cell r="A34" t="str">
            <v xml:space="preserve">кран газовый шаровый </v>
          </cell>
          <cell r="B34" t="str">
            <v>шт.</v>
          </cell>
          <cell r="C34">
            <v>200</v>
          </cell>
          <cell r="D34">
            <v>166.67</v>
          </cell>
          <cell r="E34" t="str">
            <v>шт.</v>
          </cell>
          <cell r="F34">
            <v>1</v>
          </cell>
          <cell r="G34">
            <v>166.67</v>
          </cell>
        </row>
      </sheetData>
      <sheetData sheetId="5">
        <row r="4">
          <cell r="J4">
            <v>470.85</v>
          </cell>
        </row>
        <row r="6">
          <cell r="J6">
            <v>179.05</v>
          </cell>
          <cell r="K6">
            <v>3.65</v>
          </cell>
        </row>
        <row r="8">
          <cell r="J8">
            <v>265.16000000000003</v>
          </cell>
          <cell r="K8">
            <v>5.41</v>
          </cell>
        </row>
      </sheetData>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0" workbookViewId="0">
      <selection activeCell="C30" sqref="C30"/>
    </sheetView>
  </sheetViews>
  <sheetFormatPr defaultRowHeight="15" x14ac:dyDescent="0.25"/>
  <cols>
    <col min="1" max="1" width="26.42578125" customWidth="1"/>
    <col min="2" max="2" width="10.85546875" customWidth="1"/>
    <col min="3" max="4" width="14.42578125" customWidth="1"/>
    <col min="6" max="6" width="9.28515625" bestFit="1" customWidth="1"/>
    <col min="7" max="7" width="10.140625" bestFit="1" customWidth="1"/>
    <col min="8" max="9" width="9.28515625" bestFit="1" customWidth="1"/>
  </cols>
  <sheetData>
    <row r="1" spans="1:9" ht="15.75" thickBot="1" x14ac:dyDescent="0.3">
      <c r="C1" s="4" t="s">
        <v>140</v>
      </c>
      <c r="D1" s="66"/>
    </row>
    <row r="2" spans="1:9" ht="26.25" x14ac:dyDescent="0.25">
      <c r="A2" s="5" t="s">
        <v>141</v>
      </c>
      <c r="B2" s="6" t="s">
        <v>142</v>
      </c>
      <c r="C2" s="7">
        <v>7056</v>
      </c>
      <c r="D2" s="67"/>
    </row>
    <row r="3" spans="1:9" x14ac:dyDescent="0.25">
      <c r="A3" s="8" t="s">
        <v>143</v>
      </c>
      <c r="B3" s="9" t="s">
        <v>144</v>
      </c>
      <c r="C3" s="10">
        <v>0.7</v>
      </c>
      <c r="D3" s="68"/>
    </row>
    <row r="4" spans="1:9" x14ac:dyDescent="0.25">
      <c r="A4" s="8" t="s">
        <v>145</v>
      </c>
      <c r="B4" s="9" t="s">
        <v>144</v>
      </c>
      <c r="C4" s="10">
        <v>0.1</v>
      </c>
      <c r="D4" s="68"/>
    </row>
    <row r="5" spans="1:9" x14ac:dyDescent="0.25">
      <c r="A5" s="8" t="s">
        <v>146</v>
      </c>
      <c r="B5" s="9" t="s">
        <v>144</v>
      </c>
      <c r="C5" s="12">
        <v>0.14249999999999999</v>
      </c>
      <c r="D5" s="69"/>
    </row>
    <row r="6" spans="1:9" x14ac:dyDescent="0.25">
      <c r="A6" s="8" t="s">
        <v>147</v>
      </c>
      <c r="B6" s="9" t="s">
        <v>148</v>
      </c>
      <c r="C6" s="11">
        <v>164.5</v>
      </c>
      <c r="D6" s="67"/>
    </row>
    <row r="7" spans="1:9" x14ac:dyDescent="0.25">
      <c r="A7" s="8" t="s">
        <v>149</v>
      </c>
      <c r="B7" s="9" t="s">
        <v>144</v>
      </c>
      <c r="C7" s="12">
        <v>0.93400000000000005</v>
      </c>
      <c r="D7" s="69"/>
    </row>
    <row r="8" spans="1:9" x14ac:dyDescent="0.25">
      <c r="A8" s="8" t="s">
        <v>150</v>
      </c>
      <c r="B8" s="9" t="s">
        <v>144</v>
      </c>
      <c r="C8" s="10">
        <v>0.1</v>
      </c>
      <c r="D8" s="68"/>
    </row>
    <row r="9" spans="1:9" ht="15.75" thickBot="1" x14ac:dyDescent="0.3">
      <c r="A9" s="13" t="s">
        <v>400</v>
      </c>
      <c r="B9" s="14" t="s">
        <v>399</v>
      </c>
      <c r="C9" s="65">
        <v>14525</v>
      </c>
      <c r="D9" s="68"/>
    </row>
    <row r="10" spans="1:9" ht="15.75" thickBot="1" x14ac:dyDescent="0.3">
      <c r="B10" s="15"/>
      <c r="C10" s="15"/>
      <c r="D10" s="15"/>
      <c r="E10" s="15"/>
      <c r="F10" s="15"/>
      <c r="G10" s="15"/>
      <c r="H10" s="15"/>
      <c r="I10" s="15"/>
    </row>
    <row r="11" spans="1:9" ht="89.25" x14ac:dyDescent="0.25">
      <c r="A11" s="581" t="s">
        <v>151</v>
      </c>
      <c r="B11" s="579" t="s">
        <v>152</v>
      </c>
      <c r="C11" s="579" t="s">
        <v>153</v>
      </c>
      <c r="D11" s="16" t="s">
        <v>155</v>
      </c>
      <c r="E11" s="579" t="s">
        <v>154</v>
      </c>
      <c r="F11" s="16" t="s">
        <v>156</v>
      </c>
      <c r="G11" s="579" t="s">
        <v>157</v>
      </c>
      <c r="H11" s="579" t="s">
        <v>158</v>
      </c>
      <c r="I11" s="17" t="s">
        <v>159</v>
      </c>
    </row>
    <row r="12" spans="1:9" x14ac:dyDescent="0.25">
      <c r="A12" s="582"/>
      <c r="B12" s="580"/>
      <c r="C12" s="580"/>
      <c r="D12" s="18">
        <f>C4</f>
        <v>0.1</v>
      </c>
      <c r="E12" s="580"/>
      <c r="F12" s="18">
        <f>C3</f>
        <v>0.7</v>
      </c>
      <c r="G12" s="580"/>
      <c r="H12" s="580"/>
      <c r="I12" s="12">
        <f>C5</f>
        <v>0.14249999999999999</v>
      </c>
    </row>
    <row r="13" spans="1:9" x14ac:dyDescent="0.25">
      <c r="A13" s="28">
        <v>1</v>
      </c>
      <c r="B13" s="29">
        <v>2</v>
      </c>
      <c r="C13" s="29">
        <v>3</v>
      </c>
      <c r="D13" s="36">
        <v>4</v>
      </c>
      <c r="E13" s="29">
        <v>5</v>
      </c>
      <c r="F13" s="29">
        <v>6</v>
      </c>
      <c r="G13" s="35">
        <v>7</v>
      </c>
      <c r="H13" s="29">
        <v>8</v>
      </c>
      <c r="I13" s="30">
        <v>9</v>
      </c>
    </row>
    <row r="14" spans="1:9" x14ac:dyDescent="0.25">
      <c r="A14" s="19" t="s">
        <v>312</v>
      </c>
      <c r="B14" s="34">
        <v>1.47</v>
      </c>
      <c r="C14" s="23">
        <f t="shared" ref="C14:C32" si="0">ROUND(B14*$C$2,0)</f>
        <v>10372</v>
      </c>
      <c r="D14" s="23">
        <f t="shared" ref="D14:D32" si="1">ROUND(C14*$D$12,2)</f>
        <v>1037.2</v>
      </c>
      <c r="E14" s="22"/>
      <c r="F14" s="23">
        <f t="shared" ref="F14:F32" si="2">ROUND((C14+E14+D14)*$F$12,2)</f>
        <v>7986.44</v>
      </c>
      <c r="G14" s="23">
        <f t="shared" ref="G14:G32" si="3">SUM(C14:F14)</f>
        <v>19395.64</v>
      </c>
      <c r="H14" s="23">
        <f t="shared" ref="H14:H32" si="4">ROUND(G14/$C$6,2)</f>
        <v>117.91</v>
      </c>
      <c r="I14" s="24">
        <f t="shared" ref="I14:I32" si="5">ROUND(H14*(1+$I$12),2)</f>
        <v>134.71</v>
      </c>
    </row>
    <row r="15" spans="1:9" x14ac:dyDescent="0.25">
      <c r="A15" s="19" t="s">
        <v>321</v>
      </c>
      <c r="B15" s="34">
        <v>1.26</v>
      </c>
      <c r="C15" s="23">
        <f t="shared" si="0"/>
        <v>8891</v>
      </c>
      <c r="D15" s="23">
        <f t="shared" si="1"/>
        <v>889.1</v>
      </c>
      <c r="E15" s="23">
        <f>ROUND(C15*25%,2)</f>
        <v>2222.75</v>
      </c>
      <c r="F15" s="23">
        <f t="shared" si="2"/>
        <v>8402</v>
      </c>
      <c r="G15" s="23">
        <f t="shared" si="3"/>
        <v>20404.849999999999</v>
      </c>
      <c r="H15" s="23">
        <f t="shared" si="4"/>
        <v>124.04</v>
      </c>
      <c r="I15" s="24">
        <f t="shared" si="5"/>
        <v>141.72</v>
      </c>
    </row>
    <row r="16" spans="1:9" x14ac:dyDescent="0.25">
      <c r="A16" s="19" t="s">
        <v>318</v>
      </c>
      <c r="B16" s="34">
        <v>1.44</v>
      </c>
      <c r="C16" s="23">
        <f t="shared" si="0"/>
        <v>10161</v>
      </c>
      <c r="D16" s="23">
        <f t="shared" si="1"/>
        <v>1016.1</v>
      </c>
      <c r="E16" s="23">
        <f>ROUND(C16*25%,2)</f>
        <v>2540.25</v>
      </c>
      <c r="F16" s="23">
        <f t="shared" si="2"/>
        <v>9602.15</v>
      </c>
      <c r="G16" s="23">
        <f t="shared" si="3"/>
        <v>23319.5</v>
      </c>
      <c r="H16" s="23">
        <f t="shared" si="4"/>
        <v>141.76</v>
      </c>
      <c r="I16" s="24">
        <f t="shared" si="5"/>
        <v>161.96</v>
      </c>
    </row>
    <row r="17" spans="1:11" x14ac:dyDescent="0.25">
      <c r="A17" s="19" t="s">
        <v>349</v>
      </c>
      <c r="B17" s="21">
        <f>ROUND(9559/6638,2)</f>
        <v>1.44</v>
      </c>
      <c r="C17" s="23">
        <f t="shared" si="0"/>
        <v>10161</v>
      </c>
      <c r="D17" s="23">
        <f t="shared" si="1"/>
        <v>1016.1</v>
      </c>
      <c r="E17" s="23">
        <f>ROUND(C17*(25%+4%),2)</f>
        <v>2946.69</v>
      </c>
      <c r="F17" s="23">
        <f t="shared" si="2"/>
        <v>9886.65</v>
      </c>
      <c r="G17" s="23">
        <f t="shared" si="3"/>
        <v>24010.440000000002</v>
      </c>
      <c r="H17" s="23">
        <f t="shared" si="4"/>
        <v>145.96</v>
      </c>
      <c r="I17" s="24">
        <f t="shared" si="5"/>
        <v>166.76</v>
      </c>
    </row>
    <row r="18" spans="1:11" x14ac:dyDescent="0.25">
      <c r="A18" s="19" t="s">
        <v>320</v>
      </c>
      <c r="B18" s="34">
        <v>1.26</v>
      </c>
      <c r="C18" s="23">
        <f t="shared" si="0"/>
        <v>8891</v>
      </c>
      <c r="D18" s="23">
        <f t="shared" si="1"/>
        <v>889.1</v>
      </c>
      <c r="E18" s="23">
        <f>ROUND(C18*25%,2)</f>
        <v>2222.75</v>
      </c>
      <c r="F18" s="23">
        <f t="shared" si="2"/>
        <v>8402</v>
      </c>
      <c r="G18" s="23">
        <f t="shared" si="3"/>
        <v>20404.849999999999</v>
      </c>
      <c r="H18" s="23">
        <f t="shared" si="4"/>
        <v>124.04</v>
      </c>
      <c r="I18" s="24">
        <f t="shared" si="5"/>
        <v>141.72</v>
      </c>
    </row>
    <row r="19" spans="1:11" x14ac:dyDescent="0.25">
      <c r="A19" s="19" t="s">
        <v>319</v>
      </c>
      <c r="B19" s="34">
        <v>1.44</v>
      </c>
      <c r="C19" s="23">
        <f t="shared" si="0"/>
        <v>10161</v>
      </c>
      <c r="D19" s="23">
        <f t="shared" si="1"/>
        <v>1016.1</v>
      </c>
      <c r="E19" s="23">
        <f>ROUND(C19*25%,2)</f>
        <v>2540.25</v>
      </c>
      <c r="F19" s="23">
        <f t="shared" si="2"/>
        <v>9602.15</v>
      </c>
      <c r="G19" s="23">
        <f t="shared" si="3"/>
        <v>23319.5</v>
      </c>
      <c r="H19" s="23">
        <f t="shared" si="4"/>
        <v>141.76</v>
      </c>
      <c r="I19" s="24">
        <f t="shared" si="5"/>
        <v>161.96</v>
      </c>
    </row>
    <row r="20" spans="1:11" x14ac:dyDescent="0.25">
      <c r="A20" s="19" t="s">
        <v>163</v>
      </c>
      <c r="B20" s="21">
        <f>ROUND(13143/6638,2)</f>
        <v>1.98</v>
      </c>
      <c r="C20" s="23">
        <f t="shared" si="0"/>
        <v>13971</v>
      </c>
      <c r="D20" s="23">
        <f t="shared" si="1"/>
        <v>1397.1</v>
      </c>
      <c r="E20" s="22"/>
      <c r="F20" s="23">
        <f t="shared" si="2"/>
        <v>10757.67</v>
      </c>
      <c r="G20" s="23">
        <f t="shared" si="3"/>
        <v>26125.77</v>
      </c>
      <c r="H20" s="23">
        <f t="shared" si="4"/>
        <v>158.82</v>
      </c>
      <c r="I20" s="24">
        <f t="shared" si="5"/>
        <v>181.45</v>
      </c>
    </row>
    <row r="21" spans="1:11" x14ac:dyDescent="0.25">
      <c r="A21" s="145" t="s">
        <v>587</v>
      </c>
      <c r="B21" s="21">
        <v>1.66</v>
      </c>
      <c r="C21" s="23">
        <f t="shared" si="0"/>
        <v>11713</v>
      </c>
      <c r="D21" s="23">
        <f t="shared" si="1"/>
        <v>1171.3</v>
      </c>
      <c r="E21" s="22"/>
      <c r="F21" s="23">
        <f t="shared" si="2"/>
        <v>9019.01</v>
      </c>
      <c r="G21" s="23">
        <f t="shared" si="3"/>
        <v>21903.309999999998</v>
      </c>
      <c r="H21" s="23">
        <f t="shared" si="4"/>
        <v>133.15</v>
      </c>
      <c r="I21" s="24">
        <f t="shared" si="5"/>
        <v>152.12</v>
      </c>
    </row>
    <row r="22" spans="1:11" x14ac:dyDescent="0.25">
      <c r="A22" s="19" t="s">
        <v>29</v>
      </c>
      <c r="B22" s="21">
        <f>ROUND(10600/6638,2)</f>
        <v>1.6</v>
      </c>
      <c r="C22" s="23">
        <f t="shared" si="0"/>
        <v>11290</v>
      </c>
      <c r="D22" s="23">
        <f t="shared" si="1"/>
        <v>1129</v>
      </c>
      <c r="E22" s="32"/>
      <c r="F22" s="23">
        <f t="shared" si="2"/>
        <v>8693.2999999999993</v>
      </c>
      <c r="G22" s="23">
        <f t="shared" si="3"/>
        <v>21112.3</v>
      </c>
      <c r="H22" s="23">
        <f t="shared" si="4"/>
        <v>128.34</v>
      </c>
      <c r="I22" s="24">
        <f t="shared" si="5"/>
        <v>146.63</v>
      </c>
    </row>
    <row r="23" spans="1:11" x14ac:dyDescent="0.25">
      <c r="A23" s="19" t="s">
        <v>363</v>
      </c>
      <c r="B23" s="49">
        <v>1</v>
      </c>
      <c r="C23" s="23">
        <f t="shared" si="0"/>
        <v>7056</v>
      </c>
      <c r="D23" s="23">
        <f t="shared" si="1"/>
        <v>705.6</v>
      </c>
      <c r="E23" s="32"/>
      <c r="F23" s="23">
        <f t="shared" si="2"/>
        <v>5433.12</v>
      </c>
      <c r="G23" s="23">
        <f t="shared" si="3"/>
        <v>13194.720000000001</v>
      </c>
      <c r="H23" s="23">
        <f t="shared" si="4"/>
        <v>80.209999999999994</v>
      </c>
      <c r="I23" s="24">
        <f t="shared" si="5"/>
        <v>91.64</v>
      </c>
    </row>
    <row r="24" spans="1:11" x14ac:dyDescent="0.25">
      <c r="A24" s="19" t="s">
        <v>315</v>
      </c>
      <c r="B24" s="31">
        <v>1.2</v>
      </c>
      <c r="C24" s="23">
        <f t="shared" si="0"/>
        <v>8467</v>
      </c>
      <c r="D24" s="23">
        <f t="shared" si="1"/>
        <v>846.7</v>
      </c>
      <c r="E24" s="32"/>
      <c r="F24" s="23">
        <f t="shared" si="2"/>
        <v>6519.59</v>
      </c>
      <c r="G24" s="23">
        <f t="shared" si="3"/>
        <v>15833.29</v>
      </c>
      <c r="H24" s="23">
        <f t="shared" si="4"/>
        <v>96.25</v>
      </c>
      <c r="I24" s="24">
        <f t="shared" si="5"/>
        <v>109.97</v>
      </c>
    </row>
    <row r="25" spans="1:11" x14ac:dyDescent="0.25">
      <c r="A25" s="19" t="s">
        <v>168</v>
      </c>
      <c r="B25" s="33">
        <f>ROUND(($B$29+$B$28)/2,2)</f>
        <v>1.3</v>
      </c>
      <c r="C25" s="23">
        <f t="shared" si="0"/>
        <v>9173</v>
      </c>
      <c r="D25" s="23">
        <f t="shared" si="1"/>
        <v>917.3</v>
      </c>
      <c r="E25" s="32"/>
      <c r="F25" s="23">
        <f t="shared" si="2"/>
        <v>7063.21</v>
      </c>
      <c r="G25" s="23">
        <f t="shared" si="3"/>
        <v>17153.509999999998</v>
      </c>
      <c r="H25" s="23">
        <f t="shared" si="4"/>
        <v>104.28</v>
      </c>
      <c r="I25" s="24">
        <f t="shared" si="5"/>
        <v>119.14</v>
      </c>
    </row>
    <row r="26" spans="1:11" x14ac:dyDescent="0.25">
      <c r="A26" s="19" t="s">
        <v>350</v>
      </c>
      <c r="B26" s="21">
        <f>ROUND(8746/6638,2)</f>
        <v>1.32</v>
      </c>
      <c r="C26" s="23">
        <f t="shared" si="0"/>
        <v>9314</v>
      </c>
      <c r="D26" s="23">
        <f t="shared" si="1"/>
        <v>931.4</v>
      </c>
      <c r="E26" s="23">
        <f>ROUND(C26*4%,2)</f>
        <v>372.56</v>
      </c>
      <c r="F26" s="23">
        <f t="shared" si="2"/>
        <v>7432.57</v>
      </c>
      <c r="G26" s="23">
        <f t="shared" si="3"/>
        <v>18050.53</v>
      </c>
      <c r="H26" s="23">
        <f t="shared" si="4"/>
        <v>109.73</v>
      </c>
      <c r="I26" s="24">
        <f t="shared" si="5"/>
        <v>125.37</v>
      </c>
      <c r="K26" s="47" t="s">
        <v>360</v>
      </c>
    </row>
    <row r="27" spans="1:11" x14ac:dyDescent="0.25">
      <c r="A27" s="19" t="s">
        <v>160</v>
      </c>
      <c r="B27" s="21">
        <v>1.1000000000000001</v>
      </c>
      <c r="C27" s="23">
        <f t="shared" si="0"/>
        <v>7762</v>
      </c>
      <c r="D27" s="23">
        <f t="shared" si="1"/>
        <v>776.2</v>
      </c>
      <c r="E27" s="32"/>
      <c r="F27" s="23">
        <f t="shared" si="2"/>
        <v>5976.74</v>
      </c>
      <c r="G27" s="23">
        <f t="shared" si="3"/>
        <v>14514.94</v>
      </c>
      <c r="H27" s="23">
        <f t="shared" si="4"/>
        <v>88.24</v>
      </c>
      <c r="I27" s="24">
        <f t="shared" si="5"/>
        <v>100.81</v>
      </c>
    </row>
    <row r="28" spans="1:11" x14ac:dyDescent="0.25">
      <c r="A28" s="19" t="s">
        <v>161</v>
      </c>
      <c r="B28" s="31">
        <v>1.22</v>
      </c>
      <c r="C28" s="23">
        <f t="shared" si="0"/>
        <v>8608</v>
      </c>
      <c r="D28" s="23">
        <f t="shared" si="1"/>
        <v>860.8</v>
      </c>
      <c r="E28" s="32"/>
      <c r="F28" s="23">
        <f t="shared" si="2"/>
        <v>6628.16</v>
      </c>
      <c r="G28" s="23">
        <f t="shared" si="3"/>
        <v>16096.96</v>
      </c>
      <c r="H28" s="23">
        <f t="shared" si="4"/>
        <v>97.85</v>
      </c>
      <c r="I28" s="24">
        <f t="shared" si="5"/>
        <v>111.79</v>
      </c>
    </row>
    <row r="29" spans="1:11" x14ac:dyDescent="0.25">
      <c r="A29" s="19" t="s">
        <v>162</v>
      </c>
      <c r="B29" s="31">
        <v>1.38</v>
      </c>
      <c r="C29" s="23">
        <v>12634</v>
      </c>
      <c r="D29" s="23">
        <f t="shared" si="1"/>
        <v>1263.4000000000001</v>
      </c>
      <c r="E29" s="32"/>
      <c r="F29" s="23">
        <f t="shared" si="2"/>
        <v>9728.18</v>
      </c>
      <c r="G29" s="23">
        <f t="shared" si="3"/>
        <v>23625.58</v>
      </c>
      <c r="H29" s="23">
        <f t="shared" si="4"/>
        <v>143.62</v>
      </c>
      <c r="I29" s="24">
        <f t="shared" si="5"/>
        <v>164.09</v>
      </c>
    </row>
    <row r="30" spans="1:11" x14ac:dyDescent="0.25">
      <c r="A30" s="19" t="s">
        <v>283</v>
      </c>
      <c r="B30" s="33">
        <v>1.56</v>
      </c>
      <c r="C30" s="23">
        <f t="shared" si="0"/>
        <v>11007</v>
      </c>
      <c r="D30" s="23">
        <f t="shared" si="1"/>
        <v>1100.7</v>
      </c>
      <c r="E30" s="32"/>
      <c r="F30" s="23">
        <f t="shared" si="2"/>
        <v>8475.39</v>
      </c>
      <c r="G30" s="23">
        <f t="shared" si="3"/>
        <v>20583.09</v>
      </c>
      <c r="H30" s="23">
        <f t="shared" si="4"/>
        <v>125.13</v>
      </c>
      <c r="I30" s="24">
        <f t="shared" si="5"/>
        <v>142.96</v>
      </c>
    </row>
    <row r="31" spans="1:11" x14ac:dyDescent="0.25">
      <c r="A31" s="19" t="s">
        <v>294</v>
      </c>
      <c r="B31" s="31">
        <f>ROUND(13530/6638,2)</f>
        <v>2.04</v>
      </c>
      <c r="C31" s="23">
        <f>ROUND(B31*$C$2,0)</f>
        <v>14394</v>
      </c>
      <c r="D31" s="23">
        <f>ROUND(C31*$D$12,2)</f>
        <v>1439.4</v>
      </c>
      <c r="E31" s="32"/>
      <c r="F31" s="23">
        <f>ROUND((C31+E31+D31)*65%,2)</f>
        <v>10291.709999999999</v>
      </c>
      <c r="G31" s="23">
        <f>SUM(C31:F31)</f>
        <v>26125.11</v>
      </c>
      <c r="H31" s="23">
        <f>ROUND(G31/$C$6,2)</f>
        <v>158.82</v>
      </c>
      <c r="I31" s="24">
        <f>ROUND(H31*(1+$I$12),2)</f>
        <v>181.45</v>
      </c>
      <c r="J31" t="s">
        <v>415</v>
      </c>
    </row>
    <row r="32" spans="1:11" ht="15.75" thickBot="1" x14ac:dyDescent="0.3">
      <c r="A32" s="20" t="s">
        <v>166</v>
      </c>
      <c r="B32" s="25">
        <f>ROUND(12526/6638,2)</f>
        <v>1.89</v>
      </c>
      <c r="C32" s="26">
        <f t="shared" si="0"/>
        <v>13336</v>
      </c>
      <c r="D32" s="26">
        <f t="shared" si="1"/>
        <v>1333.6</v>
      </c>
      <c r="E32" s="26">
        <f>ROUND(C32*8%,2)</f>
        <v>1066.8800000000001</v>
      </c>
      <c r="F32" s="26">
        <f t="shared" si="2"/>
        <v>11015.54</v>
      </c>
      <c r="G32" s="26">
        <f t="shared" si="3"/>
        <v>26752.02</v>
      </c>
      <c r="H32" s="26">
        <f t="shared" si="4"/>
        <v>162.63</v>
      </c>
      <c r="I32" s="27">
        <f t="shared" si="5"/>
        <v>185.8</v>
      </c>
    </row>
  </sheetData>
  <sortState ref="A14:K32">
    <sortCondition ref="A14"/>
  </sortState>
  <mergeCells count="6">
    <mergeCell ref="H11:H12"/>
    <mergeCell ref="A11:A12"/>
    <mergeCell ref="B11:B12"/>
    <mergeCell ref="C11:C12"/>
    <mergeCell ref="E11:E12"/>
    <mergeCell ref="G11:G12"/>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8"/>
  <sheetViews>
    <sheetView view="pageBreakPreview" topLeftCell="C3" zoomScale="80" zoomScaleSheetLayoutView="80" workbookViewId="0">
      <selection activeCell="R6" sqref="R6"/>
    </sheetView>
  </sheetViews>
  <sheetFormatPr defaultRowHeight="15" outlineLevelRow="1" outlineLevelCol="1" x14ac:dyDescent="0.25"/>
  <cols>
    <col min="1" max="1" width="8.42578125" style="47" hidden="1" customWidth="1"/>
    <col min="2" max="2" width="8.7109375" hidden="1" customWidth="1"/>
    <col min="3" max="3" width="37.5703125" style="45" customWidth="1"/>
    <col min="4" max="4" width="11.28515625" customWidth="1"/>
    <col min="5" max="5" width="12.28515625" customWidth="1"/>
    <col min="6" max="6" width="9.140625" customWidth="1" outlineLevel="1"/>
    <col min="7" max="7" width="9.7109375" customWidth="1" outlineLevel="1"/>
    <col min="8" max="9" width="9.140625" customWidth="1" outlineLevel="1"/>
    <col min="10" max="10" width="10.5703125" customWidth="1" outlineLevel="1"/>
    <col min="11" max="11" width="15.7109375" style="45" customWidth="1" outlineLevel="1"/>
    <col min="12" max="13" width="9.140625" style="37" customWidth="1" outlineLevel="1"/>
    <col min="14" max="14" width="12.85546875" style="37" customWidth="1" outlineLevel="1"/>
    <col min="15" max="15" width="10.140625" style="37" customWidth="1" outlineLevel="1"/>
    <col min="16" max="16" width="9.140625" customWidth="1" outlineLevel="1"/>
    <col min="17" max="17" width="10" customWidth="1" outlineLevel="1"/>
    <col min="18" max="18" width="10.28515625" style="140" customWidth="1"/>
    <col min="19" max="20" width="9.140625" style="140"/>
    <col min="21" max="21" width="14" customWidth="1"/>
  </cols>
  <sheetData>
    <row r="1" spans="1:22" ht="93.75" hidden="1" customHeight="1" x14ac:dyDescent="0.25">
      <c r="A1" s="107"/>
      <c r="B1" s="77"/>
      <c r="C1" s="108"/>
      <c r="D1" s="77"/>
      <c r="E1" s="77"/>
      <c r="F1" s="77"/>
      <c r="G1" s="77"/>
      <c r="H1" s="77"/>
      <c r="I1" s="77"/>
      <c r="J1" s="77"/>
      <c r="K1" s="108"/>
      <c r="L1" s="109"/>
      <c r="M1" s="109"/>
      <c r="N1" s="109"/>
      <c r="O1" s="109"/>
      <c r="P1" s="584" t="s">
        <v>578</v>
      </c>
      <c r="Q1" s="584"/>
      <c r="R1" s="584"/>
      <c r="S1" s="584"/>
      <c r="T1" s="584"/>
    </row>
    <row r="2" spans="1:22" ht="78.75" hidden="1" customHeight="1" x14ac:dyDescent="0.25">
      <c r="A2" s="585" t="s">
        <v>560</v>
      </c>
      <c r="B2" s="586"/>
      <c r="C2" s="586"/>
      <c r="D2" s="586"/>
      <c r="E2" s="586"/>
      <c r="F2" s="586"/>
      <c r="G2" s="586"/>
      <c r="H2" s="586"/>
      <c r="I2" s="586"/>
      <c r="J2" s="586"/>
      <c r="K2" s="586"/>
      <c r="L2" s="586"/>
      <c r="M2" s="586"/>
      <c r="N2" s="586"/>
      <c r="O2" s="586"/>
      <c r="P2" s="586"/>
      <c r="Q2" s="586"/>
      <c r="R2" s="586"/>
      <c r="S2" s="586"/>
      <c r="T2" s="586"/>
    </row>
    <row r="3" spans="1:22" ht="37.5" customHeight="1" x14ac:dyDescent="0.25">
      <c r="A3" s="107"/>
      <c r="B3" s="77"/>
      <c r="C3" s="108"/>
      <c r="D3" s="77"/>
      <c r="E3" s="77"/>
      <c r="F3" s="77"/>
      <c r="G3" s="77"/>
      <c r="H3" s="77"/>
      <c r="I3" s="77"/>
      <c r="J3" s="77"/>
      <c r="K3" s="108"/>
      <c r="L3" s="109"/>
      <c r="M3" s="109"/>
      <c r="N3" s="109"/>
      <c r="O3" s="109"/>
      <c r="P3" s="77"/>
      <c r="Q3" s="77"/>
      <c r="R3" s="138"/>
      <c r="S3" s="138"/>
      <c r="T3" s="138"/>
    </row>
    <row r="4" spans="1:22" s="82" customFormat="1" ht="39.75" customHeight="1" x14ac:dyDescent="0.2">
      <c r="A4" s="615" t="s">
        <v>0</v>
      </c>
      <c r="B4" s="602" t="s">
        <v>1</v>
      </c>
      <c r="C4" s="600" t="s">
        <v>2</v>
      </c>
      <c r="D4" s="600" t="s">
        <v>590</v>
      </c>
      <c r="E4" s="600" t="s">
        <v>4</v>
      </c>
      <c r="F4" s="600" t="s">
        <v>5</v>
      </c>
      <c r="G4" s="600" t="s">
        <v>6</v>
      </c>
      <c r="H4" s="600" t="s">
        <v>7</v>
      </c>
      <c r="I4" s="152" t="s">
        <v>589</v>
      </c>
      <c r="J4" s="602" t="s">
        <v>19</v>
      </c>
      <c r="K4" s="611" t="s">
        <v>9</v>
      </c>
      <c r="L4" s="611" t="s">
        <v>10</v>
      </c>
      <c r="M4" s="611" t="s">
        <v>11</v>
      </c>
      <c r="N4" s="611" t="s">
        <v>12</v>
      </c>
      <c r="O4" s="611" t="s">
        <v>13</v>
      </c>
      <c r="P4" s="602" t="s">
        <v>17</v>
      </c>
      <c r="Q4" s="81" t="s">
        <v>14</v>
      </c>
      <c r="R4" s="139" t="s">
        <v>16</v>
      </c>
      <c r="S4" s="139" t="s">
        <v>20</v>
      </c>
      <c r="T4" s="613" t="s">
        <v>15</v>
      </c>
      <c r="U4" s="602"/>
      <c r="V4" s="602"/>
    </row>
    <row r="5" spans="1:22" s="82" customFormat="1" ht="13.7" customHeight="1" x14ac:dyDescent="0.2">
      <c r="A5" s="616"/>
      <c r="B5" s="617"/>
      <c r="C5" s="600"/>
      <c r="D5" s="618"/>
      <c r="E5" s="618"/>
      <c r="F5" s="618"/>
      <c r="G5" s="619"/>
      <c r="H5" s="619"/>
      <c r="I5" s="84">
        <f>'[1]Исходные данные'!$C$6</f>
        <v>0.30199999999999999</v>
      </c>
      <c r="J5" s="603"/>
      <c r="K5" s="612"/>
      <c r="L5" s="612"/>
      <c r="M5" s="612"/>
      <c r="N5" s="612"/>
      <c r="O5" s="612"/>
      <c r="P5" s="603"/>
      <c r="Q5" s="186">
        <v>0.76300000000000001</v>
      </c>
      <c r="R5" s="141">
        <f>'условия, ФОТ'!$C$8</f>
        <v>0.1</v>
      </c>
      <c r="S5" s="141">
        <v>0.2</v>
      </c>
      <c r="T5" s="614"/>
      <c r="U5" s="603"/>
      <c r="V5" s="603"/>
    </row>
    <row r="6" spans="1:22" ht="39" customHeight="1" x14ac:dyDescent="0.25">
      <c r="A6" s="88" t="s">
        <v>426</v>
      </c>
      <c r="B6" s="112" t="s">
        <v>343</v>
      </c>
      <c r="C6" s="90" t="s">
        <v>361</v>
      </c>
      <c r="D6" s="83">
        <v>11280</v>
      </c>
      <c r="E6" s="91" t="s">
        <v>162</v>
      </c>
      <c r="F6" s="92">
        <v>146.5</v>
      </c>
      <c r="G6" s="92">
        <v>0.4</v>
      </c>
      <c r="H6" s="92">
        <f>ROUND(F6*G6,2)*2</f>
        <v>117.2</v>
      </c>
      <c r="I6" s="92">
        <f>ROUND(H6*$I$5,2)</f>
        <v>35.39</v>
      </c>
      <c r="J6" s="92">
        <f>H6+I6</f>
        <v>152.59</v>
      </c>
      <c r="K6" s="79"/>
      <c r="L6" s="80"/>
      <c r="M6" s="80"/>
      <c r="N6" s="80"/>
      <c r="O6" s="80"/>
      <c r="P6" s="92">
        <f>J6+O6</f>
        <v>152.59</v>
      </c>
      <c r="Q6" s="92">
        <f>ROUND(P6*$Q$5,2)</f>
        <v>116.43</v>
      </c>
      <c r="R6" s="115">
        <f>ROUND(T6/1.2,2)</f>
        <v>295.83</v>
      </c>
      <c r="S6" s="115">
        <f>ROUND(R6*$S$5,2)</f>
        <v>59.17</v>
      </c>
      <c r="T6" s="115">
        <f>ROUND((P6+Q6)*(1+$R$5)*1.2,0)</f>
        <v>355</v>
      </c>
      <c r="U6" s="148"/>
      <c r="V6" s="78"/>
    </row>
    <row r="7" spans="1:22" ht="39" customHeight="1" x14ac:dyDescent="0.25">
      <c r="A7" s="158" t="s">
        <v>426</v>
      </c>
      <c r="B7" s="112" t="s">
        <v>343</v>
      </c>
      <c r="C7" s="156" t="s">
        <v>361</v>
      </c>
      <c r="D7" s="165">
        <v>12634</v>
      </c>
      <c r="E7" s="167" t="s">
        <v>162</v>
      </c>
      <c r="F7" s="160">
        <v>164.09</v>
      </c>
      <c r="G7" s="160">
        <v>0.4</v>
      </c>
      <c r="H7" s="160">
        <f>ROUND(F7*G7,2)*2</f>
        <v>131.28</v>
      </c>
      <c r="I7" s="160">
        <f>ROUND(H7*$I$5,2)</f>
        <v>39.65</v>
      </c>
      <c r="J7" s="160">
        <f>H7+I7</f>
        <v>170.93</v>
      </c>
      <c r="K7" s="79"/>
      <c r="L7" s="80"/>
      <c r="M7" s="80"/>
      <c r="N7" s="80"/>
      <c r="O7" s="80"/>
      <c r="P7" s="160">
        <f>J7+O7</f>
        <v>170.93</v>
      </c>
      <c r="Q7" s="160">
        <f>ROUND(P7*$Q$5,2)</f>
        <v>130.41999999999999</v>
      </c>
      <c r="R7" s="162">
        <f>ROUND(T7/1.2,2)</f>
        <v>331.67</v>
      </c>
      <c r="S7" s="162">
        <f>ROUND(R7*$S$5,2)</f>
        <v>66.33</v>
      </c>
      <c r="T7" s="162">
        <f>ROUND((P7+Q7)*(1+$R$5)*1.2,0)</f>
        <v>398</v>
      </c>
      <c r="U7" s="162"/>
      <c r="V7" s="78"/>
    </row>
    <row r="8" spans="1:22" ht="31.7" customHeight="1" x14ac:dyDescent="0.25">
      <c r="A8" s="610"/>
      <c r="B8" s="610"/>
      <c r="C8" s="610"/>
      <c r="D8" s="610"/>
      <c r="E8" s="610"/>
      <c r="F8" s="610"/>
      <c r="G8" s="610"/>
      <c r="H8" s="610"/>
      <c r="I8" s="610"/>
      <c r="J8" s="610"/>
      <c r="K8" s="610"/>
      <c r="L8" s="610"/>
      <c r="M8" s="610"/>
      <c r="N8" s="610"/>
      <c r="O8" s="610"/>
      <c r="P8" s="610"/>
      <c r="Q8" s="610"/>
      <c r="R8" s="610"/>
      <c r="S8" s="610"/>
      <c r="T8" s="610"/>
      <c r="U8" s="610"/>
      <c r="V8" s="77"/>
    </row>
    <row r="9" spans="1:22" ht="37.5" hidden="1" customHeight="1" x14ac:dyDescent="0.25">
      <c r="A9" s="88" t="s">
        <v>427</v>
      </c>
      <c r="B9" s="89" t="s">
        <v>171</v>
      </c>
      <c r="C9" s="90" t="s">
        <v>371</v>
      </c>
      <c r="D9" s="83" t="s">
        <v>30</v>
      </c>
      <c r="E9" s="91" t="s">
        <v>162</v>
      </c>
      <c r="F9" s="92">
        <f>VLOOKUP(E9,'условия, ФОТ'!$A$14:$I$32,9, FALSE)</f>
        <v>164.09</v>
      </c>
      <c r="G9" s="94">
        <v>1</v>
      </c>
      <c r="H9" s="92">
        <f>ROUND(F9*G9,2)</f>
        <v>164.09</v>
      </c>
      <c r="I9" s="92">
        <f>ROUND(H9*$I$5,2)</f>
        <v>49.56</v>
      </c>
      <c r="J9" s="92">
        <f>H9+I9</f>
        <v>213.65</v>
      </c>
      <c r="K9" s="93"/>
      <c r="L9" s="92"/>
      <c r="M9" s="92"/>
      <c r="N9" s="92"/>
      <c r="O9" s="92">
        <f>SUM(O10:O12)</f>
        <v>4.03</v>
      </c>
      <c r="P9" s="92">
        <f>J9+O9</f>
        <v>217.68</v>
      </c>
      <c r="Q9" s="92">
        <f>ROUND(P9*$Q$5,2)</f>
        <v>166.09</v>
      </c>
      <c r="R9" s="115">
        <f>ROUND(T9/1.2,2)</f>
        <v>422.5</v>
      </c>
      <c r="S9" s="115">
        <f>ROUND(R9*$S$5,2)</f>
        <v>84.5</v>
      </c>
      <c r="T9" s="115">
        <f>ROUND((P9+Q9)*(1+$R$5)*1.2,0)</f>
        <v>507</v>
      </c>
      <c r="U9" s="148">
        <v>423</v>
      </c>
      <c r="V9" s="78">
        <f>T9/U9*100-100</f>
        <v>19.858156028368796</v>
      </c>
    </row>
    <row r="10" spans="1:22" ht="26.25" hidden="1" customHeight="1" outlineLevel="1" x14ac:dyDescent="0.25">
      <c r="A10" s="88"/>
      <c r="B10" s="89"/>
      <c r="C10" s="90"/>
      <c r="D10" s="83"/>
      <c r="E10" s="91"/>
      <c r="F10" s="92"/>
      <c r="G10" s="94"/>
      <c r="H10" s="92"/>
      <c r="I10" s="92"/>
      <c r="J10" s="96" t="s">
        <v>366</v>
      </c>
      <c r="K10" s="104" t="s">
        <v>335</v>
      </c>
      <c r="L10" s="98" t="str">
        <f>VLOOKUP(K10,материалы!$A$5:$G$31,5, FALSE)</f>
        <v>кг</v>
      </c>
      <c r="M10" s="92">
        <f>VLOOKUP(K10,материалы!$A$5:$G$31,7, FALSE)</f>
        <v>712.76</v>
      </c>
      <c r="N10" s="92">
        <v>5.0000000000000001E-3</v>
      </c>
      <c r="O10" s="92">
        <f>ROUND(M10*N10,2)</f>
        <v>3.56</v>
      </c>
      <c r="P10" s="92"/>
      <c r="Q10" s="92"/>
      <c r="R10" s="115"/>
      <c r="S10" s="115"/>
      <c r="T10" s="115"/>
      <c r="U10" s="148"/>
      <c r="V10" s="78"/>
    </row>
    <row r="11" spans="1:22" ht="18.95" hidden="1" customHeight="1" outlineLevel="1" x14ac:dyDescent="0.25">
      <c r="A11" s="88"/>
      <c r="B11" s="89"/>
      <c r="C11" s="90"/>
      <c r="D11" s="83"/>
      <c r="E11" s="91"/>
      <c r="F11" s="92"/>
      <c r="G11" s="94"/>
      <c r="H11" s="92"/>
      <c r="I11" s="92"/>
      <c r="J11" s="92"/>
      <c r="K11" s="97" t="s">
        <v>329</v>
      </c>
      <c r="L11" s="98" t="str">
        <f>VLOOKUP(K11,материалы!$A$5:$G$31,5, FALSE)</f>
        <v>кг</v>
      </c>
      <c r="M11" s="92">
        <f>VLOOKUP(K11,материалы!$A$5:$G$31,7, FALSE)</f>
        <v>65.599999999999994</v>
      </c>
      <c r="N11" s="100">
        <v>1E-3</v>
      </c>
      <c r="O11" s="92">
        <f>ROUND(M11*N11,2)</f>
        <v>7.0000000000000007E-2</v>
      </c>
      <c r="P11" s="92"/>
      <c r="Q11" s="92"/>
      <c r="R11" s="115"/>
      <c r="S11" s="115"/>
      <c r="T11" s="115"/>
      <c r="U11" s="148"/>
      <c r="V11" s="78"/>
    </row>
    <row r="12" spans="1:22" ht="21" hidden="1" customHeight="1" outlineLevel="1" x14ac:dyDescent="0.25">
      <c r="A12" s="88"/>
      <c r="B12" s="89"/>
      <c r="C12" s="90"/>
      <c r="D12" s="83"/>
      <c r="E12" s="91"/>
      <c r="F12" s="92"/>
      <c r="G12" s="94"/>
      <c r="H12" s="92"/>
      <c r="I12" s="92"/>
      <c r="J12" s="92"/>
      <c r="K12" s="97" t="s">
        <v>330</v>
      </c>
      <c r="L12" s="98" t="str">
        <f>VLOOKUP(K12,материалы!$A$5:$G$31,5, FALSE)</f>
        <v>кг</v>
      </c>
      <c r="M12" s="92">
        <f>VLOOKUP(K12,материалы!$A$5:$G$31,7, FALSE)</f>
        <v>39.82</v>
      </c>
      <c r="N12" s="98">
        <v>0.01</v>
      </c>
      <c r="O12" s="92">
        <f>ROUND(M12*N12,2)</f>
        <v>0.4</v>
      </c>
      <c r="P12" s="92"/>
      <c r="Q12" s="92"/>
      <c r="R12" s="115"/>
      <c r="S12" s="115"/>
      <c r="T12" s="115"/>
      <c r="U12" s="148"/>
      <c r="V12" s="78"/>
    </row>
    <row r="13" spans="1:22" ht="39.75" hidden="1" customHeight="1" x14ac:dyDescent="0.25">
      <c r="A13" s="88" t="s">
        <v>428</v>
      </c>
      <c r="B13" s="589" t="s">
        <v>566</v>
      </c>
      <c r="C13" s="589"/>
      <c r="D13" s="83" t="s">
        <v>30</v>
      </c>
      <c r="E13" s="95"/>
      <c r="F13" s="92"/>
      <c r="G13" s="94"/>
      <c r="H13" s="92"/>
      <c r="I13" s="92"/>
      <c r="J13" s="92"/>
      <c r="K13" s="93"/>
      <c r="L13" s="92"/>
      <c r="M13" s="92"/>
      <c r="N13" s="92"/>
      <c r="O13" s="92"/>
      <c r="P13" s="92"/>
      <c r="Q13" s="92"/>
      <c r="R13" s="115"/>
      <c r="S13" s="115"/>
      <c r="T13" s="115"/>
      <c r="U13" s="148"/>
      <c r="V13" s="78"/>
    </row>
    <row r="14" spans="1:22" ht="23.25" hidden="1" customHeight="1" x14ac:dyDescent="0.25">
      <c r="A14" s="590" t="s">
        <v>351</v>
      </c>
      <c r="B14" s="620" t="s">
        <v>169</v>
      </c>
      <c r="C14" s="589" t="s">
        <v>21</v>
      </c>
      <c r="D14" s="621" t="s">
        <v>22</v>
      </c>
      <c r="E14" s="91" t="s">
        <v>166</v>
      </c>
      <c r="F14" s="92">
        <f>VLOOKUP(E14,'условия, ФОТ'!$A$14:$I$32,9, FALSE)</f>
        <v>185.8</v>
      </c>
      <c r="G14" s="87">
        <v>0.68</v>
      </c>
      <c r="H14" s="592">
        <f>ROUND(F14*G14+F15*G15,2)</f>
        <v>237.93</v>
      </c>
      <c r="I14" s="592">
        <f>ROUND(H14*$I$5,2)</f>
        <v>71.849999999999994</v>
      </c>
      <c r="J14" s="592">
        <f t="shared" ref="J14:J15" si="0">H14+I14</f>
        <v>309.77999999999997</v>
      </c>
      <c r="K14" s="591"/>
      <c r="L14" s="592"/>
      <c r="M14" s="592"/>
      <c r="N14" s="592"/>
      <c r="O14" s="592">
        <f>SUM(O16:O22)</f>
        <v>78.88</v>
      </c>
      <c r="P14" s="592">
        <f>J14+O14</f>
        <v>388.65999999999997</v>
      </c>
      <c r="Q14" s="592">
        <f>ROUND(P14*$Q$5,2)</f>
        <v>296.55</v>
      </c>
      <c r="R14" s="596">
        <f>ROUND(T14/1.2,2)</f>
        <v>753.33</v>
      </c>
      <c r="S14" s="596">
        <f>ROUND(R14*$S$5,2)</f>
        <v>150.66999999999999</v>
      </c>
      <c r="T14" s="596">
        <f>ROUND((P14+Q14)*(1+$R$5)*1.2,0)</f>
        <v>904</v>
      </c>
      <c r="U14" s="594">
        <v>892</v>
      </c>
      <c r="V14" s="78">
        <f t="shared" ref="V14:V155" si="1">T14/U14*100-100</f>
        <v>1.3452914798206308</v>
      </c>
    </row>
    <row r="15" spans="1:22" ht="24" hidden="1" customHeight="1" x14ac:dyDescent="0.25">
      <c r="A15" s="590"/>
      <c r="B15" s="620"/>
      <c r="C15" s="589"/>
      <c r="D15" s="621"/>
      <c r="E15" s="91" t="s">
        <v>162</v>
      </c>
      <c r="F15" s="92">
        <f>VLOOKUP(E15,'условия, ФОТ'!$A$14:$I$32,9, FALSE)</f>
        <v>164.09</v>
      </c>
      <c r="G15" s="87">
        <v>0.68</v>
      </c>
      <c r="H15" s="592"/>
      <c r="I15" s="592">
        <f>ROUND(H15*$I$5,2)</f>
        <v>0</v>
      </c>
      <c r="J15" s="592">
        <f t="shared" si="0"/>
        <v>0</v>
      </c>
      <c r="K15" s="591"/>
      <c r="L15" s="592"/>
      <c r="M15" s="592"/>
      <c r="N15" s="592"/>
      <c r="O15" s="592"/>
      <c r="P15" s="592"/>
      <c r="Q15" s="592">
        <f>ROUND(P15*$Q$5,2)</f>
        <v>0</v>
      </c>
      <c r="R15" s="596">
        <f t="shared" ref="R15" si="2">ROUND(T15/1.18,2)</f>
        <v>0</v>
      </c>
      <c r="S15" s="596">
        <f>ROUND(R15*$S$5,2)</f>
        <v>0</v>
      </c>
      <c r="T15" s="596">
        <f>ROUND((P15+Q15)*(1+$R$5)*1.18,0)</f>
        <v>0</v>
      </c>
      <c r="U15" s="595"/>
      <c r="V15" s="78"/>
    </row>
    <row r="16" spans="1:22" ht="17.25" hidden="1" customHeight="1" outlineLevel="1" x14ac:dyDescent="0.25">
      <c r="A16" s="590"/>
      <c r="B16" s="89"/>
      <c r="C16" s="90"/>
      <c r="D16" s="91"/>
      <c r="E16" s="91"/>
      <c r="F16" s="92"/>
      <c r="G16" s="87"/>
      <c r="H16" s="92"/>
      <c r="I16" s="92"/>
      <c r="J16" s="96" t="s">
        <v>366</v>
      </c>
      <c r="K16" s="97" t="s">
        <v>323</v>
      </c>
      <c r="L16" s="98" t="str">
        <f>VLOOKUP(K16,материалы!$A$5:$G$31,5, FALSE)</f>
        <v>м3</v>
      </c>
      <c r="M16" s="92">
        <f>VLOOKUP(K16,материалы!$A$5:$G$31,7, FALSE)</f>
        <v>379.24</v>
      </c>
      <c r="N16" s="98">
        <v>8.7499999999999994E-2</v>
      </c>
      <c r="O16" s="92">
        <f>ROUND(M16*N16,2)</f>
        <v>33.18</v>
      </c>
      <c r="P16" s="92"/>
      <c r="Q16" s="92"/>
      <c r="R16" s="115"/>
      <c r="S16" s="115"/>
      <c r="T16" s="115"/>
      <c r="U16" s="148"/>
      <c r="V16" s="78"/>
    </row>
    <row r="17" spans="1:22" ht="17.25" hidden="1" customHeight="1" outlineLevel="1" x14ac:dyDescent="0.25">
      <c r="A17" s="590"/>
      <c r="B17" s="89"/>
      <c r="C17" s="90"/>
      <c r="D17" s="91"/>
      <c r="E17" s="91"/>
      <c r="F17" s="92"/>
      <c r="G17" s="87"/>
      <c r="H17" s="92"/>
      <c r="I17" s="92"/>
      <c r="J17" s="92"/>
      <c r="K17" s="97" t="s">
        <v>324</v>
      </c>
      <c r="L17" s="98" t="str">
        <f>VLOOKUP(K17,материалы!$A$5:$G$31,5, FALSE)</f>
        <v>м3</v>
      </c>
      <c r="M17" s="92">
        <f>VLOOKUP(K17,материалы!$A$5:$G$31,7, FALSE)</f>
        <v>54.61</v>
      </c>
      <c r="N17" s="92">
        <v>0.15</v>
      </c>
      <c r="O17" s="92">
        <f t="shared" ref="O17:O22" si="3">ROUND(M17*N17,2)</f>
        <v>8.19</v>
      </c>
      <c r="P17" s="92"/>
      <c r="Q17" s="92"/>
      <c r="R17" s="115"/>
      <c r="S17" s="115"/>
      <c r="T17" s="115"/>
      <c r="U17" s="148"/>
      <c r="V17" s="78"/>
    </row>
    <row r="18" spans="1:22" ht="35.25" hidden="1" customHeight="1" outlineLevel="1" x14ac:dyDescent="0.25">
      <c r="A18" s="590"/>
      <c r="B18" s="89"/>
      <c r="C18" s="90"/>
      <c r="D18" s="91"/>
      <c r="E18" s="91"/>
      <c r="F18" s="92"/>
      <c r="G18" s="87"/>
      <c r="H18" s="92"/>
      <c r="I18" s="92"/>
      <c r="J18" s="92"/>
      <c r="K18" s="97" t="s">
        <v>341</v>
      </c>
      <c r="L18" s="98" t="str">
        <f>VLOOKUP(K18,материалы!$A$5:$G$31,5, FALSE)</f>
        <v>кг</v>
      </c>
      <c r="M18" s="92">
        <f>VLOOKUP(K18,материалы!$A$5:$G$31,7, FALSE)</f>
        <v>44.94</v>
      </c>
      <c r="N18" s="92">
        <v>0.1</v>
      </c>
      <c r="O18" s="92">
        <f t="shared" si="3"/>
        <v>4.49</v>
      </c>
      <c r="P18" s="92"/>
      <c r="Q18" s="92"/>
      <c r="R18" s="115"/>
      <c r="S18" s="115"/>
      <c r="T18" s="115"/>
      <c r="U18" s="148"/>
      <c r="V18" s="78"/>
    </row>
    <row r="19" spans="1:22" ht="24" hidden="1" customHeight="1" outlineLevel="1" x14ac:dyDescent="0.25">
      <c r="A19" s="590"/>
      <c r="B19" s="89"/>
      <c r="C19" s="90"/>
      <c r="D19" s="91"/>
      <c r="E19" s="91"/>
      <c r="F19" s="92"/>
      <c r="G19" s="87"/>
      <c r="H19" s="92"/>
      <c r="I19" s="92"/>
      <c r="J19" s="92"/>
      <c r="K19" s="97" t="s">
        <v>346</v>
      </c>
      <c r="L19" s="98" t="str">
        <f>VLOOKUP(K19,материалы!$A$5:$G$31,5, FALSE)</f>
        <v>шт.</v>
      </c>
      <c r="M19" s="92">
        <f>VLOOKUP(K19,материалы!$A$5:$G$31,7, FALSE)</f>
        <v>24.810000000000002</v>
      </c>
      <c r="N19" s="92">
        <v>1</v>
      </c>
      <c r="O19" s="92">
        <f t="shared" si="3"/>
        <v>24.81</v>
      </c>
      <c r="P19" s="92"/>
      <c r="Q19" s="92"/>
      <c r="R19" s="115"/>
      <c r="S19" s="115"/>
      <c r="T19" s="115"/>
      <c r="U19" s="148"/>
      <c r="V19" s="78"/>
    </row>
    <row r="20" spans="1:22" ht="24" hidden="1" customHeight="1" outlineLevel="1" x14ac:dyDescent="0.25">
      <c r="A20" s="590"/>
      <c r="B20" s="89"/>
      <c r="C20" s="90"/>
      <c r="D20" s="91"/>
      <c r="E20" s="91"/>
      <c r="F20" s="92"/>
      <c r="G20" s="87"/>
      <c r="H20" s="92"/>
      <c r="I20" s="92"/>
      <c r="J20" s="92"/>
      <c r="K20" s="97" t="s">
        <v>342</v>
      </c>
      <c r="L20" s="98" t="str">
        <f>VLOOKUP(K20,материалы!$A$5:$G$31,5, FALSE)</f>
        <v>шт.</v>
      </c>
      <c r="M20" s="92">
        <f>VLOOKUP(K20,материалы!$A$5:$G$31,7, FALSE)</f>
        <v>30.94</v>
      </c>
      <c r="N20" s="92">
        <v>0.25</v>
      </c>
      <c r="O20" s="92">
        <f t="shared" si="3"/>
        <v>7.74</v>
      </c>
      <c r="P20" s="92"/>
      <c r="Q20" s="92"/>
      <c r="R20" s="115"/>
      <c r="S20" s="115"/>
      <c r="T20" s="115"/>
      <c r="U20" s="148"/>
      <c r="V20" s="78"/>
    </row>
    <row r="21" spans="1:22" ht="20.25" hidden="1" customHeight="1" outlineLevel="1" x14ac:dyDescent="0.25">
      <c r="A21" s="590"/>
      <c r="B21" s="89"/>
      <c r="C21" s="90"/>
      <c r="D21" s="91"/>
      <c r="E21" s="91"/>
      <c r="F21" s="92"/>
      <c r="G21" s="87"/>
      <c r="H21" s="92"/>
      <c r="I21" s="92"/>
      <c r="J21" s="92"/>
      <c r="K21" s="97" t="s">
        <v>330</v>
      </c>
      <c r="L21" s="98" t="str">
        <f>VLOOKUP(K21,материалы!$A$5:$G$31,5, FALSE)</f>
        <v>кг</v>
      </c>
      <c r="M21" s="92">
        <f>VLOOKUP(K21,материалы!$A$5:$G$31,7, FALSE)</f>
        <v>39.82</v>
      </c>
      <c r="N21" s="98">
        <f>0.01</f>
        <v>0.01</v>
      </c>
      <c r="O21" s="92">
        <f t="shared" si="3"/>
        <v>0.4</v>
      </c>
      <c r="P21" s="92"/>
      <c r="Q21" s="92"/>
      <c r="R21" s="115"/>
      <c r="S21" s="115"/>
      <c r="T21" s="115"/>
      <c r="U21" s="148"/>
      <c r="V21" s="78"/>
    </row>
    <row r="22" spans="1:22" ht="16.5" hidden="1" customHeight="1" outlineLevel="1" x14ac:dyDescent="0.25">
      <c r="A22" s="590"/>
      <c r="B22" s="89"/>
      <c r="C22" s="90"/>
      <c r="D22" s="91"/>
      <c r="E22" s="91"/>
      <c r="F22" s="92"/>
      <c r="G22" s="87"/>
      <c r="H22" s="92"/>
      <c r="I22" s="92"/>
      <c r="J22" s="92"/>
      <c r="K22" s="97" t="s">
        <v>329</v>
      </c>
      <c r="L22" s="98" t="str">
        <f>VLOOKUP(K22,материалы!$A$5:$G$31,5, FALSE)</f>
        <v>кг</v>
      </c>
      <c r="M22" s="92">
        <f>VLOOKUP(K22,материалы!$A$5:$G$31,7, FALSE)</f>
        <v>65.599999999999994</v>
      </c>
      <c r="N22" s="100">
        <f>0.001</f>
        <v>1E-3</v>
      </c>
      <c r="O22" s="92">
        <f t="shared" si="3"/>
        <v>7.0000000000000007E-2</v>
      </c>
      <c r="P22" s="92"/>
      <c r="Q22" s="92"/>
      <c r="R22" s="115"/>
      <c r="S22" s="115"/>
      <c r="T22" s="115"/>
      <c r="U22" s="148"/>
      <c r="V22" s="78"/>
    </row>
    <row r="23" spans="1:22" ht="18" hidden="1" customHeight="1" x14ac:dyDescent="0.25">
      <c r="A23" s="590"/>
      <c r="B23" s="598" t="s">
        <v>344</v>
      </c>
      <c r="C23" s="599" t="s">
        <v>345</v>
      </c>
      <c r="D23" s="600" t="s">
        <v>28</v>
      </c>
      <c r="E23" s="91" t="s">
        <v>166</v>
      </c>
      <c r="F23" s="92">
        <f>VLOOKUP(E23,'условия, ФОТ'!$A$14:$I$32,9, FALSE)</f>
        <v>185.8</v>
      </c>
      <c r="G23" s="94">
        <v>0.2</v>
      </c>
      <c r="H23" s="592">
        <f>ROUND(F23*G23+F24*G24,2)</f>
        <v>69.98</v>
      </c>
      <c r="I23" s="592">
        <f>ROUND(H23*$I$5,2)</f>
        <v>21.13</v>
      </c>
      <c r="J23" s="592">
        <f t="shared" ref="J23:J26" si="4">H23+I23</f>
        <v>91.11</v>
      </c>
      <c r="K23" s="591"/>
      <c r="L23" s="592"/>
      <c r="M23" s="592"/>
      <c r="N23" s="592"/>
      <c r="O23" s="592">
        <f>O25</f>
        <v>44.39</v>
      </c>
      <c r="P23" s="592">
        <f>J23+O23</f>
        <v>135.5</v>
      </c>
      <c r="Q23" s="592">
        <f>ROUND(P23*$Q$5,2)</f>
        <v>103.39</v>
      </c>
      <c r="R23" s="596">
        <f>ROUND(T23/1.2,2)</f>
        <v>262.5</v>
      </c>
      <c r="S23" s="596">
        <f>ROUND(R23*$S$5,2)</f>
        <v>52.5</v>
      </c>
      <c r="T23" s="596">
        <f>ROUND((P23+Q23)*(1+$R$5)*1.2,0)</f>
        <v>315</v>
      </c>
      <c r="U23" s="594">
        <v>316</v>
      </c>
      <c r="V23" s="78">
        <f t="shared" ref="V23" si="5">T23/U23*100-100</f>
        <v>-0.31645569620253866</v>
      </c>
    </row>
    <row r="24" spans="1:22" ht="27.95" hidden="1" customHeight="1" x14ac:dyDescent="0.25">
      <c r="A24" s="590"/>
      <c r="B24" s="598"/>
      <c r="C24" s="599"/>
      <c r="D24" s="600"/>
      <c r="E24" s="91" t="s">
        <v>162</v>
      </c>
      <c r="F24" s="92">
        <f>VLOOKUP(E24,'условия, ФОТ'!$A$14:$I$32,9, FALSE)</f>
        <v>164.09</v>
      </c>
      <c r="G24" s="94">
        <v>0.2</v>
      </c>
      <c r="H24" s="592"/>
      <c r="I24" s="592">
        <f>ROUND(H24*$I$5,2)</f>
        <v>0</v>
      </c>
      <c r="J24" s="592">
        <f t="shared" si="4"/>
        <v>0</v>
      </c>
      <c r="K24" s="591"/>
      <c r="L24" s="592"/>
      <c r="M24" s="592"/>
      <c r="N24" s="592"/>
      <c r="O24" s="592"/>
      <c r="P24" s="592">
        <f t="shared" ref="P24:P26" si="6">J24+O24</f>
        <v>0</v>
      </c>
      <c r="Q24" s="592">
        <f>ROUND(P24*$Q$5,2)</f>
        <v>0</v>
      </c>
      <c r="R24" s="596">
        <f t="shared" ref="R24" si="7">ROUND(T24/1.18,2)</f>
        <v>0</v>
      </c>
      <c r="S24" s="596">
        <f>ROUND(R24*$S$5,2)</f>
        <v>0</v>
      </c>
      <c r="T24" s="596">
        <f>ROUND((P24+Q24)*(1+$R$5)*1.18,0)</f>
        <v>0</v>
      </c>
      <c r="U24" s="595"/>
      <c r="V24" s="78"/>
    </row>
    <row r="25" spans="1:22" ht="31.7" hidden="1" customHeight="1" outlineLevel="1" x14ac:dyDescent="0.25">
      <c r="A25" s="590"/>
      <c r="B25" s="102"/>
      <c r="C25" s="101"/>
      <c r="D25" s="83"/>
      <c r="E25" s="91"/>
      <c r="F25" s="92"/>
      <c r="G25" s="94"/>
      <c r="H25" s="92"/>
      <c r="I25" s="92"/>
      <c r="J25" s="96" t="s">
        <v>366</v>
      </c>
      <c r="K25" s="97" t="s">
        <v>369</v>
      </c>
      <c r="L25" s="98" t="str">
        <f>VLOOKUP(K25,материалы!$A$5:$G$31,5, FALSE)</f>
        <v>м</v>
      </c>
      <c r="M25" s="92">
        <f>VLOOKUP(K25,материалы!$A$5:$G$31,7, FALSE)</f>
        <v>44.39</v>
      </c>
      <c r="N25" s="98">
        <v>1</v>
      </c>
      <c r="O25" s="92">
        <f t="shared" ref="O25" si="8">ROUND(M25*N25,2)</f>
        <v>44.39</v>
      </c>
      <c r="P25" s="92"/>
      <c r="Q25" s="92"/>
      <c r="R25" s="115"/>
      <c r="S25" s="115"/>
      <c r="T25" s="115"/>
      <c r="U25" s="148"/>
      <c r="V25" s="78"/>
    </row>
    <row r="26" spans="1:22" ht="35.25" hidden="1" customHeight="1" x14ac:dyDescent="0.25">
      <c r="A26" s="590"/>
      <c r="B26" s="89" t="s">
        <v>171</v>
      </c>
      <c r="C26" s="113" t="s">
        <v>353</v>
      </c>
      <c r="D26" s="83" t="s">
        <v>30</v>
      </c>
      <c r="E26" s="91" t="s">
        <v>162</v>
      </c>
      <c r="F26" s="92">
        <f>VLOOKUP(E26,'условия, ФОТ'!$A$14:$I$32,9, FALSE)</f>
        <v>164.09</v>
      </c>
      <c r="G26" s="94">
        <v>1</v>
      </c>
      <c r="H26" s="92">
        <f t="shared" ref="H26" si="9">ROUND(F26*G26,2)</f>
        <v>164.09</v>
      </c>
      <c r="I26" s="92">
        <f>ROUND(H26*$I$5,2)</f>
        <v>49.56</v>
      </c>
      <c r="J26" s="92">
        <f t="shared" si="4"/>
        <v>213.65</v>
      </c>
      <c r="K26" s="93"/>
      <c r="L26" s="92"/>
      <c r="M26" s="92"/>
      <c r="N26" s="92"/>
      <c r="O26" s="92">
        <f>SUM(O27:O29)</f>
        <v>4.03</v>
      </c>
      <c r="P26" s="92">
        <f t="shared" si="6"/>
        <v>217.68</v>
      </c>
      <c r="Q26" s="92">
        <f>ROUND(P26*$Q$5,2)</f>
        <v>166.09</v>
      </c>
      <c r="R26" s="115">
        <f>ROUND(T26/1.2,2)</f>
        <v>422.5</v>
      </c>
      <c r="S26" s="115">
        <f>ROUND(R26*$S$5,2)</f>
        <v>84.5</v>
      </c>
      <c r="T26" s="115">
        <f>ROUND((P26+Q26)*(1+$R$5)*1.2,0)</f>
        <v>507</v>
      </c>
      <c r="U26" s="148">
        <v>423</v>
      </c>
      <c r="V26" s="78">
        <f t="shared" ref="V26" si="10">T26/U26*100-100</f>
        <v>19.858156028368796</v>
      </c>
    </row>
    <row r="27" spans="1:22" ht="24.75" hidden="1" customHeight="1" outlineLevel="1" x14ac:dyDescent="0.25">
      <c r="A27" s="590"/>
      <c r="B27" s="89"/>
      <c r="C27" s="113"/>
      <c r="D27" s="83"/>
      <c r="E27" s="91"/>
      <c r="F27" s="92"/>
      <c r="G27" s="94"/>
      <c r="H27" s="92"/>
      <c r="I27" s="92"/>
      <c r="J27" s="96" t="s">
        <v>366</v>
      </c>
      <c r="K27" s="104" t="s">
        <v>335</v>
      </c>
      <c r="L27" s="98" t="str">
        <f>VLOOKUP(K27,материалы!$A$5:$G$31,5, FALSE)</f>
        <v>кг</v>
      </c>
      <c r="M27" s="92">
        <f>VLOOKUP(K27,материалы!$A$5:$G$31,7, FALSE)</f>
        <v>712.76</v>
      </c>
      <c r="N27" s="92">
        <v>5.0000000000000001E-3</v>
      </c>
      <c r="O27" s="92">
        <f>ROUND(M27*N27,2)</f>
        <v>3.56</v>
      </c>
      <c r="P27" s="92"/>
      <c r="Q27" s="92"/>
      <c r="R27" s="115"/>
      <c r="S27" s="115"/>
      <c r="T27" s="115"/>
      <c r="U27" s="148"/>
      <c r="V27" s="78"/>
    </row>
    <row r="28" spans="1:22" ht="24.75" hidden="1" customHeight="1" outlineLevel="1" x14ac:dyDescent="0.25">
      <c r="A28" s="590"/>
      <c r="B28" s="89"/>
      <c r="C28" s="113"/>
      <c r="D28" s="83"/>
      <c r="E28" s="91"/>
      <c r="F28" s="92"/>
      <c r="G28" s="94"/>
      <c r="H28" s="92"/>
      <c r="I28" s="92"/>
      <c r="J28" s="92"/>
      <c r="K28" s="97" t="s">
        <v>329</v>
      </c>
      <c r="L28" s="98" t="str">
        <f>VLOOKUP(K28,материалы!$A$5:$G$31,5, FALSE)</f>
        <v>кг</v>
      </c>
      <c r="M28" s="92">
        <f>VLOOKUP(K28,материалы!$A$5:$G$31,7, FALSE)</f>
        <v>65.599999999999994</v>
      </c>
      <c r="N28" s="100">
        <v>1E-3</v>
      </c>
      <c r="O28" s="92">
        <f>ROUND(M28*N28,2)</f>
        <v>7.0000000000000007E-2</v>
      </c>
      <c r="P28" s="92"/>
      <c r="Q28" s="92"/>
      <c r="R28" s="115"/>
      <c r="S28" s="115"/>
      <c r="T28" s="115"/>
      <c r="U28" s="148"/>
      <c r="V28" s="78"/>
    </row>
    <row r="29" spans="1:22" ht="24.75" hidden="1" customHeight="1" outlineLevel="1" x14ac:dyDescent="0.25">
      <c r="A29" s="590"/>
      <c r="B29" s="89"/>
      <c r="C29" s="113"/>
      <c r="D29" s="83"/>
      <c r="E29" s="91"/>
      <c r="F29" s="92"/>
      <c r="G29" s="94"/>
      <c r="H29" s="92"/>
      <c r="I29" s="92"/>
      <c r="J29" s="92"/>
      <c r="K29" s="97" t="s">
        <v>330</v>
      </c>
      <c r="L29" s="98" t="str">
        <f>VLOOKUP(K29,материалы!$A$5:$G$31,5, FALSE)</f>
        <v>кг</v>
      </c>
      <c r="M29" s="92">
        <f>VLOOKUP(K29,материалы!$A$5:$G$31,7, FALSE)</f>
        <v>39.82</v>
      </c>
      <c r="N29" s="98">
        <v>0.01</v>
      </c>
      <c r="O29" s="92">
        <f>ROUND(M29*N29,2)</f>
        <v>0.4</v>
      </c>
      <c r="P29" s="92"/>
      <c r="Q29" s="92"/>
      <c r="R29" s="115"/>
      <c r="S29" s="115"/>
      <c r="T29" s="115"/>
      <c r="U29" s="148"/>
      <c r="V29" s="78"/>
    </row>
    <row r="30" spans="1:22" ht="58.7" hidden="1" customHeight="1" x14ac:dyDescent="0.25">
      <c r="A30" s="590"/>
      <c r="B30" s="89" t="s">
        <v>170</v>
      </c>
      <c r="C30" s="101" t="s">
        <v>559</v>
      </c>
      <c r="D30" s="83" t="s">
        <v>26</v>
      </c>
      <c r="E30" s="91" t="s">
        <v>162</v>
      </c>
      <c r="F30" s="92">
        <f>VLOOKUP(E30,'условия, ФОТ'!$A$14:$I$32,9, FALSE)</f>
        <v>164.09</v>
      </c>
      <c r="G30" s="94">
        <v>0.25</v>
      </c>
      <c r="H30" s="92">
        <f t="shared" ref="H30" si="11">ROUND(F30*G30,2)</f>
        <v>41.02</v>
      </c>
      <c r="I30" s="92">
        <f>ROUND(H30*$I$5,2)</f>
        <v>12.39</v>
      </c>
      <c r="J30" s="92">
        <f t="shared" ref="J30" si="12">H30+I30</f>
        <v>53.410000000000004</v>
      </c>
      <c r="K30" s="93"/>
      <c r="L30" s="92"/>
      <c r="M30" s="92"/>
      <c r="N30" s="92"/>
      <c r="O30" s="92">
        <f>SUM(O31:O33)</f>
        <v>4.03</v>
      </c>
      <c r="P30" s="92">
        <f t="shared" ref="P30" si="13">J30+O30</f>
        <v>57.440000000000005</v>
      </c>
      <c r="Q30" s="92">
        <f>ROUND(P30*$Q$5,2)</f>
        <v>43.83</v>
      </c>
      <c r="R30" s="115">
        <f>ROUND(T30/1.2,2)</f>
        <v>111.67</v>
      </c>
      <c r="S30" s="115">
        <f>ROUND(R30*$S$5,2)</f>
        <v>22.33</v>
      </c>
      <c r="T30" s="115">
        <f>ROUND((P30+Q30)*(1+$R$5)*1.2,0)</f>
        <v>134</v>
      </c>
      <c r="U30" s="148">
        <v>113</v>
      </c>
      <c r="V30" s="78">
        <f t="shared" ref="V30" si="14">T30/U30*100-100</f>
        <v>18.584070796460182</v>
      </c>
    </row>
    <row r="31" spans="1:22" ht="30.75" hidden="1" customHeight="1" x14ac:dyDescent="0.25">
      <c r="A31" s="588" t="s">
        <v>576</v>
      </c>
      <c r="B31" s="588"/>
      <c r="C31" s="588"/>
      <c r="D31" s="588"/>
      <c r="E31" s="588"/>
      <c r="F31" s="588"/>
      <c r="G31" s="588"/>
      <c r="H31" s="588"/>
      <c r="I31" s="588"/>
      <c r="J31" s="96" t="s">
        <v>366</v>
      </c>
      <c r="K31" s="104" t="s">
        <v>335</v>
      </c>
      <c r="L31" s="98" t="str">
        <f>VLOOKUP(K31,материалы!$A$5:$G$31,5, FALSE)</f>
        <v>кг</v>
      </c>
      <c r="M31" s="92">
        <f>VLOOKUP(K31,материалы!$A$5:$G$31,7, FALSE)</f>
        <v>712.76</v>
      </c>
      <c r="N31" s="92">
        <v>5.0000000000000001E-3</v>
      </c>
      <c r="O31" s="92">
        <f t="shared" ref="O31:O33" si="15">ROUND(M31*N31,2)</f>
        <v>3.56</v>
      </c>
      <c r="P31" s="92"/>
      <c r="Q31" s="92"/>
      <c r="R31" s="115"/>
      <c r="S31" s="115"/>
      <c r="T31" s="115"/>
      <c r="U31" s="148"/>
      <c r="V31" s="78"/>
    </row>
    <row r="32" spans="1:22" ht="24.75" hidden="1" customHeight="1" x14ac:dyDescent="0.25">
      <c r="A32" s="588"/>
      <c r="B32" s="588"/>
      <c r="C32" s="588"/>
      <c r="D32" s="588"/>
      <c r="E32" s="588"/>
      <c r="F32" s="588"/>
      <c r="G32" s="588"/>
      <c r="H32" s="588"/>
      <c r="I32" s="588"/>
      <c r="J32" s="92"/>
      <c r="K32" s="97" t="s">
        <v>329</v>
      </c>
      <c r="L32" s="98" t="str">
        <f>VLOOKUP(K32,материалы!$A$5:$G$31,5, FALSE)</f>
        <v>кг</v>
      </c>
      <c r="M32" s="92">
        <f>VLOOKUP(K32,материалы!$A$5:$G$31,7, FALSE)</f>
        <v>65.599999999999994</v>
      </c>
      <c r="N32" s="100">
        <f>0.001</f>
        <v>1E-3</v>
      </c>
      <c r="O32" s="92">
        <f t="shared" si="15"/>
        <v>7.0000000000000007E-2</v>
      </c>
      <c r="P32" s="92"/>
      <c r="Q32" s="92"/>
      <c r="R32" s="115"/>
      <c r="S32" s="115"/>
      <c r="T32" s="115"/>
      <c r="U32" s="148"/>
      <c r="V32" s="78"/>
    </row>
    <row r="33" spans="1:22" ht="27" hidden="1" customHeight="1" x14ac:dyDescent="0.25">
      <c r="A33" s="588"/>
      <c r="B33" s="588"/>
      <c r="C33" s="588"/>
      <c r="D33" s="588"/>
      <c r="E33" s="588"/>
      <c r="F33" s="588"/>
      <c r="G33" s="588"/>
      <c r="H33" s="588"/>
      <c r="I33" s="588"/>
      <c r="J33" s="92"/>
      <c r="K33" s="97" t="s">
        <v>330</v>
      </c>
      <c r="L33" s="98" t="str">
        <f>VLOOKUP(K33,материалы!$A$5:$G$31,5, FALSE)</f>
        <v>кг</v>
      </c>
      <c r="M33" s="92">
        <f>VLOOKUP(K33,материалы!$A$5:$G$31,7, FALSE)</f>
        <v>39.82</v>
      </c>
      <c r="N33" s="98">
        <f>0.01</f>
        <v>0.01</v>
      </c>
      <c r="O33" s="92">
        <f t="shared" si="15"/>
        <v>0.4</v>
      </c>
      <c r="P33" s="92"/>
      <c r="Q33" s="92"/>
      <c r="R33" s="115"/>
      <c r="S33" s="115"/>
      <c r="T33" s="115"/>
      <c r="U33" s="148"/>
      <c r="V33" s="78"/>
    </row>
    <row r="34" spans="1:22" ht="44.25" hidden="1" customHeight="1" x14ac:dyDescent="0.25">
      <c r="A34" s="88" t="s">
        <v>429</v>
      </c>
      <c r="B34" s="589" t="s">
        <v>567</v>
      </c>
      <c r="C34" s="589"/>
      <c r="D34" s="83" t="s">
        <v>30</v>
      </c>
      <c r="E34" s="91"/>
      <c r="F34" s="92"/>
      <c r="G34" s="94"/>
      <c r="H34" s="92"/>
      <c r="I34" s="92"/>
      <c r="J34" s="92"/>
      <c r="K34" s="93"/>
      <c r="L34" s="92"/>
      <c r="M34" s="92"/>
      <c r="N34" s="92"/>
      <c r="O34" s="92"/>
      <c r="P34" s="92"/>
      <c r="Q34" s="92"/>
      <c r="R34" s="115"/>
      <c r="S34" s="115"/>
      <c r="T34" s="115"/>
      <c r="U34" s="148"/>
      <c r="V34" s="78"/>
    </row>
    <row r="35" spans="1:22" ht="29.25" hidden="1" customHeight="1" x14ac:dyDescent="0.25">
      <c r="A35" s="590" t="s">
        <v>351</v>
      </c>
      <c r="B35" s="89" t="s">
        <v>355</v>
      </c>
      <c r="C35" s="113" t="s">
        <v>354</v>
      </c>
      <c r="D35" s="83" t="s">
        <v>356</v>
      </c>
      <c r="E35" s="105" t="s">
        <v>161</v>
      </c>
      <c r="F35" s="92">
        <f>VLOOKUP(E35,'условия, ФОТ'!$A$14:$I$32,9, FALSE)</f>
        <v>111.79</v>
      </c>
      <c r="G35" s="94">
        <v>0.5</v>
      </c>
      <c r="H35" s="92">
        <f t="shared" ref="H35" si="16">ROUND(F35*G35,2)</f>
        <v>55.9</v>
      </c>
      <c r="I35" s="92">
        <f>ROUND(H35*$I$5,2)</f>
        <v>16.88</v>
      </c>
      <c r="J35" s="92">
        <f t="shared" ref="J35" si="17">H35+I35</f>
        <v>72.78</v>
      </c>
      <c r="K35" s="93"/>
      <c r="L35" s="92"/>
      <c r="M35" s="92"/>
      <c r="N35" s="92"/>
      <c r="O35" s="92"/>
      <c r="P35" s="92">
        <f t="shared" ref="P35" si="18">J35+O35</f>
        <v>72.78</v>
      </c>
      <c r="Q35" s="92">
        <f>ROUND(P35*$Q$5,2)</f>
        <v>55.53</v>
      </c>
      <c r="R35" s="115">
        <f>ROUND(T35/1.2,2)</f>
        <v>140.83000000000001</v>
      </c>
      <c r="S35" s="115">
        <f>ROUND(R35*$S$5,2)</f>
        <v>28.17</v>
      </c>
      <c r="T35" s="115">
        <f>ROUND((P35+Q35)*(1+$R$5)*1.2,0)</f>
        <v>169</v>
      </c>
      <c r="U35" s="148">
        <v>183</v>
      </c>
      <c r="V35" s="78">
        <f t="shared" ref="V35:V36" si="19">T35/U35*100-100</f>
        <v>-7.6502732240437155</v>
      </c>
    </row>
    <row r="36" spans="1:22" ht="24.75" hidden="1" customHeight="1" x14ac:dyDescent="0.25">
      <c r="A36" s="590"/>
      <c r="B36" s="598" t="s">
        <v>344</v>
      </c>
      <c r="C36" s="599" t="s">
        <v>345</v>
      </c>
      <c r="D36" s="600" t="s">
        <v>28</v>
      </c>
      <c r="E36" s="91" t="s">
        <v>166</v>
      </c>
      <c r="F36" s="92">
        <f>VLOOKUP(E36,'условия, ФОТ'!$A$14:$I$32,9, FALSE)</f>
        <v>185.8</v>
      </c>
      <c r="G36" s="94">
        <v>0.2</v>
      </c>
      <c r="H36" s="592">
        <f>ROUND(F36*G36+F37*G37,2)</f>
        <v>69.98</v>
      </c>
      <c r="I36" s="592">
        <f>ROUND(H36*$I$5,2)</f>
        <v>21.13</v>
      </c>
      <c r="J36" s="592">
        <f t="shared" ref="J36:J47" si="20">H36+I36</f>
        <v>91.11</v>
      </c>
      <c r="K36" s="591"/>
      <c r="L36" s="592"/>
      <c r="M36" s="592"/>
      <c r="N36" s="592"/>
      <c r="O36" s="592">
        <f>O38</f>
        <v>44.39</v>
      </c>
      <c r="P36" s="592">
        <f>J36+O36</f>
        <v>135.5</v>
      </c>
      <c r="Q36" s="592">
        <f>ROUND(P36*$Q$5,2)</f>
        <v>103.39</v>
      </c>
      <c r="R36" s="596">
        <f>ROUND(T36/1.2,2)</f>
        <v>262.5</v>
      </c>
      <c r="S36" s="596">
        <f>ROUND(R36*$S$5,2)</f>
        <v>52.5</v>
      </c>
      <c r="T36" s="596">
        <f>ROUND((P36+Q36)*(1+$R$5)*1.2,0)</f>
        <v>315</v>
      </c>
      <c r="U36" s="594">
        <v>316</v>
      </c>
      <c r="V36" s="78">
        <f t="shared" si="19"/>
        <v>-0.31645569620253866</v>
      </c>
    </row>
    <row r="37" spans="1:22" ht="22.7" hidden="1" customHeight="1" x14ac:dyDescent="0.25">
      <c r="A37" s="590"/>
      <c r="B37" s="598"/>
      <c r="C37" s="599"/>
      <c r="D37" s="600"/>
      <c r="E37" s="91" t="s">
        <v>162</v>
      </c>
      <c r="F37" s="92">
        <f>VLOOKUP(E37,'условия, ФОТ'!$A$14:$I$32,9, FALSE)</f>
        <v>164.09</v>
      </c>
      <c r="G37" s="94">
        <v>0.2</v>
      </c>
      <c r="H37" s="592"/>
      <c r="I37" s="592"/>
      <c r="J37" s="592"/>
      <c r="K37" s="591"/>
      <c r="L37" s="592"/>
      <c r="M37" s="592"/>
      <c r="N37" s="592"/>
      <c r="O37" s="592"/>
      <c r="P37" s="592"/>
      <c r="Q37" s="592">
        <f>ROUND(P37*$Q$5,2)</f>
        <v>0</v>
      </c>
      <c r="R37" s="596">
        <f t="shared" ref="R37" si="21">ROUND(T37/1.18,2)</f>
        <v>0</v>
      </c>
      <c r="S37" s="596">
        <f>ROUND(R37*$S$5,2)</f>
        <v>0</v>
      </c>
      <c r="T37" s="596">
        <f>ROUND((P37+Q37)*(1+$R$5)*1.18,0)</f>
        <v>0</v>
      </c>
      <c r="U37" s="595"/>
      <c r="V37" s="78"/>
    </row>
    <row r="38" spans="1:22" ht="27" hidden="1" customHeight="1" outlineLevel="1" x14ac:dyDescent="0.25">
      <c r="A38" s="590"/>
      <c r="B38" s="102"/>
      <c r="C38" s="101"/>
      <c r="D38" s="83"/>
      <c r="E38" s="91"/>
      <c r="F38" s="92"/>
      <c r="G38" s="94"/>
      <c r="H38" s="92"/>
      <c r="I38" s="92"/>
      <c r="J38" s="96" t="s">
        <v>366</v>
      </c>
      <c r="K38" s="97" t="s">
        <v>369</v>
      </c>
      <c r="L38" s="98" t="str">
        <f>VLOOKUP(K38,материалы!$A$5:$G$31,5, FALSE)</f>
        <v>м</v>
      </c>
      <c r="M38" s="92">
        <f>VLOOKUP(K38,материалы!$A$5:$G$31,7, FALSE)</f>
        <v>44.39</v>
      </c>
      <c r="N38" s="98">
        <v>1</v>
      </c>
      <c r="O38" s="92">
        <f t="shared" ref="O38" si="22">ROUND(M38*N38,2)</f>
        <v>44.39</v>
      </c>
      <c r="P38" s="92"/>
      <c r="Q38" s="92"/>
      <c r="R38" s="115"/>
      <c r="S38" s="115"/>
      <c r="T38" s="115"/>
      <c r="U38" s="148"/>
      <c r="V38" s="78"/>
    </row>
    <row r="39" spans="1:22" ht="46.5" hidden="1" customHeight="1" x14ac:dyDescent="0.25">
      <c r="A39" s="590"/>
      <c r="B39" s="89" t="s">
        <v>169</v>
      </c>
      <c r="C39" s="113" t="s">
        <v>365</v>
      </c>
      <c r="D39" s="91" t="s">
        <v>22</v>
      </c>
      <c r="E39" s="91" t="s">
        <v>162</v>
      </c>
      <c r="F39" s="92">
        <f>VLOOKUP(E39,'условия, ФОТ'!$A$14:$I$32,9, FALSE)</f>
        <v>164.09</v>
      </c>
      <c r="G39" s="120" t="e">
        <f>#REF!</f>
        <v>#REF!</v>
      </c>
      <c r="H39" s="92" t="e">
        <f t="shared" ref="H39" si="23">ROUND(F39*G39,2)</f>
        <v>#REF!</v>
      </c>
      <c r="I39" s="92" t="e">
        <f>ROUND(H39*$I$5,2)</f>
        <v>#REF!</v>
      </c>
      <c r="J39" s="92" t="e">
        <f t="shared" ref="J39" si="24">H39+I39</f>
        <v>#REF!</v>
      </c>
      <c r="K39" s="93"/>
      <c r="L39" s="92"/>
      <c r="M39" s="92"/>
      <c r="N39" s="92"/>
      <c r="O39" s="92">
        <f>SUM(O40:O45)</f>
        <v>54.07</v>
      </c>
      <c r="P39" s="92" t="e">
        <f t="shared" ref="P39:P47" si="25">J39+O39</f>
        <v>#REF!</v>
      </c>
      <c r="Q39" s="92" t="e">
        <f>ROUND(P39*$Q$5,2)</f>
        <v>#REF!</v>
      </c>
      <c r="R39" s="115" t="e">
        <f>ROUND(T39/1.2,2)</f>
        <v>#REF!</v>
      </c>
      <c r="S39" s="115" t="e">
        <f>ROUND(R39*$S$5,2)</f>
        <v>#REF!</v>
      </c>
      <c r="T39" s="115" t="e">
        <f>ROUND((P39+Q39)*(1+$R$5)*1.2,0)</f>
        <v>#REF!</v>
      </c>
      <c r="U39" s="148">
        <v>332</v>
      </c>
      <c r="V39" s="78" t="e">
        <f t="shared" ref="V39" si="26">T39/U39*100-100</f>
        <v>#REF!</v>
      </c>
    </row>
    <row r="40" spans="1:22" ht="25.5" hidden="1" customHeight="1" outlineLevel="1" x14ac:dyDescent="0.25">
      <c r="A40" s="590"/>
      <c r="B40" s="89"/>
      <c r="C40" s="113"/>
      <c r="D40" s="91"/>
      <c r="E40" s="91"/>
      <c r="F40" s="92"/>
      <c r="G40" s="120"/>
      <c r="H40" s="92"/>
      <c r="I40" s="92"/>
      <c r="J40" s="96" t="s">
        <v>366</v>
      </c>
      <c r="K40" s="97" t="s">
        <v>323</v>
      </c>
      <c r="L40" s="98" t="str">
        <f>VLOOKUP(K40,материалы!$A$5:$G$31,5, FALSE)</f>
        <v>м3</v>
      </c>
      <c r="M40" s="92">
        <f>VLOOKUP(K40,материалы!$A$5:$G$31,7, FALSE)</f>
        <v>379.24</v>
      </c>
      <c r="N40" s="98">
        <v>8.7499999999999994E-2</v>
      </c>
      <c r="O40" s="92">
        <f>ROUND(M40*N40,2)</f>
        <v>33.18</v>
      </c>
      <c r="P40" s="92"/>
      <c r="Q40" s="92"/>
      <c r="R40" s="115"/>
      <c r="S40" s="115"/>
      <c r="T40" s="115"/>
      <c r="U40" s="148"/>
      <c r="V40" s="78"/>
    </row>
    <row r="41" spans="1:22" ht="17.25" hidden="1" customHeight="1" outlineLevel="1" x14ac:dyDescent="0.25">
      <c r="A41" s="590"/>
      <c r="B41" s="89"/>
      <c r="C41" s="113"/>
      <c r="D41" s="91"/>
      <c r="E41" s="91"/>
      <c r="F41" s="92"/>
      <c r="G41" s="120"/>
      <c r="H41" s="92"/>
      <c r="I41" s="92"/>
      <c r="J41" s="92"/>
      <c r="K41" s="97" t="s">
        <v>324</v>
      </c>
      <c r="L41" s="98" t="str">
        <f>VLOOKUP(K41,материалы!$A$5:$G$31,5, FALSE)</f>
        <v>м3</v>
      </c>
      <c r="M41" s="92">
        <f>VLOOKUP(K41,материалы!$A$5:$G$31,7, FALSE)</f>
        <v>54.61</v>
      </c>
      <c r="N41" s="92">
        <v>0.15</v>
      </c>
      <c r="O41" s="92">
        <f t="shared" ref="O41:O45" si="27">ROUND(M41*N41,2)</f>
        <v>8.19</v>
      </c>
      <c r="P41" s="92"/>
      <c r="Q41" s="92"/>
      <c r="R41" s="115"/>
      <c r="S41" s="115"/>
      <c r="T41" s="115"/>
      <c r="U41" s="148"/>
      <c r="V41" s="78"/>
    </row>
    <row r="42" spans="1:22" ht="36.950000000000003" hidden="1" customHeight="1" outlineLevel="1" x14ac:dyDescent="0.25">
      <c r="A42" s="590"/>
      <c r="B42" s="89"/>
      <c r="C42" s="113"/>
      <c r="D42" s="91"/>
      <c r="E42" s="91"/>
      <c r="F42" s="92"/>
      <c r="G42" s="120"/>
      <c r="H42" s="92"/>
      <c r="I42" s="92"/>
      <c r="J42" s="92"/>
      <c r="K42" s="97" t="s">
        <v>341</v>
      </c>
      <c r="L42" s="98" t="str">
        <f>VLOOKUP(K42,материалы!$A$5:$G$31,5, FALSE)</f>
        <v>кг</v>
      </c>
      <c r="M42" s="92">
        <f>VLOOKUP(K42,материалы!$A$5:$G$31,7, FALSE)</f>
        <v>44.94</v>
      </c>
      <c r="N42" s="92">
        <v>0.1</v>
      </c>
      <c r="O42" s="92">
        <f t="shared" si="27"/>
        <v>4.49</v>
      </c>
      <c r="P42" s="92"/>
      <c r="Q42" s="92"/>
      <c r="R42" s="115"/>
      <c r="S42" s="115"/>
      <c r="T42" s="115"/>
      <c r="U42" s="148"/>
      <c r="V42" s="78"/>
    </row>
    <row r="43" spans="1:22" ht="28.5" hidden="1" customHeight="1" outlineLevel="1" x14ac:dyDescent="0.25">
      <c r="A43" s="590"/>
      <c r="B43" s="89"/>
      <c r="C43" s="113"/>
      <c r="D43" s="91"/>
      <c r="E43" s="91"/>
      <c r="F43" s="92"/>
      <c r="G43" s="120"/>
      <c r="H43" s="92"/>
      <c r="I43" s="92"/>
      <c r="J43" s="92"/>
      <c r="K43" s="97" t="s">
        <v>342</v>
      </c>
      <c r="L43" s="98" t="str">
        <f>VLOOKUP(K43,материалы!$A$5:$G$31,5, FALSE)</f>
        <v>шт.</v>
      </c>
      <c r="M43" s="92">
        <f>VLOOKUP(K43,материалы!$A$5:$G$31,7, FALSE)</f>
        <v>30.94</v>
      </c>
      <c r="N43" s="92">
        <v>0.25</v>
      </c>
      <c r="O43" s="92">
        <f t="shared" si="27"/>
        <v>7.74</v>
      </c>
      <c r="P43" s="92"/>
      <c r="Q43" s="92"/>
      <c r="R43" s="115"/>
      <c r="S43" s="115"/>
      <c r="T43" s="115"/>
      <c r="U43" s="148"/>
      <c r="V43" s="78"/>
    </row>
    <row r="44" spans="1:22" ht="15.75" hidden="1" customHeight="1" outlineLevel="1" x14ac:dyDescent="0.25">
      <c r="A44" s="590"/>
      <c r="B44" s="89"/>
      <c r="C44" s="113"/>
      <c r="D44" s="91"/>
      <c r="E44" s="91"/>
      <c r="F44" s="92"/>
      <c r="G44" s="120"/>
      <c r="H44" s="92"/>
      <c r="I44" s="92"/>
      <c r="J44" s="92"/>
      <c r="K44" s="97" t="s">
        <v>329</v>
      </c>
      <c r="L44" s="98" t="str">
        <f>VLOOKUP(K44,материалы!$A$5:$G$31,5, FALSE)</f>
        <v>кг</v>
      </c>
      <c r="M44" s="92">
        <f>VLOOKUP(K44,материалы!$A$5:$G$31,7, FALSE)</f>
        <v>65.599999999999994</v>
      </c>
      <c r="N44" s="100">
        <f>0.001</f>
        <v>1E-3</v>
      </c>
      <c r="O44" s="92">
        <f t="shared" si="27"/>
        <v>7.0000000000000007E-2</v>
      </c>
      <c r="P44" s="92"/>
      <c r="Q44" s="92"/>
      <c r="R44" s="115"/>
      <c r="S44" s="115"/>
      <c r="T44" s="115"/>
      <c r="U44" s="148"/>
      <c r="V44" s="78"/>
    </row>
    <row r="45" spans="1:22" ht="21" hidden="1" customHeight="1" outlineLevel="1" x14ac:dyDescent="0.25">
      <c r="A45" s="590"/>
      <c r="B45" s="89"/>
      <c r="C45" s="113"/>
      <c r="D45" s="91"/>
      <c r="E45" s="91"/>
      <c r="F45" s="92"/>
      <c r="G45" s="120"/>
      <c r="H45" s="92"/>
      <c r="I45" s="92"/>
      <c r="J45" s="92"/>
      <c r="K45" s="97" t="s">
        <v>330</v>
      </c>
      <c r="L45" s="98" t="str">
        <f>VLOOKUP(K45,материалы!$A$5:$G$31,5, FALSE)</f>
        <v>кг</v>
      </c>
      <c r="M45" s="92">
        <f>VLOOKUP(K45,материалы!$A$5:$G$31,7, FALSE)</f>
        <v>39.82</v>
      </c>
      <c r="N45" s="98">
        <f>0.01</f>
        <v>0.01</v>
      </c>
      <c r="O45" s="92">
        <f t="shared" si="27"/>
        <v>0.4</v>
      </c>
      <c r="P45" s="92"/>
      <c r="Q45" s="92"/>
      <c r="R45" s="115"/>
      <c r="S45" s="115"/>
      <c r="T45" s="115"/>
      <c r="U45" s="148"/>
      <c r="V45" s="78"/>
    </row>
    <row r="46" spans="1:22" ht="33" hidden="1" customHeight="1" x14ac:dyDescent="0.25">
      <c r="A46" s="590"/>
      <c r="B46" s="89" t="s">
        <v>171</v>
      </c>
      <c r="C46" s="113" t="s">
        <v>353</v>
      </c>
      <c r="D46" s="83" t="s">
        <v>30</v>
      </c>
      <c r="E46" s="91" t="s">
        <v>161</v>
      </c>
      <c r="F46" s="92">
        <f>VLOOKUP(E46,'условия, ФОТ'!$A$14:$I$32,9, FALSE)</f>
        <v>111.79</v>
      </c>
      <c r="G46" s="87">
        <v>1</v>
      </c>
      <c r="H46" s="92">
        <f t="shared" ref="H46" si="28">ROUND(F46*G46,2)</f>
        <v>111.79</v>
      </c>
      <c r="I46" s="92">
        <f>ROUND(H46*$I$5,2)</f>
        <v>33.76</v>
      </c>
      <c r="J46" s="92">
        <f t="shared" ref="J46" si="29">H46+I46</f>
        <v>145.55000000000001</v>
      </c>
      <c r="K46" s="93"/>
      <c r="L46" s="92"/>
      <c r="M46" s="92"/>
      <c r="N46" s="92"/>
      <c r="O46" s="92"/>
      <c r="P46" s="92">
        <f t="shared" ref="P46" si="30">J46+O46</f>
        <v>145.55000000000001</v>
      </c>
      <c r="Q46" s="92">
        <f>ROUND(P46*$Q$5,2)</f>
        <v>111.05</v>
      </c>
      <c r="R46" s="115">
        <f>ROUND(T46/1.2,2)</f>
        <v>282.5</v>
      </c>
      <c r="S46" s="115">
        <f>ROUND(R46*$S$5,2)</f>
        <v>56.5</v>
      </c>
      <c r="T46" s="115">
        <f>ROUND((P46+Q46)*(1+$R$5)*1.2,0)</f>
        <v>339</v>
      </c>
      <c r="U46" s="148">
        <v>365</v>
      </c>
      <c r="V46" s="78">
        <f t="shared" ref="V46:V47" si="31">T46/U46*100-100</f>
        <v>-7.1232876712328874</v>
      </c>
    </row>
    <row r="47" spans="1:22" ht="55.5" hidden="1" customHeight="1" x14ac:dyDescent="0.25">
      <c r="A47" s="590"/>
      <c r="B47" s="89" t="s">
        <v>170</v>
      </c>
      <c r="C47" s="101" t="s">
        <v>559</v>
      </c>
      <c r="D47" s="83" t="s">
        <v>26</v>
      </c>
      <c r="E47" s="91" t="s">
        <v>162</v>
      </c>
      <c r="F47" s="92">
        <f>VLOOKUP(E47,'условия, ФОТ'!$A$14:$I$32,9, FALSE)</f>
        <v>164.09</v>
      </c>
      <c r="G47" s="94">
        <v>0.25</v>
      </c>
      <c r="H47" s="92">
        <f t="shared" ref="H47" si="32">ROUND(F47*G47,2)</f>
        <v>41.02</v>
      </c>
      <c r="I47" s="92">
        <f>ROUND(H47*$I$5,2)</f>
        <v>12.39</v>
      </c>
      <c r="J47" s="92">
        <f t="shared" si="20"/>
        <v>53.410000000000004</v>
      </c>
      <c r="K47" s="93"/>
      <c r="L47" s="92"/>
      <c r="M47" s="92"/>
      <c r="N47" s="92"/>
      <c r="O47" s="92">
        <f>SUM(O48:O50)</f>
        <v>4.03</v>
      </c>
      <c r="P47" s="92">
        <f t="shared" si="25"/>
        <v>57.440000000000005</v>
      </c>
      <c r="Q47" s="92">
        <f>ROUND(P47*$Q$5,2)</f>
        <v>43.83</v>
      </c>
      <c r="R47" s="115">
        <f>ROUND(T47/1.2,2)</f>
        <v>111.67</v>
      </c>
      <c r="S47" s="115">
        <f>ROUND(R47*$S$5,2)</f>
        <v>22.33</v>
      </c>
      <c r="T47" s="115">
        <f>ROUND((P47+Q47)*(1+$R$5)*1.2,0)</f>
        <v>134</v>
      </c>
      <c r="U47" s="148">
        <v>113</v>
      </c>
      <c r="V47" s="78">
        <f t="shared" si="31"/>
        <v>18.584070796460182</v>
      </c>
    </row>
    <row r="48" spans="1:22" ht="31.7" hidden="1" customHeight="1" x14ac:dyDescent="0.25">
      <c r="A48" s="588" t="s">
        <v>577</v>
      </c>
      <c r="B48" s="588"/>
      <c r="C48" s="588"/>
      <c r="D48" s="588"/>
      <c r="E48" s="588"/>
      <c r="F48" s="588"/>
      <c r="G48" s="588"/>
      <c r="H48" s="588"/>
      <c r="I48" s="588"/>
      <c r="J48" s="96" t="s">
        <v>366</v>
      </c>
      <c r="K48" s="104" t="s">
        <v>335</v>
      </c>
      <c r="L48" s="98" t="str">
        <f>VLOOKUP(K48,материалы!$A$5:$G$31,5, FALSE)</f>
        <v>кг</v>
      </c>
      <c r="M48" s="92">
        <f>VLOOKUP(K48,материалы!$A$5:$G$31,7, FALSE)</f>
        <v>712.76</v>
      </c>
      <c r="N48" s="92">
        <v>5.0000000000000001E-3</v>
      </c>
      <c r="O48" s="92">
        <f t="shared" ref="O48:O50" si="33">ROUND(M48*N48,2)</f>
        <v>3.56</v>
      </c>
      <c r="P48" s="92"/>
      <c r="Q48" s="92"/>
      <c r="R48" s="115"/>
      <c r="S48" s="115"/>
      <c r="T48" s="115"/>
      <c r="U48" s="148"/>
      <c r="V48" s="78"/>
    </row>
    <row r="49" spans="1:22" ht="14.25" hidden="1" customHeight="1" x14ac:dyDescent="0.25">
      <c r="A49" s="588"/>
      <c r="B49" s="588"/>
      <c r="C49" s="588"/>
      <c r="D49" s="588"/>
      <c r="E49" s="588"/>
      <c r="F49" s="588"/>
      <c r="G49" s="588"/>
      <c r="H49" s="588"/>
      <c r="I49" s="588"/>
      <c r="J49" s="92"/>
      <c r="K49" s="97" t="s">
        <v>329</v>
      </c>
      <c r="L49" s="98" t="str">
        <f>VLOOKUP(K49,материалы!$A$5:$G$31,5, FALSE)</f>
        <v>кг</v>
      </c>
      <c r="M49" s="92">
        <f>VLOOKUP(K49,материалы!$A$5:$G$31,7, FALSE)</f>
        <v>65.599999999999994</v>
      </c>
      <c r="N49" s="100">
        <f>0.001</f>
        <v>1E-3</v>
      </c>
      <c r="O49" s="92">
        <f t="shared" si="33"/>
        <v>7.0000000000000007E-2</v>
      </c>
      <c r="P49" s="92"/>
      <c r="Q49" s="92"/>
      <c r="R49" s="115"/>
      <c r="S49" s="115"/>
      <c r="T49" s="115"/>
      <c r="U49" s="148"/>
      <c r="V49" s="78"/>
    </row>
    <row r="50" spans="1:22" ht="18.95" hidden="1" customHeight="1" x14ac:dyDescent="0.25">
      <c r="A50" s="588"/>
      <c r="B50" s="588"/>
      <c r="C50" s="588"/>
      <c r="D50" s="588"/>
      <c r="E50" s="588"/>
      <c r="F50" s="588"/>
      <c r="G50" s="588"/>
      <c r="H50" s="588"/>
      <c r="I50" s="588"/>
      <c r="J50" s="92"/>
      <c r="K50" s="97" t="s">
        <v>330</v>
      </c>
      <c r="L50" s="98" t="str">
        <f>VLOOKUP(K50,материалы!$A$5:$G$31,5, FALSE)</f>
        <v>кг</v>
      </c>
      <c r="M50" s="92">
        <f>VLOOKUP(K50,материалы!$A$5:$G$31,7, FALSE)</f>
        <v>39.82</v>
      </c>
      <c r="N50" s="98">
        <f>0.01</f>
        <v>0.01</v>
      </c>
      <c r="O50" s="92">
        <f t="shared" si="33"/>
        <v>0.4</v>
      </c>
      <c r="P50" s="92"/>
      <c r="Q50" s="92"/>
      <c r="R50" s="115"/>
      <c r="S50" s="115"/>
      <c r="T50" s="115"/>
      <c r="U50" s="148"/>
      <c r="V50" s="78"/>
    </row>
    <row r="51" spans="1:22" ht="15" hidden="1" customHeight="1" x14ac:dyDescent="0.25">
      <c r="A51" s="590" t="s">
        <v>430</v>
      </c>
      <c r="B51" s="89" t="s">
        <v>172</v>
      </c>
      <c r="C51" s="589" t="s">
        <v>31</v>
      </c>
      <c r="D51" s="600" t="s">
        <v>30</v>
      </c>
      <c r="E51" s="105" t="s">
        <v>162</v>
      </c>
      <c r="F51" s="92">
        <f>VLOOKUP(E51,'условия, ФОТ'!$A$14:$I$32,9, FALSE)</f>
        <v>164.09</v>
      </c>
      <c r="G51" s="94">
        <f>0.72+0.68</f>
        <v>1.4</v>
      </c>
      <c r="H51" s="592">
        <f>ROUND(F51*G51+F52*G52,2)</f>
        <v>356.07</v>
      </c>
      <c r="I51" s="592">
        <f>ROUND(H51*$I$5,2)</f>
        <v>107.53</v>
      </c>
      <c r="J51" s="592">
        <f t="shared" ref="J51:J155" si="34">H51+I51</f>
        <v>463.6</v>
      </c>
      <c r="K51" s="591"/>
      <c r="L51" s="592"/>
      <c r="M51" s="592"/>
      <c r="N51" s="592"/>
      <c r="O51" s="592">
        <f>SUM(O53:O59)</f>
        <v>78.88</v>
      </c>
      <c r="P51" s="592">
        <f>J51+O51</f>
        <v>542.48</v>
      </c>
      <c r="Q51" s="592">
        <f>ROUND(P51*$Q$5,2)</f>
        <v>413.91</v>
      </c>
      <c r="R51" s="596">
        <f>ROUND(T51/1.2,2)</f>
        <v>1051.67</v>
      </c>
      <c r="S51" s="596">
        <f>ROUND(R51*$S$5,2)</f>
        <v>210.33</v>
      </c>
      <c r="T51" s="596">
        <f>ROUND((P51+Q51)*(1+$R$5)*1.2,0)</f>
        <v>1262</v>
      </c>
      <c r="U51" s="594">
        <v>1190</v>
      </c>
      <c r="V51" s="78">
        <f t="shared" si="1"/>
        <v>6.0504201680672338</v>
      </c>
    </row>
    <row r="52" spans="1:22" ht="14.25" hidden="1" customHeight="1" x14ac:dyDescent="0.25">
      <c r="A52" s="590"/>
      <c r="B52" s="89" t="s">
        <v>169</v>
      </c>
      <c r="C52" s="589"/>
      <c r="D52" s="600"/>
      <c r="E52" s="91" t="s">
        <v>166</v>
      </c>
      <c r="F52" s="92">
        <f>VLOOKUP(E52,'условия, ФОТ'!$A$14:$I$32,9, FALSE)</f>
        <v>185.8</v>
      </c>
      <c r="G52" s="94">
        <v>0.68</v>
      </c>
      <c r="H52" s="592"/>
      <c r="I52" s="592"/>
      <c r="J52" s="592"/>
      <c r="K52" s="591"/>
      <c r="L52" s="592"/>
      <c r="M52" s="592"/>
      <c r="N52" s="592"/>
      <c r="O52" s="592"/>
      <c r="P52" s="592"/>
      <c r="Q52" s="592"/>
      <c r="R52" s="596"/>
      <c r="S52" s="596"/>
      <c r="T52" s="596"/>
      <c r="U52" s="595"/>
      <c r="V52" s="78"/>
    </row>
    <row r="53" spans="1:22" ht="18.95" hidden="1" customHeight="1" outlineLevel="1" x14ac:dyDescent="0.25">
      <c r="A53" s="88"/>
      <c r="B53" s="89"/>
      <c r="C53" s="90"/>
      <c r="D53" s="83"/>
      <c r="E53" s="91"/>
      <c r="F53" s="92"/>
      <c r="G53" s="94"/>
      <c r="H53" s="92"/>
      <c r="I53" s="92"/>
      <c r="J53" s="96" t="s">
        <v>366</v>
      </c>
      <c r="K53" s="104" t="s">
        <v>324</v>
      </c>
      <c r="L53" s="98" t="str">
        <f>VLOOKUP(K53,материалы!$A$5:$G$31,5, FALSE)</f>
        <v>м3</v>
      </c>
      <c r="M53" s="92">
        <f>VLOOKUP(K53,материалы!$A$5:$G$31,7, FALSE)</f>
        <v>54.61</v>
      </c>
      <c r="N53" s="92">
        <v>0.15</v>
      </c>
      <c r="O53" s="92">
        <f t="shared" ref="O53:O56" si="35">ROUND(M53*N53,2)</f>
        <v>8.19</v>
      </c>
      <c r="P53" s="92"/>
      <c r="Q53" s="92"/>
      <c r="R53" s="115"/>
      <c r="S53" s="115"/>
      <c r="T53" s="115"/>
      <c r="U53" s="148"/>
      <c r="V53" s="78"/>
    </row>
    <row r="54" spans="1:22" ht="18.95" hidden="1" customHeight="1" outlineLevel="1" x14ac:dyDescent="0.25">
      <c r="A54" s="88"/>
      <c r="B54" s="89"/>
      <c r="C54" s="90"/>
      <c r="D54" s="83"/>
      <c r="E54" s="91"/>
      <c r="F54" s="92"/>
      <c r="G54" s="94"/>
      <c r="H54" s="92"/>
      <c r="I54" s="92"/>
      <c r="J54" s="92"/>
      <c r="K54" s="104" t="s">
        <v>323</v>
      </c>
      <c r="L54" s="98" t="str">
        <f>VLOOKUP(K54,материалы!$A$5:$G$31,5, FALSE)</f>
        <v>м3</v>
      </c>
      <c r="M54" s="92">
        <f>VLOOKUP(K54,материалы!$A$5:$G$31,7, FALSE)</f>
        <v>379.24</v>
      </c>
      <c r="N54" s="94">
        <v>8.7499999999999994E-2</v>
      </c>
      <c r="O54" s="92">
        <f t="shared" si="35"/>
        <v>33.18</v>
      </c>
      <c r="P54" s="92"/>
      <c r="Q54" s="92"/>
      <c r="R54" s="115"/>
      <c r="S54" s="115"/>
      <c r="T54" s="115"/>
      <c r="U54" s="148"/>
      <c r="V54" s="78"/>
    </row>
    <row r="55" spans="1:22" ht="41.25" hidden="1" customHeight="1" outlineLevel="1" x14ac:dyDescent="0.25">
      <c r="A55" s="88"/>
      <c r="B55" s="89"/>
      <c r="C55" s="90"/>
      <c r="D55" s="83"/>
      <c r="E55" s="91"/>
      <c r="F55" s="92"/>
      <c r="G55" s="94"/>
      <c r="H55" s="92"/>
      <c r="I55" s="92"/>
      <c r="J55" s="92"/>
      <c r="K55" s="104" t="s">
        <v>341</v>
      </c>
      <c r="L55" s="98" t="str">
        <f>VLOOKUP(K55,материалы!$A$5:$G$31,5, FALSE)</f>
        <v>кг</v>
      </c>
      <c r="M55" s="92">
        <f>VLOOKUP(K55,материалы!$A$5:$G$31,7, FALSE)</f>
        <v>44.94</v>
      </c>
      <c r="N55" s="92">
        <v>0.1</v>
      </c>
      <c r="O55" s="92">
        <f t="shared" si="35"/>
        <v>4.49</v>
      </c>
      <c r="P55" s="92"/>
      <c r="Q55" s="92"/>
      <c r="R55" s="115"/>
      <c r="S55" s="115"/>
      <c r="T55" s="115"/>
      <c r="U55" s="148"/>
      <c r="V55" s="78"/>
    </row>
    <row r="56" spans="1:22" ht="29.25" hidden="1" customHeight="1" outlineLevel="1" x14ac:dyDescent="0.25">
      <c r="A56" s="88"/>
      <c r="B56" s="89"/>
      <c r="C56" s="90"/>
      <c r="D56" s="83"/>
      <c r="E56" s="91"/>
      <c r="F56" s="92"/>
      <c r="G56" s="94"/>
      <c r="H56" s="92"/>
      <c r="I56" s="92"/>
      <c r="J56" s="92"/>
      <c r="K56" s="104" t="s">
        <v>342</v>
      </c>
      <c r="L56" s="98" t="str">
        <f>VLOOKUP(K56,материалы!$A$5:$G$31,5, FALSE)</f>
        <v>шт.</v>
      </c>
      <c r="M56" s="92">
        <f>VLOOKUP(K56,материалы!$A$5:$G$31,7, FALSE)</f>
        <v>30.94</v>
      </c>
      <c r="N56" s="92">
        <v>0.25</v>
      </c>
      <c r="O56" s="92">
        <f t="shared" si="35"/>
        <v>7.74</v>
      </c>
      <c r="P56" s="92"/>
      <c r="Q56" s="92"/>
      <c r="R56" s="115"/>
      <c r="S56" s="115"/>
      <c r="T56" s="115"/>
      <c r="U56" s="148"/>
      <c r="V56" s="78"/>
    </row>
    <row r="57" spans="1:22" ht="29.25" hidden="1" customHeight="1" outlineLevel="1" x14ac:dyDescent="0.25">
      <c r="A57" s="88"/>
      <c r="B57" s="89"/>
      <c r="C57" s="90"/>
      <c r="D57" s="83"/>
      <c r="E57" s="91"/>
      <c r="F57" s="92"/>
      <c r="G57" s="94"/>
      <c r="H57" s="92"/>
      <c r="I57" s="92"/>
      <c r="J57" s="92"/>
      <c r="K57" s="121" t="s">
        <v>346</v>
      </c>
      <c r="L57" s="98" t="str">
        <f>VLOOKUP(K57,материалы!$A$5:$G$31,5, FALSE)</f>
        <v>шт.</v>
      </c>
      <c r="M57" s="92">
        <f>VLOOKUP(K57,материалы!$A$5:$G$31,7, FALSE)</f>
        <v>24.810000000000002</v>
      </c>
      <c r="N57" s="92">
        <v>1</v>
      </c>
      <c r="O57" s="92">
        <f t="shared" ref="O57:O59" si="36">ROUND(M57*N57,2)</f>
        <v>24.81</v>
      </c>
      <c r="P57" s="92"/>
      <c r="Q57" s="92"/>
      <c r="R57" s="115"/>
      <c r="S57" s="115"/>
      <c r="T57" s="115"/>
      <c r="U57" s="148"/>
      <c r="V57" s="78"/>
    </row>
    <row r="58" spans="1:22" ht="21" hidden="1" customHeight="1" outlineLevel="1" x14ac:dyDescent="0.25">
      <c r="A58" s="88"/>
      <c r="B58" s="89"/>
      <c r="C58" s="90"/>
      <c r="D58" s="83"/>
      <c r="E58" s="91"/>
      <c r="F58" s="92"/>
      <c r="G58" s="94"/>
      <c r="H58" s="92"/>
      <c r="I58" s="92"/>
      <c r="J58" s="92"/>
      <c r="K58" s="97" t="s">
        <v>329</v>
      </c>
      <c r="L58" s="98" t="str">
        <f>VLOOKUP(K58,материалы!$A$5:$G$31,5, FALSE)</f>
        <v>кг</v>
      </c>
      <c r="M58" s="92">
        <f>VLOOKUP(K58,материалы!$A$5:$G$31,7, FALSE)</f>
        <v>65.599999999999994</v>
      </c>
      <c r="N58" s="92">
        <v>1E-3</v>
      </c>
      <c r="O58" s="92">
        <f t="shared" si="36"/>
        <v>7.0000000000000007E-2</v>
      </c>
      <c r="P58" s="92"/>
      <c r="Q58" s="92"/>
      <c r="R58" s="115"/>
      <c r="S58" s="115"/>
      <c r="T58" s="115"/>
      <c r="U58" s="148"/>
      <c r="V58" s="78"/>
    </row>
    <row r="59" spans="1:22" ht="20.25" hidden="1" customHeight="1" outlineLevel="1" x14ac:dyDescent="0.25">
      <c r="A59" s="88"/>
      <c r="B59" s="89"/>
      <c r="C59" s="90"/>
      <c r="D59" s="83"/>
      <c r="E59" s="91"/>
      <c r="F59" s="92"/>
      <c r="G59" s="94"/>
      <c r="H59" s="92"/>
      <c r="I59" s="92"/>
      <c r="J59" s="92"/>
      <c r="K59" s="97" t="s">
        <v>330</v>
      </c>
      <c r="L59" s="98" t="str">
        <f>VLOOKUP(K59,материалы!$A$5:$G$31,5, FALSE)</f>
        <v>кг</v>
      </c>
      <c r="M59" s="92">
        <f>VLOOKUP(K59,материалы!$A$5:$G$31,7, FALSE)</f>
        <v>39.82</v>
      </c>
      <c r="N59" s="92">
        <v>0.01</v>
      </c>
      <c r="O59" s="92">
        <f t="shared" si="36"/>
        <v>0.4</v>
      </c>
      <c r="P59" s="92"/>
      <c r="Q59" s="92"/>
      <c r="R59" s="115"/>
      <c r="S59" s="115"/>
      <c r="T59" s="115"/>
      <c r="U59" s="148"/>
      <c r="V59" s="78"/>
    </row>
    <row r="60" spans="1:22" ht="51" hidden="1" x14ac:dyDescent="0.25">
      <c r="A60" s="88" t="s">
        <v>431</v>
      </c>
      <c r="B60" s="88" t="s">
        <v>173</v>
      </c>
      <c r="C60" s="90" t="s">
        <v>407</v>
      </c>
      <c r="D60" s="83" t="s">
        <v>30</v>
      </c>
      <c r="E60" s="91" t="s">
        <v>161</v>
      </c>
      <c r="F60" s="92">
        <f>VLOOKUP(E60,'условия, ФОТ'!$A$14:$I$32,9, FALSE)</f>
        <v>111.79</v>
      </c>
      <c r="G60" s="94">
        <v>1.3</v>
      </c>
      <c r="H60" s="92">
        <f t="shared" ref="H60:H155" si="37">ROUND(F60*G60,2)</f>
        <v>145.33000000000001</v>
      </c>
      <c r="I60" s="92">
        <f>ROUND(H60*$I$5,2)</f>
        <v>43.89</v>
      </c>
      <c r="J60" s="92">
        <f t="shared" si="34"/>
        <v>189.22000000000003</v>
      </c>
      <c r="K60" s="93"/>
      <c r="L60" s="92"/>
      <c r="M60" s="92"/>
      <c r="N60" s="92"/>
      <c r="O60" s="92">
        <f>SUM(O61:O63)</f>
        <v>4.03</v>
      </c>
      <c r="P60" s="92">
        <f>J60+O60</f>
        <v>193.25000000000003</v>
      </c>
      <c r="Q60" s="92">
        <f>ROUND(P60*$Q$5,2)</f>
        <v>147.44999999999999</v>
      </c>
      <c r="R60" s="115">
        <f>ROUND(T60/1.2,2)</f>
        <v>375</v>
      </c>
      <c r="S60" s="115">
        <f>ROUND(R60*$S$5,2)</f>
        <v>75</v>
      </c>
      <c r="T60" s="115">
        <f>ROUND((P60+Q60)*(1+$R$5)*1.2,0)</f>
        <v>450</v>
      </c>
      <c r="U60" s="148">
        <v>485</v>
      </c>
      <c r="V60" s="78">
        <f t="shared" si="1"/>
        <v>-7.2164948453608275</v>
      </c>
    </row>
    <row r="61" spans="1:22" ht="25.5" hidden="1" outlineLevel="1" x14ac:dyDescent="0.25">
      <c r="A61" s="88"/>
      <c r="B61" s="88"/>
      <c r="C61" s="90"/>
      <c r="D61" s="83"/>
      <c r="E61" s="91"/>
      <c r="F61" s="92"/>
      <c r="G61" s="94"/>
      <c r="H61" s="92"/>
      <c r="I61" s="92"/>
      <c r="J61" s="96" t="s">
        <v>366</v>
      </c>
      <c r="K61" s="104" t="s">
        <v>335</v>
      </c>
      <c r="L61" s="98" t="str">
        <f>VLOOKUP(K61,материалы!$A$5:$G$31,5, FALSE)</f>
        <v>кг</v>
      </c>
      <c r="M61" s="92">
        <f>VLOOKUP(K61,материалы!$A$5:$G$31,7, FALSE)</f>
        <v>712.76</v>
      </c>
      <c r="N61" s="92">
        <v>5.0000000000000001E-3</v>
      </c>
      <c r="O61" s="92">
        <f t="shared" ref="O61" si="38">ROUND(M61*N61,2)</f>
        <v>3.56</v>
      </c>
      <c r="P61" s="92"/>
      <c r="Q61" s="92"/>
      <c r="R61" s="115"/>
      <c r="S61" s="115"/>
      <c r="T61" s="115"/>
      <c r="U61" s="148"/>
      <c r="V61" s="78"/>
    </row>
    <row r="62" spans="1:22" hidden="1" outlineLevel="1" x14ac:dyDescent="0.25">
      <c r="A62" s="88"/>
      <c r="B62" s="88"/>
      <c r="C62" s="90"/>
      <c r="D62" s="83"/>
      <c r="E62" s="91"/>
      <c r="F62" s="92"/>
      <c r="G62" s="94"/>
      <c r="H62" s="92"/>
      <c r="I62" s="92"/>
      <c r="J62" s="92"/>
      <c r="K62" s="97" t="s">
        <v>329</v>
      </c>
      <c r="L62" s="98" t="str">
        <f>VLOOKUP(K62,материалы!$A$5:$G$31,5, FALSE)</f>
        <v>кг</v>
      </c>
      <c r="M62" s="92">
        <f>VLOOKUP(K62,материалы!$A$5:$G$31,7, FALSE)</f>
        <v>65.599999999999994</v>
      </c>
      <c r="N62" s="92">
        <v>1E-3</v>
      </c>
      <c r="O62" s="92">
        <f t="shared" ref="O62:O63" si="39">ROUND(M62*N62,2)</f>
        <v>7.0000000000000007E-2</v>
      </c>
      <c r="P62" s="92"/>
      <c r="Q62" s="92"/>
      <c r="R62" s="115"/>
      <c r="S62" s="115"/>
      <c r="T62" s="115"/>
      <c r="U62" s="148"/>
      <c r="V62" s="78"/>
    </row>
    <row r="63" spans="1:22" hidden="1" outlineLevel="1" x14ac:dyDescent="0.25">
      <c r="A63" s="88"/>
      <c r="B63" s="88"/>
      <c r="C63" s="90"/>
      <c r="D63" s="83"/>
      <c r="E63" s="91"/>
      <c r="F63" s="92"/>
      <c r="G63" s="94"/>
      <c r="H63" s="92"/>
      <c r="I63" s="92"/>
      <c r="J63" s="92"/>
      <c r="K63" s="97" t="s">
        <v>330</v>
      </c>
      <c r="L63" s="98" t="str">
        <f>VLOOKUP(K63,материалы!$A$5:$G$31,5, FALSE)</f>
        <v>кг</v>
      </c>
      <c r="M63" s="92">
        <f>VLOOKUP(K63,материалы!$A$5:$G$31,7, FALSE)</f>
        <v>39.82</v>
      </c>
      <c r="N63" s="92">
        <v>0.01</v>
      </c>
      <c r="O63" s="92">
        <f t="shared" si="39"/>
        <v>0.4</v>
      </c>
      <c r="P63" s="92"/>
      <c r="Q63" s="92"/>
      <c r="R63" s="115"/>
      <c r="S63" s="115"/>
      <c r="T63" s="115"/>
      <c r="U63" s="148"/>
      <c r="V63" s="78"/>
    </row>
    <row r="64" spans="1:22" ht="45.95" hidden="1" customHeight="1" x14ac:dyDescent="0.25">
      <c r="A64" s="88" t="s">
        <v>432</v>
      </c>
      <c r="B64" s="88" t="s">
        <v>27</v>
      </c>
      <c r="C64" s="90" t="s">
        <v>408</v>
      </c>
      <c r="D64" s="83" t="s">
        <v>30</v>
      </c>
      <c r="E64" s="91" t="s">
        <v>161</v>
      </c>
      <c r="F64" s="92">
        <f>VLOOKUP(E64,'условия, ФОТ'!$A$14:$I$32,9, FALSE)</f>
        <v>111.79</v>
      </c>
      <c r="G64" s="94">
        <v>1.4</v>
      </c>
      <c r="H64" s="92">
        <f t="shared" si="37"/>
        <v>156.51</v>
      </c>
      <c r="I64" s="92">
        <f>ROUND(H64*$I$5,2)</f>
        <v>47.27</v>
      </c>
      <c r="J64" s="92">
        <f t="shared" si="34"/>
        <v>203.78</v>
      </c>
      <c r="K64" s="93"/>
      <c r="L64" s="92"/>
      <c r="M64" s="92"/>
      <c r="N64" s="92"/>
      <c r="O64" s="92">
        <f>SUM(O65:O67)</f>
        <v>4.03</v>
      </c>
      <c r="P64" s="92">
        <f t="shared" ref="P64:P155" si="40">J64+O64</f>
        <v>207.81</v>
      </c>
      <c r="Q64" s="92">
        <f>ROUND(P64*$Q$5,2)</f>
        <v>158.56</v>
      </c>
      <c r="R64" s="115">
        <f>ROUND(T64/1.2,2)</f>
        <v>403.33</v>
      </c>
      <c r="S64" s="115">
        <f>ROUND(R64*$S$5,2)</f>
        <v>80.67</v>
      </c>
      <c r="T64" s="115">
        <f>ROUND((P64+Q64)*(1+$R$5)*1.2,0)</f>
        <v>484</v>
      </c>
      <c r="U64" s="148">
        <v>522</v>
      </c>
      <c r="V64" s="78">
        <f t="shared" si="1"/>
        <v>-7.279693486590034</v>
      </c>
    </row>
    <row r="65" spans="1:22" ht="25.5" hidden="1" outlineLevel="1" x14ac:dyDescent="0.25">
      <c r="A65" s="88"/>
      <c r="B65" s="88"/>
      <c r="C65" s="90"/>
      <c r="D65" s="83"/>
      <c r="E65" s="91"/>
      <c r="F65" s="92"/>
      <c r="G65" s="94"/>
      <c r="H65" s="92"/>
      <c r="I65" s="92"/>
      <c r="J65" s="96" t="s">
        <v>366</v>
      </c>
      <c r="K65" s="104" t="s">
        <v>335</v>
      </c>
      <c r="L65" s="98" t="str">
        <f>VLOOKUP(K65,материалы!$A$5:$G$31,5, FALSE)</f>
        <v>кг</v>
      </c>
      <c r="M65" s="92">
        <f>VLOOKUP(K65,материалы!$A$5:$G$31,7, FALSE)</f>
        <v>712.76</v>
      </c>
      <c r="N65" s="92">
        <v>5.0000000000000001E-3</v>
      </c>
      <c r="O65" s="92">
        <f t="shared" ref="O65:O69" si="41">ROUND(M65*N65,2)</f>
        <v>3.56</v>
      </c>
      <c r="P65" s="92"/>
      <c r="Q65" s="92"/>
      <c r="R65" s="115"/>
      <c r="S65" s="115"/>
      <c r="T65" s="115"/>
      <c r="U65" s="148"/>
      <c r="V65" s="78"/>
    </row>
    <row r="66" spans="1:22" hidden="1" outlineLevel="1" x14ac:dyDescent="0.25">
      <c r="A66" s="88"/>
      <c r="B66" s="88"/>
      <c r="C66" s="90"/>
      <c r="D66" s="83"/>
      <c r="E66" s="91"/>
      <c r="F66" s="92"/>
      <c r="G66" s="94"/>
      <c r="H66" s="92"/>
      <c r="I66" s="92"/>
      <c r="J66" s="92"/>
      <c r="K66" s="97" t="s">
        <v>329</v>
      </c>
      <c r="L66" s="98" t="str">
        <f>VLOOKUP(K66,материалы!$A$5:$G$31,5, FALSE)</f>
        <v>кг</v>
      </c>
      <c r="M66" s="92">
        <f>VLOOKUP(K66,материалы!$A$5:$G$31,7, FALSE)</f>
        <v>65.599999999999994</v>
      </c>
      <c r="N66" s="92">
        <v>1E-3</v>
      </c>
      <c r="O66" s="92">
        <f t="shared" si="41"/>
        <v>7.0000000000000007E-2</v>
      </c>
      <c r="P66" s="92"/>
      <c r="Q66" s="92"/>
      <c r="R66" s="115"/>
      <c r="S66" s="115"/>
      <c r="T66" s="115"/>
      <c r="U66" s="148"/>
      <c r="V66" s="78"/>
    </row>
    <row r="67" spans="1:22" hidden="1" outlineLevel="1" x14ac:dyDescent="0.25">
      <c r="A67" s="88"/>
      <c r="B67" s="88"/>
      <c r="C67" s="90"/>
      <c r="D67" s="83"/>
      <c r="E67" s="91"/>
      <c r="F67" s="92"/>
      <c r="G67" s="94"/>
      <c r="H67" s="92"/>
      <c r="I67" s="92"/>
      <c r="J67" s="92"/>
      <c r="K67" s="97" t="s">
        <v>330</v>
      </c>
      <c r="L67" s="98" t="str">
        <f>VLOOKUP(K67,материалы!$A$5:$G$31,5, FALSE)</f>
        <v>кг</v>
      </c>
      <c r="M67" s="92">
        <f>VLOOKUP(K67,материалы!$A$5:$G$31,7, FALSE)</f>
        <v>39.82</v>
      </c>
      <c r="N67" s="92">
        <v>0.01</v>
      </c>
      <c r="O67" s="92">
        <f t="shared" si="41"/>
        <v>0.4</v>
      </c>
      <c r="P67" s="92"/>
      <c r="Q67" s="92"/>
      <c r="R67" s="115"/>
      <c r="S67" s="115"/>
      <c r="T67" s="115"/>
      <c r="U67" s="148"/>
      <c r="V67" s="78"/>
    </row>
    <row r="68" spans="1:22" ht="39.75" hidden="1" customHeight="1" x14ac:dyDescent="0.25">
      <c r="A68" s="88" t="s">
        <v>433</v>
      </c>
      <c r="B68" s="88" t="s">
        <v>27</v>
      </c>
      <c r="C68" s="90" t="s">
        <v>409</v>
      </c>
      <c r="D68" s="83" t="s">
        <v>30</v>
      </c>
      <c r="E68" s="91" t="s">
        <v>161</v>
      </c>
      <c r="F68" s="92">
        <f>VLOOKUP(E68,'условия, ФОТ'!$A$14:$I$32,9, FALSE)</f>
        <v>111.79</v>
      </c>
      <c r="G68" s="94">
        <v>0.9</v>
      </c>
      <c r="H68" s="92">
        <f t="shared" si="37"/>
        <v>100.61</v>
      </c>
      <c r="I68" s="92">
        <f>ROUND(H68*$I$5,2)</f>
        <v>30.38</v>
      </c>
      <c r="J68" s="92">
        <f t="shared" si="34"/>
        <v>130.99</v>
      </c>
      <c r="K68" s="93"/>
      <c r="L68" s="92"/>
      <c r="M68" s="92"/>
      <c r="N68" s="92"/>
      <c r="O68" s="92">
        <f>SUM(O69:O71)</f>
        <v>4.03</v>
      </c>
      <c r="P68" s="92">
        <f>J68+O68</f>
        <v>135.02000000000001</v>
      </c>
      <c r="Q68" s="92">
        <f>ROUND(P68*$Q$5,2)</f>
        <v>103.02</v>
      </c>
      <c r="R68" s="115">
        <f>ROUND(T68/1.2,2)</f>
        <v>261.67</v>
      </c>
      <c r="S68" s="115">
        <f>ROUND(R68*$S$5,2)</f>
        <v>52.33</v>
      </c>
      <c r="T68" s="115">
        <f>ROUND((P68+Q68)*(1+$R$5)*1.2,0)</f>
        <v>314</v>
      </c>
      <c r="U68" s="148">
        <v>339</v>
      </c>
      <c r="V68" s="78">
        <f t="shared" si="1"/>
        <v>-7.3746312684365876</v>
      </c>
    </row>
    <row r="69" spans="1:22" ht="25.5" hidden="1" outlineLevel="1" x14ac:dyDescent="0.25">
      <c r="A69" s="88"/>
      <c r="B69" s="88"/>
      <c r="C69" s="90"/>
      <c r="D69" s="83"/>
      <c r="E69" s="91"/>
      <c r="F69" s="92"/>
      <c r="G69" s="94"/>
      <c r="H69" s="92"/>
      <c r="I69" s="92"/>
      <c r="J69" s="96" t="s">
        <v>366</v>
      </c>
      <c r="K69" s="104" t="s">
        <v>335</v>
      </c>
      <c r="L69" s="98" t="str">
        <f>VLOOKUP(K69,материалы!$A$5:$G$31,5, FALSE)</f>
        <v>кг</v>
      </c>
      <c r="M69" s="92">
        <f>VLOOKUP(K69,материалы!$A$5:$G$31,7, FALSE)</f>
        <v>712.76</v>
      </c>
      <c r="N69" s="92">
        <v>5.0000000000000001E-3</v>
      </c>
      <c r="O69" s="92">
        <f t="shared" si="41"/>
        <v>3.56</v>
      </c>
      <c r="P69" s="92"/>
      <c r="Q69" s="92"/>
      <c r="R69" s="115"/>
      <c r="S69" s="115"/>
      <c r="T69" s="115"/>
      <c r="U69" s="148"/>
      <c r="V69" s="78"/>
    </row>
    <row r="70" spans="1:22" hidden="1" outlineLevel="1" x14ac:dyDescent="0.25">
      <c r="A70" s="88"/>
      <c r="B70" s="88"/>
      <c r="C70" s="90"/>
      <c r="D70" s="83"/>
      <c r="E70" s="91"/>
      <c r="F70" s="92"/>
      <c r="G70" s="94"/>
      <c r="H70" s="92"/>
      <c r="I70" s="92"/>
      <c r="J70" s="92"/>
      <c r="K70" s="97" t="s">
        <v>329</v>
      </c>
      <c r="L70" s="98" t="str">
        <f>VLOOKUP(K70,материалы!$A$5:$G$31,5, FALSE)</f>
        <v>кг</v>
      </c>
      <c r="M70" s="92">
        <f>VLOOKUP(K70,материалы!$A$5:$G$31,7, FALSE)</f>
        <v>65.599999999999994</v>
      </c>
      <c r="N70" s="92">
        <v>1E-3</v>
      </c>
      <c r="O70" s="92">
        <f t="shared" ref="O70:O71" si="42">ROUND(M70*N70,2)</f>
        <v>7.0000000000000007E-2</v>
      </c>
      <c r="P70" s="92"/>
      <c r="Q70" s="92"/>
      <c r="R70" s="115"/>
      <c r="S70" s="115"/>
      <c r="T70" s="115"/>
      <c r="U70" s="148"/>
      <c r="V70" s="78"/>
    </row>
    <row r="71" spans="1:22" hidden="1" outlineLevel="1" x14ac:dyDescent="0.25">
      <c r="A71" s="88"/>
      <c r="B71" s="88"/>
      <c r="C71" s="90"/>
      <c r="D71" s="83"/>
      <c r="E71" s="91"/>
      <c r="F71" s="92"/>
      <c r="G71" s="94"/>
      <c r="H71" s="92"/>
      <c r="I71" s="92"/>
      <c r="J71" s="92"/>
      <c r="K71" s="97" t="s">
        <v>330</v>
      </c>
      <c r="L71" s="98" t="str">
        <f>VLOOKUP(K71,материалы!$A$5:$G$31,5, FALSE)</f>
        <v>кг</v>
      </c>
      <c r="M71" s="92">
        <f>VLOOKUP(K71,материалы!$A$5:$G$31,7, FALSE)</f>
        <v>39.82</v>
      </c>
      <c r="N71" s="92">
        <v>0.01</v>
      </c>
      <c r="O71" s="92">
        <f t="shared" si="42"/>
        <v>0.4</v>
      </c>
      <c r="P71" s="92"/>
      <c r="Q71" s="92"/>
      <c r="R71" s="115"/>
      <c r="S71" s="115"/>
      <c r="T71" s="115"/>
      <c r="U71" s="148"/>
      <c r="V71" s="78"/>
    </row>
    <row r="72" spans="1:22" hidden="1" x14ac:dyDescent="0.25">
      <c r="A72" s="88" t="s">
        <v>434</v>
      </c>
      <c r="B72" s="88" t="s">
        <v>174</v>
      </c>
      <c r="C72" s="90" t="s">
        <v>32</v>
      </c>
      <c r="D72" s="92" t="s">
        <v>175</v>
      </c>
      <c r="E72" s="91" t="s">
        <v>161</v>
      </c>
      <c r="F72" s="92">
        <f>VLOOKUP(E72,'условия, ФОТ'!$A$14:$I$32,9, FALSE)</f>
        <v>111.79</v>
      </c>
      <c r="G72" s="94">
        <v>0.28999999999999998</v>
      </c>
      <c r="H72" s="92">
        <f t="shared" si="37"/>
        <v>32.42</v>
      </c>
      <c r="I72" s="92">
        <f t="shared" ref="I72:I91" si="43">ROUND(H72*$I$5,2)</f>
        <v>9.7899999999999991</v>
      </c>
      <c r="J72" s="92">
        <f t="shared" si="34"/>
        <v>42.21</v>
      </c>
      <c r="K72" s="93"/>
      <c r="L72" s="92"/>
      <c r="M72" s="92"/>
      <c r="N72" s="92"/>
      <c r="O72" s="92"/>
      <c r="P72" s="92">
        <f t="shared" si="40"/>
        <v>42.21</v>
      </c>
      <c r="Q72" s="92">
        <f t="shared" ref="Q72:Q91" si="44">ROUND(P72*$Q$5,2)</f>
        <v>32.21</v>
      </c>
      <c r="R72" s="115">
        <f>ROUND(T72/1.2,2)</f>
        <v>81.67</v>
      </c>
      <c r="S72" s="115">
        <f t="shared" ref="S72:S91" si="45">ROUND(R72*$S$5,2)</f>
        <v>16.329999999999998</v>
      </c>
      <c r="T72" s="115">
        <f t="shared" ref="T72:T91" si="46">ROUND((P72+Q72)*(1+$R$5)*1.2,0)</f>
        <v>98</v>
      </c>
      <c r="U72" s="148">
        <v>106</v>
      </c>
      <c r="V72" s="78">
        <f t="shared" si="1"/>
        <v>-7.5471698113207566</v>
      </c>
    </row>
    <row r="73" spans="1:22" hidden="1" x14ac:dyDescent="0.25">
      <c r="A73" s="88" t="s">
        <v>436</v>
      </c>
      <c r="B73" s="88" t="s">
        <v>176</v>
      </c>
      <c r="C73" s="90" t="s">
        <v>33</v>
      </c>
      <c r="D73" s="92" t="s">
        <v>177</v>
      </c>
      <c r="E73" s="91" t="s">
        <v>161</v>
      </c>
      <c r="F73" s="92">
        <f>VLOOKUP(E73,'условия, ФОТ'!$A$14:$I$32,9, FALSE)</f>
        <v>111.79</v>
      </c>
      <c r="G73" s="94">
        <v>0.28999999999999998</v>
      </c>
      <c r="H73" s="92">
        <f t="shared" si="37"/>
        <v>32.42</v>
      </c>
      <c r="I73" s="92">
        <f t="shared" si="43"/>
        <v>9.7899999999999991</v>
      </c>
      <c r="J73" s="92">
        <f t="shared" si="34"/>
        <v>42.21</v>
      </c>
      <c r="K73" s="93"/>
      <c r="L73" s="92"/>
      <c r="M73" s="92"/>
      <c r="N73" s="92"/>
      <c r="O73" s="92"/>
      <c r="P73" s="92">
        <f t="shared" si="40"/>
        <v>42.21</v>
      </c>
      <c r="Q73" s="92">
        <f t="shared" si="44"/>
        <v>32.21</v>
      </c>
      <c r="R73" s="148">
        <f t="shared" ref="R73:R91" si="47">ROUND(T73/1.2,2)</f>
        <v>81.67</v>
      </c>
      <c r="S73" s="115">
        <f t="shared" si="45"/>
        <v>16.329999999999998</v>
      </c>
      <c r="T73" s="148">
        <f t="shared" si="46"/>
        <v>98</v>
      </c>
      <c r="U73" s="148">
        <v>106</v>
      </c>
      <c r="V73" s="78">
        <f t="shared" si="1"/>
        <v>-7.5471698113207566</v>
      </c>
    </row>
    <row r="74" spans="1:22" hidden="1" x14ac:dyDescent="0.25">
      <c r="A74" s="88" t="s">
        <v>437</v>
      </c>
      <c r="B74" s="88" t="s">
        <v>178</v>
      </c>
      <c r="C74" s="90" t="s">
        <v>34</v>
      </c>
      <c r="D74" s="92" t="s">
        <v>177</v>
      </c>
      <c r="E74" s="91" t="s">
        <v>161</v>
      </c>
      <c r="F74" s="92">
        <f>VLOOKUP(E74,'условия, ФОТ'!$A$14:$I$32,9, FALSE)</f>
        <v>111.79</v>
      </c>
      <c r="G74" s="94">
        <v>0.36</v>
      </c>
      <c r="H74" s="92">
        <f t="shared" si="37"/>
        <v>40.24</v>
      </c>
      <c r="I74" s="92">
        <f t="shared" si="43"/>
        <v>12.15</v>
      </c>
      <c r="J74" s="92">
        <f t="shared" si="34"/>
        <v>52.39</v>
      </c>
      <c r="K74" s="93"/>
      <c r="L74" s="92"/>
      <c r="M74" s="92"/>
      <c r="N74" s="92"/>
      <c r="O74" s="92"/>
      <c r="P74" s="92">
        <f t="shared" si="40"/>
        <v>52.39</v>
      </c>
      <c r="Q74" s="92">
        <f t="shared" si="44"/>
        <v>39.97</v>
      </c>
      <c r="R74" s="148">
        <f t="shared" si="47"/>
        <v>101.67</v>
      </c>
      <c r="S74" s="115">
        <f t="shared" si="45"/>
        <v>20.329999999999998</v>
      </c>
      <c r="T74" s="148">
        <f t="shared" si="46"/>
        <v>122</v>
      </c>
      <c r="U74" s="148">
        <v>132</v>
      </c>
      <c r="V74" s="78">
        <f t="shared" si="1"/>
        <v>-7.5757575757575779</v>
      </c>
    </row>
    <row r="75" spans="1:22" hidden="1" x14ac:dyDescent="0.25">
      <c r="A75" s="88" t="s">
        <v>438</v>
      </c>
      <c r="B75" s="88" t="s">
        <v>179</v>
      </c>
      <c r="C75" s="90" t="s">
        <v>35</v>
      </c>
      <c r="D75" s="92" t="s">
        <v>180</v>
      </c>
      <c r="E75" s="91" t="s">
        <v>161</v>
      </c>
      <c r="F75" s="92">
        <f>VLOOKUP(E75,'условия, ФОТ'!$A$14:$I$32,9, FALSE)</f>
        <v>111.79</v>
      </c>
      <c r="G75" s="94">
        <v>0.15</v>
      </c>
      <c r="H75" s="92">
        <f t="shared" si="37"/>
        <v>16.77</v>
      </c>
      <c r="I75" s="92">
        <f t="shared" si="43"/>
        <v>5.0599999999999996</v>
      </c>
      <c r="J75" s="92">
        <f t="shared" si="34"/>
        <v>21.83</v>
      </c>
      <c r="K75" s="93"/>
      <c r="L75" s="92"/>
      <c r="M75" s="92"/>
      <c r="N75" s="92"/>
      <c r="O75" s="92"/>
      <c r="P75" s="92">
        <f t="shared" si="40"/>
        <v>21.83</v>
      </c>
      <c r="Q75" s="92">
        <f t="shared" si="44"/>
        <v>16.66</v>
      </c>
      <c r="R75" s="148">
        <f t="shared" si="47"/>
        <v>42.5</v>
      </c>
      <c r="S75" s="115">
        <f t="shared" si="45"/>
        <v>8.5</v>
      </c>
      <c r="T75" s="148">
        <f t="shared" si="46"/>
        <v>51</v>
      </c>
      <c r="U75" s="148">
        <v>55</v>
      </c>
      <c r="V75" s="78">
        <f t="shared" si="1"/>
        <v>-7.2727272727272805</v>
      </c>
    </row>
    <row r="76" spans="1:22" hidden="1" x14ac:dyDescent="0.25">
      <c r="A76" s="88" t="s">
        <v>439</v>
      </c>
      <c r="B76" s="88" t="s">
        <v>181</v>
      </c>
      <c r="C76" s="90" t="s">
        <v>36</v>
      </c>
      <c r="D76" s="92" t="s">
        <v>182</v>
      </c>
      <c r="E76" s="91" t="s">
        <v>161</v>
      </c>
      <c r="F76" s="92">
        <f>VLOOKUP(E76,'условия, ФОТ'!$A$14:$I$32,9, FALSE)</f>
        <v>111.79</v>
      </c>
      <c r="G76" s="94">
        <v>0.2</v>
      </c>
      <c r="H76" s="92">
        <f t="shared" si="37"/>
        <v>22.36</v>
      </c>
      <c r="I76" s="92">
        <f t="shared" si="43"/>
        <v>6.75</v>
      </c>
      <c r="J76" s="92">
        <f t="shared" si="34"/>
        <v>29.11</v>
      </c>
      <c r="K76" s="93"/>
      <c r="L76" s="92"/>
      <c r="M76" s="92"/>
      <c r="N76" s="92"/>
      <c r="O76" s="92"/>
      <c r="P76" s="92">
        <f t="shared" si="40"/>
        <v>29.11</v>
      </c>
      <c r="Q76" s="92">
        <f t="shared" si="44"/>
        <v>22.21</v>
      </c>
      <c r="R76" s="148">
        <f t="shared" si="47"/>
        <v>56.67</v>
      </c>
      <c r="S76" s="115">
        <f t="shared" si="45"/>
        <v>11.33</v>
      </c>
      <c r="T76" s="148">
        <f t="shared" si="46"/>
        <v>68</v>
      </c>
      <c r="U76" s="148">
        <v>73</v>
      </c>
      <c r="V76" s="78">
        <f t="shared" si="1"/>
        <v>-6.849315068493155</v>
      </c>
    </row>
    <row r="77" spans="1:22" ht="25.5" hidden="1" x14ac:dyDescent="0.25">
      <c r="A77" s="88" t="s">
        <v>440</v>
      </c>
      <c r="B77" s="88" t="s">
        <v>183</v>
      </c>
      <c r="C77" s="90" t="s">
        <v>37</v>
      </c>
      <c r="D77" s="92" t="s">
        <v>184</v>
      </c>
      <c r="E77" s="91" t="s">
        <v>161</v>
      </c>
      <c r="F77" s="92">
        <f>VLOOKUP(E77,'условия, ФОТ'!$A$14:$I$32,9, FALSE)</f>
        <v>111.79</v>
      </c>
      <c r="G77" s="94">
        <v>0.25</v>
      </c>
      <c r="H77" s="92">
        <f t="shared" si="37"/>
        <v>27.95</v>
      </c>
      <c r="I77" s="92">
        <f t="shared" si="43"/>
        <v>8.44</v>
      </c>
      <c r="J77" s="92">
        <f t="shared" si="34"/>
        <v>36.39</v>
      </c>
      <c r="K77" s="93"/>
      <c r="L77" s="92"/>
      <c r="M77" s="92"/>
      <c r="N77" s="92"/>
      <c r="O77" s="92"/>
      <c r="P77" s="92">
        <f t="shared" si="40"/>
        <v>36.39</v>
      </c>
      <c r="Q77" s="92">
        <f t="shared" si="44"/>
        <v>27.77</v>
      </c>
      <c r="R77" s="148">
        <f t="shared" si="47"/>
        <v>70.83</v>
      </c>
      <c r="S77" s="115">
        <f t="shared" si="45"/>
        <v>14.17</v>
      </c>
      <c r="T77" s="148">
        <f t="shared" si="46"/>
        <v>85</v>
      </c>
      <c r="U77" s="148">
        <v>91</v>
      </c>
      <c r="V77" s="78">
        <f t="shared" si="1"/>
        <v>-6.5934065934065984</v>
      </c>
    </row>
    <row r="78" spans="1:22" ht="29.25" hidden="1" customHeight="1" x14ac:dyDescent="0.25">
      <c r="A78" s="88" t="s">
        <v>441</v>
      </c>
      <c r="B78" s="88" t="s">
        <v>185</v>
      </c>
      <c r="C78" s="90" t="s">
        <v>38</v>
      </c>
      <c r="D78" s="92" t="s">
        <v>186</v>
      </c>
      <c r="E78" s="91" t="s">
        <v>161</v>
      </c>
      <c r="F78" s="92">
        <f>VLOOKUP(E78,'условия, ФОТ'!$A$14:$I$32,9, FALSE)</f>
        <v>111.79</v>
      </c>
      <c r="G78" s="94">
        <v>0.15</v>
      </c>
      <c r="H78" s="92">
        <f t="shared" si="37"/>
        <v>16.77</v>
      </c>
      <c r="I78" s="92">
        <f t="shared" si="43"/>
        <v>5.0599999999999996</v>
      </c>
      <c r="J78" s="92">
        <f t="shared" si="34"/>
        <v>21.83</v>
      </c>
      <c r="K78" s="93"/>
      <c r="L78" s="92"/>
      <c r="M78" s="92"/>
      <c r="N78" s="92"/>
      <c r="O78" s="92"/>
      <c r="P78" s="92">
        <f t="shared" si="40"/>
        <v>21.83</v>
      </c>
      <c r="Q78" s="92">
        <f t="shared" si="44"/>
        <v>16.66</v>
      </c>
      <c r="R78" s="148">
        <f t="shared" si="47"/>
        <v>42.5</v>
      </c>
      <c r="S78" s="115">
        <f t="shared" si="45"/>
        <v>8.5</v>
      </c>
      <c r="T78" s="148">
        <f t="shared" si="46"/>
        <v>51</v>
      </c>
      <c r="U78" s="148">
        <v>55</v>
      </c>
      <c r="V78" s="78">
        <f t="shared" si="1"/>
        <v>-7.2727272727272805</v>
      </c>
    </row>
    <row r="79" spans="1:22" ht="32.25" hidden="1" customHeight="1" x14ac:dyDescent="0.25">
      <c r="A79" s="88" t="s">
        <v>442</v>
      </c>
      <c r="B79" s="88" t="s">
        <v>187</v>
      </c>
      <c r="C79" s="90" t="s">
        <v>39</v>
      </c>
      <c r="D79" s="92" t="s">
        <v>188</v>
      </c>
      <c r="E79" s="91" t="s">
        <v>161</v>
      </c>
      <c r="F79" s="92">
        <f>VLOOKUP(E79,'условия, ФОТ'!$A$14:$I$32,9, FALSE)</f>
        <v>111.79</v>
      </c>
      <c r="G79" s="94">
        <v>1.24</v>
      </c>
      <c r="H79" s="92">
        <f t="shared" si="37"/>
        <v>138.62</v>
      </c>
      <c r="I79" s="92">
        <f t="shared" si="43"/>
        <v>41.86</v>
      </c>
      <c r="J79" s="92">
        <f t="shared" si="34"/>
        <v>180.48000000000002</v>
      </c>
      <c r="K79" s="93"/>
      <c r="L79" s="92"/>
      <c r="M79" s="92"/>
      <c r="N79" s="92"/>
      <c r="O79" s="92"/>
      <c r="P79" s="92">
        <f t="shared" si="40"/>
        <v>180.48000000000002</v>
      </c>
      <c r="Q79" s="92">
        <f t="shared" si="44"/>
        <v>137.71</v>
      </c>
      <c r="R79" s="148">
        <f t="shared" si="47"/>
        <v>350</v>
      </c>
      <c r="S79" s="115">
        <f t="shared" si="45"/>
        <v>70</v>
      </c>
      <c r="T79" s="148">
        <f t="shared" si="46"/>
        <v>420</v>
      </c>
      <c r="U79" s="148">
        <v>453</v>
      </c>
      <c r="V79" s="78">
        <f t="shared" si="1"/>
        <v>-7.2847682119205359</v>
      </c>
    </row>
    <row r="80" spans="1:22" ht="30.75" hidden="1" customHeight="1" x14ac:dyDescent="0.25">
      <c r="A80" s="88" t="s">
        <v>443</v>
      </c>
      <c r="B80" s="88" t="s">
        <v>189</v>
      </c>
      <c r="C80" s="90" t="s">
        <v>40</v>
      </c>
      <c r="D80" s="92" t="s">
        <v>190</v>
      </c>
      <c r="E80" s="91" t="s">
        <v>161</v>
      </c>
      <c r="F80" s="92">
        <f>VLOOKUP(E80,'условия, ФОТ'!$A$14:$I$32,9, FALSE)</f>
        <v>111.79</v>
      </c>
      <c r="G80" s="94">
        <v>0.81</v>
      </c>
      <c r="H80" s="92">
        <f t="shared" si="37"/>
        <v>90.55</v>
      </c>
      <c r="I80" s="92">
        <f t="shared" si="43"/>
        <v>27.35</v>
      </c>
      <c r="J80" s="92">
        <f t="shared" si="34"/>
        <v>117.9</v>
      </c>
      <c r="K80" s="93"/>
      <c r="L80" s="92"/>
      <c r="M80" s="92"/>
      <c r="N80" s="92"/>
      <c r="O80" s="92"/>
      <c r="P80" s="92">
        <f t="shared" si="40"/>
        <v>117.9</v>
      </c>
      <c r="Q80" s="92">
        <f t="shared" si="44"/>
        <v>89.96</v>
      </c>
      <c r="R80" s="148">
        <f t="shared" si="47"/>
        <v>228.33</v>
      </c>
      <c r="S80" s="115">
        <f t="shared" si="45"/>
        <v>45.67</v>
      </c>
      <c r="T80" s="148">
        <f t="shared" si="46"/>
        <v>274</v>
      </c>
      <c r="U80" s="148">
        <v>296</v>
      </c>
      <c r="V80" s="78">
        <f t="shared" si="1"/>
        <v>-7.4324324324324351</v>
      </c>
    </row>
    <row r="81" spans="1:22" hidden="1" x14ac:dyDescent="0.25">
      <c r="A81" s="88" t="s">
        <v>444</v>
      </c>
      <c r="B81" s="88" t="s">
        <v>191</v>
      </c>
      <c r="C81" s="90" t="s">
        <v>41</v>
      </c>
      <c r="D81" s="92" t="s">
        <v>192</v>
      </c>
      <c r="E81" s="91" t="s">
        <v>161</v>
      </c>
      <c r="F81" s="92">
        <f>VLOOKUP(E81,'условия, ФОТ'!$A$14:$I$32,9, FALSE)</f>
        <v>111.79</v>
      </c>
      <c r="G81" s="94">
        <v>0.69</v>
      </c>
      <c r="H81" s="92">
        <f t="shared" si="37"/>
        <v>77.14</v>
      </c>
      <c r="I81" s="92">
        <f t="shared" si="43"/>
        <v>23.3</v>
      </c>
      <c r="J81" s="92">
        <f t="shared" si="34"/>
        <v>100.44</v>
      </c>
      <c r="K81" s="93"/>
      <c r="L81" s="92"/>
      <c r="M81" s="92"/>
      <c r="N81" s="92"/>
      <c r="O81" s="92"/>
      <c r="P81" s="92">
        <f t="shared" si="40"/>
        <v>100.44</v>
      </c>
      <c r="Q81" s="92">
        <f t="shared" si="44"/>
        <v>76.64</v>
      </c>
      <c r="R81" s="148">
        <f t="shared" si="47"/>
        <v>195</v>
      </c>
      <c r="S81" s="115">
        <f t="shared" si="45"/>
        <v>39</v>
      </c>
      <c r="T81" s="148">
        <f t="shared" si="46"/>
        <v>234</v>
      </c>
      <c r="U81" s="148">
        <v>252</v>
      </c>
      <c r="V81" s="78">
        <f t="shared" si="1"/>
        <v>-7.1428571428571388</v>
      </c>
    </row>
    <row r="82" spans="1:22" hidden="1" x14ac:dyDescent="0.25">
      <c r="A82" s="88" t="s">
        <v>445</v>
      </c>
      <c r="B82" s="88" t="s">
        <v>193</v>
      </c>
      <c r="C82" s="90" t="s">
        <v>42</v>
      </c>
      <c r="D82" s="92" t="s">
        <v>194</v>
      </c>
      <c r="E82" s="91" t="s">
        <v>161</v>
      </c>
      <c r="F82" s="92">
        <f>VLOOKUP(E82,'условия, ФОТ'!$A$14:$I$32,9, FALSE)</f>
        <v>111.79</v>
      </c>
      <c r="G82" s="94">
        <v>0.43</v>
      </c>
      <c r="H82" s="92">
        <f t="shared" si="37"/>
        <v>48.07</v>
      </c>
      <c r="I82" s="92">
        <f t="shared" si="43"/>
        <v>14.52</v>
      </c>
      <c r="J82" s="92">
        <f t="shared" si="34"/>
        <v>62.59</v>
      </c>
      <c r="K82" s="93"/>
      <c r="L82" s="92"/>
      <c r="M82" s="92"/>
      <c r="N82" s="92"/>
      <c r="O82" s="92"/>
      <c r="P82" s="92">
        <f t="shared" si="40"/>
        <v>62.59</v>
      </c>
      <c r="Q82" s="92">
        <f t="shared" si="44"/>
        <v>47.76</v>
      </c>
      <c r="R82" s="148">
        <f t="shared" si="47"/>
        <v>121.67</v>
      </c>
      <c r="S82" s="115">
        <f t="shared" si="45"/>
        <v>24.33</v>
      </c>
      <c r="T82" s="148">
        <f t="shared" si="46"/>
        <v>146</v>
      </c>
      <c r="U82" s="148">
        <v>157</v>
      </c>
      <c r="V82" s="78">
        <f t="shared" si="1"/>
        <v>-7.0063694267515899</v>
      </c>
    </row>
    <row r="83" spans="1:22" hidden="1" x14ac:dyDescent="0.25">
      <c r="A83" s="88" t="s">
        <v>446</v>
      </c>
      <c r="B83" s="88" t="s">
        <v>195</v>
      </c>
      <c r="C83" s="90" t="s">
        <v>43</v>
      </c>
      <c r="D83" s="92" t="s">
        <v>190</v>
      </c>
      <c r="E83" s="91" t="s">
        <v>161</v>
      </c>
      <c r="F83" s="92">
        <f>VLOOKUP(E83,'условия, ФОТ'!$A$14:$I$32,9, FALSE)</f>
        <v>111.79</v>
      </c>
      <c r="G83" s="94">
        <v>0.3</v>
      </c>
      <c r="H83" s="92">
        <f t="shared" si="37"/>
        <v>33.54</v>
      </c>
      <c r="I83" s="92">
        <f t="shared" si="43"/>
        <v>10.130000000000001</v>
      </c>
      <c r="J83" s="92">
        <f t="shared" si="34"/>
        <v>43.67</v>
      </c>
      <c r="K83" s="93"/>
      <c r="L83" s="92"/>
      <c r="M83" s="92"/>
      <c r="N83" s="92"/>
      <c r="O83" s="92"/>
      <c r="P83" s="92">
        <f t="shared" si="40"/>
        <v>43.67</v>
      </c>
      <c r="Q83" s="92">
        <f t="shared" si="44"/>
        <v>33.32</v>
      </c>
      <c r="R83" s="148">
        <f t="shared" si="47"/>
        <v>85</v>
      </c>
      <c r="S83" s="115">
        <f t="shared" si="45"/>
        <v>17</v>
      </c>
      <c r="T83" s="148">
        <f t="shared" si="46"/>
        <v>102</v>
      </c>
      <c r="U83" s="148">
        <v>110</v>
      </c>
      <c r="V83" s="78">
        <f t="shared" si="1"/>
        <v>-7.2727272727272805</v>
      </c>
    </row>
    <row r="84" spans="1:22" hidden="1" x14ac:dyDescent="0.25">
      <c r="A84" s="88" t="s">
        <v>447</v>
      </c>
      <c r="B84" s="88" t="s">
        <v>196</v>
      </c>
      <c r="C84" s="90" t="s">
        <v>44</v>
      </c>
      <c r="D84" s="92" t="s">
        <v>190</v>
      </c>
      <c r="E84" s="91" t="s">
        <v>161</v>
      </c>
      <c r="F84" s="92">
        <f>VLOOKUP(E84,'условия, ФОТ'!$A$14:$I$32,9, FALSE)</f>
        <v>111.79</v>
      </c>
      <c r="G84" s="94">
        <v>0.4</v>
      </c>
      <c r="H84" s="92">
        <f t="shared" si="37"/>
        <v>44.72</v>
      </c>
      <c r="I84" s="92">
        <f t="shared" si="43"/>
        <v>13.51</v>
      </c>
      <c r="J84" s="92">
        <f t="shared" si="34"/>
        <v>58.23</v>
      </c>
      <c r="K84" s="93"/>
      <c r="L84" s="92"/>
      <c r="M84" s="92"/>
      <c r="N84" s="92"/>
      <c r="O84" s="92"/>
      <c r="P84" s="92">
        <f t="shared" si="40"/>
        <v>58.23</v>
      </c>
      <c r="Q84" s="92">
        <f t="shared" si="44"/>
        <v>44.43</v>
      </c>
      <c r="R84" s="148">
        <f t="shared" si="47"/>
        <v>113.33</v>
      </c>
      <c r="S84" s="115">
        <f t="shared" si="45"/>
        <v>22.67</v>
      </c>
      <c r="T84" s="148">
        <f t="shared" si="46"/>
        <v>136</v>
      </c>
      <c r="U84" s="148">
        <v>146</v>
      </c>
      <c r="V84" s="78">
        <f t="shared" si="1"/>
        <v>-6.849315068493155</v>
      </c>
    </row>
    <row r="85" spans="1:22" hidden="1" x14ac:dyDescent="0.25">
      <c r="A85" s="88" t="s">
        <v>448</v>
      </c>
      <c r="B85" s="88" t="s">
        <v>197</v>
      </c>
      <c r="C85" s="90" t="s">
        <v>45</v>
      </c>
      <c r="D85" s="92" t="s">
        <v>198</v>
      </c>
      <c r="E85" s="91" t="s">
        <v>161</v>
      </c>
      <c r="F85" s="92">
        <f>VLOOKUP(E85,'условия, ФОТ'!$A$14:$I$32,9, FALSE)</f>
        <v>111.79</v>
      </c>
      <c r="G85" s="94">
        <v>0.6</v>
      </c>
      <c r="H85" s="92">
        <f t="shared" si="37"/>
        <v>67.069999999999993</v>
      </c>
      <c r="I85" s="92">
        <f t="shared" si="43"/>
        <v>20.260000000000002</v>
      </c>
      <c r="J85" s="92">
        <f t="shared" si="34"/>
        <v>87.33</v>
      </c>
      <c r="K85" s="93"/>
      <c r="L85" s="92"/>
      <c r="M85" s="92"/>
      <c r="N85" s="92"/>
      <c r="O85" s="92"/>
      <c r="P85" s="92">
        <f t="shared" si="40"/>
        <v>87.33</v>
      </c>
      <c r="Q85" s="92">
        <f t="shared" si="44"/>
        <v>66.63</v>
      </c>
      <c r="R85" s="148">
        <f t="shared" si="47"/>
        <v>169.17</v>
      </c>
      <c r="S85" s="115">
        <f t="shared" si="45"/>
        <v>33.83</v>
      </c>
      <c r="T85" s="148">
        <f t="shared" si="46"/>
        <v>203</v>
      </c>
      <c r="U85" s="148">
        <v>219</v>
      </c>
      <c r="V85" s="78">
        <f t="shared" si="1"/>
        <v>-7.3059360730593568</v>
      </c>
    </row>
    <row r="86" spans="1:22" ht="30.75" hidden="1" customHeight="1" x14ac:dyDescent="0.25">
      <c r="A86" s="88" t="s">
        <v>449</v>
      </c>
      <c r="B86" s="88" t="s">
        <v>199</v>
      </c>
      <c r="C86" s="90" t="s">
        <v>46</v>
      </c>
      <c r="D86" s="92" t="s">
        <v>198</v>
      </c>
      <c r="E86" s="91" t="s">
        <v>161</v>
      </c>
      <c r="F86" s="92">
        <f>VLOOKUP(E86,'условия, ФОТ'!$A$14:$I$32,9, FALSE)</f>
        <v>111.79</v>
      </c>
      <c r="G86" s="94">
        <v>0.9</v>
      </c>
      <c r="H86" s="92">
        <f t="shared" si="37"/>
        <v>100.61</v>
      </c>
      <c r="I86" s="92">
        <f t="shared" si="43"/>
        <v>30.38</v>
      </c>
      <c r="J86" s="92">
        <f t="shared" si="34"/>
        <v>130.99</v>
      </c>
      <c r="K86" s="93"/>
      <c r="L86" s="92"/>
      <c r="M86" s="92"/>
      <c r="N86" s="92"/>
      <c r="O86" s="92"/>
      <c r="P86" s="92">
        <f t="shared" si="40"/>
        <v>130.99</v>
      </c>
      <c r="Q86" s="92">
        <f t="shared" si="44"/>
        <v>99.95</v>
      </c>
      <c r="R86" s="148">
        <f t="shared" si="47"/>
        <v>254.17</v>
      </c>
      <c r="S86" s="115">
        <f t="shared" si="45"/>
        <v>50.83</v>
      </c>
      <c r="T86" s="148">
        <f t="shared" si="46"/>
        <v>305</v>
      </c>
      <c r="U86" s="148">
        <v>329</v>
      </c>
      <c r="V86" s="78">
        <f t="shared" si="1"/>
        <v>-7.2948328267477223</v>
      </c>
    </row>
    <row r="87" spans="1:22" hidden="1" x14ac:dyDescent="0.25">
      <c r="A87" s="88" t="s">
        <v>450</v>
      </c>
      <c r="B87" s="88" t="s">
        <v>200</v>
      </c>
      <c r="C87" s="90" t="s">
        <v>47</v>
      </c>
      <c r="D87" s="92" t="s">
        <v>26</v>
      </c>
      <c r="E87" s="91" t="s">
        <v>161</v>
      </c>
      <c r="F87" s="92">
        <f>VLOOKUP(E87,'условия, ФОТ'!$A$14:$I$32,9, FALSE)</f>
        <v>111.79</v>
      </c>
      <c r="G87" s="94">
        <v>0.82</v>
      </c>
      <c r="H87" s="92">
        <f t="shared" si="37"/>
        <v>91.67</v>
      </c>
      <c r="I87" s="92">
        <f t="shared" si="43"/>
        <v>27.68</v>
      </c>
      <c r="J87" s="92">
        <f t="shared" si="34"/>
        <v>119.35</v>
      </c>
      <c r="K87" s="93"/>
      <c r="L87" s="92"/>
      <c r="M87" s="92"/>
      <c r="N87" s="92"/>
      <c r="O87" s="92"/>
      <c r="P87" s="92">
        <f t="shared" si="40"/>
        <v>119.35</v>
      </c>
      <c r="Q87" s="92">
        <f t="shared" si="44"/>
        <v>91.06</v>
      </c>
      <c r="R87" s="148">
        <f t="shared" si="47"/>
        <v>231.67</v>
      </c>
      <c r="S87" s="115">
        <f t="shared" si="45"/>
        <v>46.33</v>
      </c>
      <c r="T87" s="148">
        <f t="shared" si="46"/>
        <v>278</v>
      </c>
      <c r="U87" s="148">
        <v>300</v>
      </c>
      <c r="V87" s="78">
        <f t="shared" si="1"/>
        <v>-7.3333333333333428</v>
      </c>
    </row>
    <row r="88" spans="1:22" ht="25.5" hidden="1" x14ac:dyDescent="0.25">
      <c r="A88" s="88" t="s">
        <v>451</v>
      </c>
      <c r="B88" s="88" t="s">
        <v>201</v>
      </c>
      <c r="C88" s="90" t="s">
        <v>48</v>
      </c>
      <c r="D88" s="92" t="s">
        <v>190</v>
      </c>
      <c r="E88" s="91" t="s">
        <v>161</v>
      </c>
      <c r="F88" s="92">
        <f>VLOOKUP(E88,'условия, ФОТ'!$A$14:$I$32,9, FALSE)</f>
        <v>111.79</v>
      </c>
      <c r="G88" s="94">
        <v>0.5</v>
      </c>
      <c r="H88" s="92">
        <f t="shared" si="37"/>
        <v>55.9</v>
      </c>
      <c r="I88" s="92">
        <f t="shared" si="43"/>
        <v>16.88</v>
      </c>
      <c r="J88" s="92">
        <f t="shared" si="34"/>
        <v>72.78</v>
      </c>
      <c r="K88" s="93"/>
      <c r="L88" s="92"/>
      <c r="M88" s="92"/>
      <c r="N88" s="92"/>
      <c r="O88" s="92"/>
      <c r="P88" s="92">
        <f t="shared" si="40"/>
        <v>72.78</v>
      </c>
      <c r="Q88" s="92">
        <f t="shared" si="44"/>
        <v>55.53</v>
      </c>
      <c r="R88" s="148">
        <f t="shared" si="47"/>
        <v>140.83000000000001</v>
      </c>
      <c r="S88" s="115">
        <f t="shared" si="45"/>
        <v>28.17</v>
      </c>
      <c r="T88" s="148">
        <f t="shared" si="46"/>
        <v>169</v>
      </c>
      <c r="U88" s="148">
        <v>183</v>
      </c>
      <c r="V88" s="78">
        <f t="shared" si="1"/>
        <v>-7.6502732240437155</v>
      </c>
    </row>
    <row r="89" spans="1:22" ht="25.5" hidden="1" x14ac:dyDescent="0.25">
      <c r="A89" s="88" t="s">
        <v>452</v>
      </c>
      <c r="B89" s="88" t="s">
        <v>202</v>
      </c>
      <c r="C89" s="90" t="s">
        <v>49</v>
      </c>
      <c r="D89" s="92" t="s">
        <v>190</v>
      </c>
      <c r="E89" s="91" t="s">
        <v>161</v>
      </c>
      <c r="F89" s="92">
        <f>VLOOKUP(E89,'условия, ФОТ'!$A$14:$I$32,9, FALSE)</f>
        <v>111.79</v>
      </c>
      <c r="G89" s="94">
        <v>1</v>
      </c>
      <c r="H89" s="92">
        <f t="shared" si="37"/>
        <v>111.79</v>
      </c>
      <c r="I89" s="92">
        <f t="shared" si="43"/>
        <v>33.76</v>
      </c>
      <c r="J89" s="92">
        <f t="shared" si="34"/>
        <v>145.55000000000001</v>
      </c>
      <c r="K89" s="93"/>
      <c r="L89" s="92"/>
      <c r="M89" s="92"/>
      <c r="N89" s="92"/>
      <c r="O89" s="92"/>
      <c r="P89" s="92">
        <f t="shared" si="40"/>
        <v>145.55000000000001</v>
      </c>
      <c r="Q89" s="92">
        <f t="shared" si="44"/>
        <v>111.05</v>
      </c>
      <c r="R89" s="148">
        <f t="shared" si="47"/>
        <v>282.5</v>
      </c>
      <c r="S89" s="115">
        <f t="shared" si="45"/>
        <v>56.5</v>
      </c>
      <c r="T89" s="148">
        <f t="shared" si="46"/>
        <v>339</v>
      </c>
      <c r="U89" s="148">
        <v>365</v>
      </c>
      <c r="V89" s="78">
        <f t="shared" si="1"/>
        <v>-7.1232876712328874</v>
      </c>
    </row>
    <row r="90" spans="1:22" ht="18" hidden="1" customHeight="1" x14ac:dyDescent="0.25">
      <c r="A90" s="88" t="s">
        <v>453</v>
      </c>
      <c r="B90" s="88" t="s">
        <v>203</v>
      </c>
      <c r="C90" s="90" t="s">
        <v>50</v>
      </c>
      <c r="D90" s="92" t="s">
        <v>190</v>
      </c>
      <c r="E90" s="91" t="s">
        <v>161</v>
      </c>
      <c r="F90" s="92">
        <f>VLOOKUP(E90,'условия, ФОТ'!$A$14:$I$32,9, FALSE)</f>
        <v>111.79</v>
      </c>
      <c r="G90" s="94">
        <v>0.1</v>
      </c>
      <c r="H90" s="92">
        <f t="shared" si="37"/>
        <v>11.18</v>
      </c>
      <c r="I90" s="92">
        <f t="shared" si="43"/>
        <v>3.38</v>
      </c>
      <c r="J90" s="92">
        <f t="shared" si="34"/>
        <v>14.559999999999999</v>
      </c>
      <c r="K90" s="93"/>
      <c r="L90" s="92"/>
      <c r="M90" s="92"/>
      <c r="N90" s="92"/>
      <c r="O90" s="92"/>
      <c r="P90" s="92">
        <f t="shared" si="40"/>
        <v>14.559999999999999</v>
      </c>
      <c r="Q90" s="92">
        <f t="shared" si="44"/>
        <v>11.11</v>
      </c>
      <c r="R90" s="148">
        <f t="shared" si="47"/>
        <v>28.33</v>
      </c>
      <c r="S90" s="115">
        <f t="shared" si="45"/>
        <v>5.67</v>
      </c>
      <c r="T90" s="148">
        <f t="shared" si="46"/>
        <v>34</v>
      </c>
      <c r="U90" s="148">
        <v>37</v>
      </c>
      <c r="V90" s="78">
        <f t="shared" si="1"/>
        <v>-8.1081081081080981</v>
      </c>
    </row>
    <row r="91" spans="1:22" ht="25.5" hidden="1" x14ac:dyDescent="0.25">
      <c r="A91" s="88" t="s">
        <v>454</v>
      </c>
      <c r="B91" s="88" t="s">
        <v>205</v>
      </c>
      <c r="C91" s="90" t="s">
        <v>362</v>
      </c>
      <c r="D91" s="92" t="s">
        <v>204</v>
      </c>
      <c r="E91" s="91" t="s">
        <v>161</v>
      </c>
      <c r="F91" s="92">
        <f>VLOOKUP(E91,'условия, ФОТ'!$A$14:$I$32,9, FALSE)</f>
        <v>111.79</v>
      </c>
      <c r="G91" s="94">
        <v>0.5</v>
      </c>
      <c r="H91" s="92">
        <f t="shared" si="37"/>
        <v>55.9</v>
      </c>
      <c r="I91" s="92">
        <f t="shared" si="43"/>
        <v>16.88</v>
      </c>
      <c r="J91" s="92">
        <f t="shared" si="34"/>
        <v>72.78</v>
      </c>
      <c r="K91" s="93"/>
      <c r="L91" s="92"/>
      <c r="M91" s="92"/>
      <c r="N91" s="92"/>
      <c r="O91" s="92">
        <f>SUM(O92:O94)</f>
        <v>4.03</v>
      </c>
      <c r="P91" s="92">
        <f>J91+O91</f>
        <v>76.81</v>
      </c>
      <c r="Q91" s="92">
        <f t="shared" si="44"/>
        <v>58.61</v>
      </c>
      <c r="R91" s="148">
        <f t="shared" si="47"/>
        <v>149.16999999999999</v>
      </c>
      <c r="S91" s="115">
        <f t="shared" si="45"/>
        <v>29.83</v>
      </c>
      <c r="T91" s="148">
        <f t="shared" si="46"/>
        <v>179</v>
      </c>
      <c r="U91" s="148">
        <v>193</v>
      </c>
      <c r="V91" s="78">
        <f t="shared" si="1"/>
        <v>-7.2538860103626916</v>
      </c>
    </row>
    <row r="92" spans="1:22" ht="23.25" hidden="1" customHeight="1" outlineLevel="1" x14ac:dyDescent="0.25">
      <c r="A92" s="88"/>
      <c r="B92" s="88"/>
      <c r="C92" s="90"/>
      <c r="D92" s="92"/>
      <c r="E92" s="91"/>
      <c r="F92" s="92"/>
      <c r="G92" s="94"/>
      <c r="H92" s="92"/>
      <c r="I92" s="92"/>
      <c r="J92" s="96" t="s">
        <v>366</v>
      </c>
      <c r="K92" s="104" t="s">
        <v>335</v>
      </c>
      <c r="L92" s="98" t="str">
        <f>VLOOKUP(K92,материалы!$A$5:$G$31,5, FALSE)</f>
        <v>кг</v>
      </c>
      <c r="M92" s="92">
        <f>VLOOKUP(K92,материалы!$A$5:$G$31,7, FALSE)</f>
        <v>712.76</v>
      </c>
      <c r="N92" s="92">
        <v>5.0000000000000001E-3</v>
      </c>
      <c r="O92" s="92">
        <f t="shared" ref="O92:O94" si="48">ROUND(M92*N92,2)</f>
        <v>3.56</v>
      </c>
      <c r="P92" s="92"/>
      <c r="Q92" s="92"/>
      <c r="R92" s="115"/>
      <c r="S92" s="115"/>
      <c r="T92" s="115"/>
      <c r="U92" s="148"/>
      <c r="V92" s="78"/>
    </row>
    <row r="93" spans="1:22" ht="16.5" hidden="1" customHeight="1" outlineLevel="1" x14ac:dyDescent="0.25">
      <c r="A93" s="88"/>
      <c r="B93" s="88"/>
      <c r="C93" s="90"/>
      <c r="D93" s="92"/>
      <c r="E93" s="91"/>
      <c r="F93" s="92"/>
      <c r="G93" s="94"/>
      <c r="H93" s="92"/>
      <c r="I93" s="92"/>
      <c r="J93" s="92"/>
      <c r="K93" s="97" t="s">
        <v>329</v>
      </c>
      <c r="L93" s="98" t="str">
        <f>VLOOKUP(K93,материалы!$A$5:$G$31,5, FALSE)</f>
        <v>кг</v>
      </c>
      <c r="M93" s="92">
        <f>VLOOKUP(K93,материалы!$A$5:$G$31,7, FALSE)</f>
        <v>65.599999999999994</v>
      </c>
      <c r="N93" s="92">
        <v>1E-3</v>
      </c>
      <c r="O93" s="92">
        <f t="shared" si="48"/>
        <v>7.0000000000000007E-2</v>
      </c>
      <c r="P93" s="92"/>
      <c r="Q93" s="92"/>
      <c r="R93" s="115"/>
      <c r="S93" s="115"/>
      <c r="T93" s="115"/>
      <c r="U93" s="148"/>
      <c r="V93" s="78"/>
    </row>
    <row r="94" spans="1:22" ht="15.75" hidden="1" customHeight="1" outlineLevel="1" x14ac:dyDescent="0.25">
      <c r="A94" s="88"/>
      <c r="B94" s="88"/>
      <c r="C94" s="90"/>
      <c r="D94" s="92"/>
      <c r="E94" s="91"/>
      <c r="F94" s="92"/>
      <c r="G94" s="94"/>
      <c r="H94" s="92"/>
      <c r="I94" s="92"/>
      <c r="J94" s="92"/>
      <c r="K94" s="97" t="s">
        <v>330</v>
      </c>
      <c r="L94" s="98" t="str">
        <f>VLOOKUP(K94,материалы!$A$5:$G$31,5, FALSE)</f>
        <v>кг</v>
      </c>
      <c r="M94" s="92">
        <f>VLOOKUP(K94,материалы!$A$5:$G$31,7, FALSE)</f>
        <v>39.82</v>
      </c>
      <c r="N94" s="92">
        <v>0.01</v>
      </c>
      <c r="O94" s="92">
        <f t="shared" si="48"/>
        <v>0.4</v>
      </c>
      <c r="P94" s="92"/>
      <c r="Q94" s="92"/>
      <c r="R94" s="115"/>
      <c r="S94" s="115"/>
      <c r="T94" s="115"/>
      <c r="U94" s="148"/>
      <c r="V94" s="78"/>
    </row>
    <row r="95" spans="1:22" ht="31.7" hidden="1" customHeight="1" x14ac:dyDescent="0.25">
      <c r="A95" s="88" t="s">
        <v>455</v>
      </c>
      <c r="B95" s="88" t="s">
        <v>206</v>
      </c>
      <c r="C95" s="90" t="s">
        <v>51</v>
      </c>
      <c r="D95" s="92" t="s">
        <v>198</v>
      </c>
      <c r="E95" s="91" t="s">
        <v>161</v>
      </c>
      <c r="F95" s="92">
        <f>VLOOKUP(E95,'условия, ФОТ'!$A$14:$I$32,9, FALSE)</f>
        <v>111.79</v>
      </c>
      <c r="G95" s="94">
        <v>0.5</v>
      </c>
      <c r="H95" s="92">
        <f t="shared" si="37"/>
        <v>55.9</v>
      </c>
      <c r="I95" s="92">
        <f t="shared" ref="I95:I103" si="49">ROUND(H95*$I$5,2)</f>
        <v>16.88</v>
      </c>
      <c r="J95" s="92">
        <f t="shared" si="34"/>
        <v>72.78</v>
      </c>
      <c r="K95" s="93"/>
      <c r="L95" s="92"/>
      <c r="M95" s="92"/>
      <c r="N95" s="92"/>
      <c r="O95" s="92"/>
      <c r="P95" s="92">
        <f t="shared" si="40"/>
        <v>72.78</v>
      </c>
      <c r="Q95" s="92">
        <f t="shared" ref="Q95:Q103" si="50">ROUND(P95*$Q$5,2)</f>
        <v>55.53</v>
      </c>
      <c r="R95" s="115">
        <f>ROUND(T95/1.2,2)</f>
        <v>140.83000000000001</v>
      </c>
      <c r="S95" s="115">
        <f t="shared" ref="S95:S103" si="51">ROUND(R95*$S$5,2)</f>
        <v>28.17</v>
      </c>
      <c r="T95" s="115">
        <f t="shared" ref="T95:T103" si="52">ROUND((P95+Q95)*(1+$R$5)*1.2,0)</f>
        <v>169</v>
      </c>
      <c r="U95" s="148">
        <v>183</v>
      </c>
      <c r="V95" s="78">
        <f t="shared" si="1"/>
        <v>-7.6502732240437155</v>
      </c>
    </row>
    <row r="96" spans="1:22" ht="23.25" hidden="1" customHeight="1" x14ac:dyDescent="0.25">
      <c r="A96" s="88" t="s">
        <v>456</v>
      </c>
      <c r="B96" s="88" t="s">
        <v>207</v>
      </c>
      <c r="C96" s="90" t="s">
        <v>52</v>
      </c>
      <c r="D96" s="92" t="s">
        <v>180</v>
      </c>
      <c r="E96" s="91" t="s">
        <v>161</v>
      </c>
      <c r="F96" s="92">
        <f>VLOOKUP(E96,'условия, ФОТ'!$A$14:$I$32,9, FALSE)</f>
        <v>111.79</v>
      </c>
      <c r="G96" s="94">
        <v>0.3</v>
      </c>
      <c r="H96" s="92">
        <f t="shared" si="37"/>
        <v>33.54</v>
      </c>
      <c r="I96" s="92">
        <f t="shared" si="49"/>
        <v>10.130000000000001</v>
      </c>
      <c r="J96" s="92">
        <f t="shared" si="34"/>
        <v>43.67</v>
      </c>
      <c r="K96" s="93"/>
      <c r="L96" s="92"/>
      <c r="M96" s="92"/>
      <c r="N96" s="92"/>
      <c r="O96" s="92"/>
      <c r="P96" s="92">
        <f t="shared" si="40"/>
        <v>43.67</v>
      </c>
      <c r="Q96" s="92">
        <f t="shared" si="50"/>
        <v>33.32</v>
      </c>
      <c r="R96" s="148">
        <f t="shared" ref="R96:R103" si="53">ROUND(T96/1.2,2)</f>
        <v>85</v>
      </c>
      <c r="S96" s="115">
        <f t="shared" si="51"/>
        <v>17</v>
      </c>
      <c r="T96" s="148">
        <f t="shared" si="52"/>
        <v>102</v>
      </c>
      <c r="U96" s="148">
        <v>110</v>
      </c>
      <c r="V96" s="78">
        <f t="shared" si="1"/>
        <v>-7.2727272727272805</v>
      </c>
    </row>
    <row r="97" spans="1:22" ht="28.5" hidden="1" customHeight="1" x14ac:dyDescent="0.25">
      <c r="A97" s="88" t="s">
        <v>457</v>
      </c>
      <c r="B97" s="88" t="s">
        <v>208</v>
      </c>
      <c r="C97" s="90" t="s">
        <v>53</v>
      </c>
      <c r="D97" s="92" t="s">
        <v>209</v>
      </c>
      <c r="E97" s="91" t="s">
        <v>161</v>
      </c>
      <c r="F97" s="92">
        <f>VLOOKUP(E97,'условия, ФОТ'!$A$14:$I$32,9, FALSE)</f>
        <v>111.79</v>
      </c>
      <c r="G97" s="94">
        <v>0.67</v>
      </c>
      <c r="H97" s="92">
        <f t="shared" si="37"/>
        <v>74.900000000000006</v>
      </c>
      <c r="I97" s="92">
        <f t="shared" si="49"/>
        <v>22.62</v>
      </c>
      <c r="J97" s="92">
        <f t="shared" si="34"/>
        <v>97.52000000000001</v>
      </c>
      <c r="K97" s="93"/>
      <c r="L97" s="92"/>
      <c r="M97" s="92"/>
      <c r="N97" s="92"/>
      <c r="O97" s="92"/>
      <c r="P97" s="92">
        <f t="shared" si="40"/>
        <v>97.52000000000001</v>
      </c>
      <c r="Q97" s="92">
        <f t="shared" si="50"/>
        <v>74.41</v>
      </c>
      <c r="R97" s="148">
        <f t="shared" si="53"/>
        <v>189.17</v>
      </c>
      <c r="S97" s="115">
        <f t="shared" si="51"/>
        <v>37.83</v>
      </c>
      <c r="T97" s="148">
        <f t="shared" si="52"/>
        <v>227</v>
      </c>
      <c r="U97" s="148">
        <v>245</v>
      </c>
      <c r="V97" s="78">
        <f t="shared" si="1"/>
        <v>-7.3469387755102105</v>
      </c>
    </row>
    <row r="98" spans="1:22" hidden="1" x14ac:dyDescent="0.25">
      <c r="A98" s="88" t="s">
        <v>458</v>
      </c>
      <c r="B98" s="88" t="s">
        <v>210</v>
      </c>
      <c r="C98" s="90" t="s">
        <v>54</v>
      </c>
      <c r="D98" s="92" t="s">
        <v>211</v>
      </c>
      <c r="E98" s="91" t="s">
        <v>161</v>
      </c>
      <c r="F98" s="92">
        <f>VLOOKUP(E98,'условия, ФОТ'!$A$14:$I$32,9, FALSE)</f>
        <v>111.79</v>
      </c>
      <c r="G98" s="94">
        <v>0.17</v>
      </c>
      <c r="H98" s="92">
        <f t="shared" si="37"/>
        <v>19</v>
      </c>
      <c r="I98" s="92">
        <f t="shared" si="49"/>
        <v>5.74</v>
      </c>
      <c r="J98" s="92">
        <f t="shared" si="34"/>
        <v>24.740000000000002</v>
      </c>
      <c r="K98" s="93"/>
      <c r="L98" s="92"/>
      <c r="M98" s="92"/>
      <c r="N98" s="92"/>
      <c r="O98" s="92"/>
      <c r="P98" s="92">
        <f t="shared" si="40"/>
        <v>24.740000000000002</v>
      </c>
      <c r="Q98" s="92">
        <f t="shared" si="50"/>
        <v>18.88</v>
      </c>
      <c r="R98" s="148">
        <f t="shared" si="53"/>
        <v>48.33</v>
      </c>
      <c r="S98" s="115">
        <f t="shared" si="51"/>
        <v>9.67</v>
      </c>
      <c r="T98" s="148">
        <f t="shared" si="52"/>
        <v>58</v>
      </c>
      <c r="U98" s="148">
        <v>62</v>
      </c>
      <c r="V98" s="78">
        <f t="shared" si="1"/>
        <v>-6.4516129032258078</v>
      </c>
    </row>
    <row r="99" spans="1:22" hidden="1" x14ac:dyDescent="0.25">
      <c r="A99" s="88" t="s">
        <v>459</v>
      </c>
      <c r="B99" s="88" t="s">
        <v>212</v>
      </c>
      <c r="C99" s="90" t="s">
        <v>55</v>
      </c>
      <c r="D99" s="92" t="s">
        <v>198</v>
      </c>
      <c r="E99" s="91" t="s">
        <v>161</v>
      </c>
      <c r="F99" s="92">
        <f>VLOOKUP(E99,'условия, ФОТ'!$A$14:$I$32,9, FALSE)</f>
        <v>111.79</v>
      </c>
      <c r="G99" s="94">
        <v>0.5</v>
      </c>
      <c r="H99" s="92">
        <f t="shared" si="37"/>
        <v>55.9</v>
      </c>
      <c r="I99" s="92">
        <f t="shared" si="49"/>
        <v>16.88</v>
      </c>
      <c r="J99" s="92">
        <f t="shared" si="34"/>
        <v>72.78</v>
      </c>
      <c r="K99" s="93"/>
      <c r="L99" s="92"/>
      <c r="M99" s="92"/>
      <c r="N99" s="92"/>
      <c r="O99" s="92"/>
      <c r="P99" s="92">
        <f t="shared" si="40"/>
        <v>72.78</v>
      </c>
      <c r="Q99" s="92">
        <f t="shared" si="50"/>
        <v>55.53</v>
      </c>
      <c r="R99" s="148">
        <f t="shared" si="53"/>
        <v>140.83000000000001</v>
      </c>
      <c r="S99" s="115">
        <f t="shared" si="51"/>
        <v>28.17</v>
      </c>
      <c r="T99" s="148">
        <f t="shared" si="52"/>
        <v>169</v>
      </c>
      <c r="U99" s="148">
        <v>183</v>
      </c>
      <c r="V99" s="78">
        <f t="shared" si="1"/>
        <v>-7.6502732240437155</v>
      </c>
    </row>
    <row r="100" spans="1:22" hidden="1" x14ac:dyDescent="0.25">
      <c r="A100" s="88" t="s">
        <v>460</v>
      </c>
      <c r="B100" s="88" t="s">
        <v>213</v>
      </c>
      <c r="C100" s="90" t="s">
        <v>56</v>
      </c>
      <c r="D100" s="92" t="s">
        <v>177</v>
      </c>
      <c r="E100" s="91" t="s">
        <v>161</v>
      </c>
      <c r="F100" s="92">
        <f>VLOOKUP(E100,'условия, ФОТ'!$A$14:$I$32,9, FALSE)</f>
        <v>111.79</v>
      </c>
      <c r="G100" s="94">
        <v>0.67</v>
      </c>
      <c r="H100" s="92">
        <f t="shared" si="37"/>
        <v>74.900000000000006</v>
      </c>
      <c r="I100" s="92">
        <f t="shared" si="49"/>
        <v>22.62</v>
      </c>
      <c r="J100" s="92">
        <f t="shared" si="34"/>
        <v>97.52000000000001</v>
      </c>
      <c r="K100" s="93"/>
      <c r="L100" s="92"/>
      <c r="M100" s="92"/>
      <c r="N100" s="92"/>
      <c r="O100" s="92"/>
      <c r="P100" s="92">
        <f t="shared" si="40"/>
        <v>97.52000000000001</v>
      </c>
      <c r="Q100" s="92">
        <f t="shared" si="50"/>
        <v>74.41</v>
      </c>
      <c r="R100" s="148">
        <f t="shared" si="53"/>
        <v>189.17</v>
      </c>
      <c r="S100" s="115">
        <f t="shared" si="51"/>
        <v>37.83</v>
      </c>
      <c r="T100" s="148">
        <f t="shared" si="52"/>
        <v>227</v>
      </c>
      <c r="U100" s="148">
        <v>245</v>
      </c>
      <c r="V100" s="78">
        <f t="shared" si="1"/>
        <v>-7.3469387755102105</v>
      </c>
    </row>
    <row r="101" spans="1:22" hidden="1" x14ac:dyDescent="0.25">
      <c r="A101" s="88" t="s">
        <v>461</v>
      </c>
      <c r="B101" s="88" t="s">
        <v>214</v>
      </c>
      <c r="C101" s="90" t="s">
        <v>57</v>
      </c>
      <c r="D101" s="92" t="s">
        <v>215</v>
      </c>
      <c r="E101" s="91" t="s">
        <v>161</v>
      </c>
      <c r="F101" s="92">
        <f>VLOOKUP(E101,'условия, ФОТ'!$A$14:$I$32,9, FALSE)</f>
        <v>111.79</v>
      </c>
      <c r="G101" s="94">
        <v>0.3</v>
      </c>
      <c r="H101" s="92">
        <f t="shared" si="37"/>
        <v>33.54</v>
      </c>
      <c r="I101" s="92">
        <f t="shared" si="49"/>
        <v>10.130000000000001</v>
      </c>
      <c r="J101" s="92">
        <f t="shared" si="34"/>
        <v>43.67</v>
      </c>
      <c r="K101" s="93"/>
      <c r="L101" s="92"/>
      <c r="M101" s="92"/>
      <c r="N101" s="92"/>
      <c r="O101" s="92"/>
      <c r="P101" s="92">
        <f t="shared" si="40"/>
        <v>43.67</v>
      </c>
      <c r="Q101" s="92">
        <f t="shared" si="50"/>
        <v>33.32</v>
      </c>
      <c r="R101" s="148">
        <f t="shared" si="53"/>
        <v>85</v>
      </c>
      <c r="S101" s="115">
        <f t="shared" si="51"/>
        <v>17</v>
      </c>
      <c r="T101" s="148">
        <f t="shared" si="52"/>
        <v>102</v>
      </c>
      <c r="U101" s="148">
        <v>110</v>
      </c>
      <c r="V101" s="78">
        <f t="shared" si="1"/>
        <v>-7.2727272727272805</v>
      </c>
    </row>
    <row r="102" spans="1:22" hidden="1" x14ac:dyDescent="0.25">
      <c r="A102" s="88" t="s">
        <v>462</v>
      </c>
      <c r="B102" s="88" t="s">
        <v>216</v>
      </c>
      <c r="C102" s="90" t="s">
        <v>58</v>
      </c>
      <c r="D102" s="92" t="s">
        <v>215</v>
      </c>
      <c r="E102" s="91" t="s">
        <v>161</v>
      </c>
      <c r="F102" s="92">
        <f>VLOOKUP(E102,'условия, ФОТ'!$A$14:$I$32,9, FALSE)</f>
        <v>111.79</v>
      </c>
      <c r="G102" s="94">
        <v>0.25</v>
      </c>
      <c r="H102" s="92">
        <f t="shared" si="37"/>
        <v>27.95</v>
      </c>
      <c r="I102" s="92">
        <f t="shared" si="49"/>
        <v>8.44</v>
      </c>
      <c r="J102" s="92">
        <f t="shared" si="34"/>
        <v>36.39</v>
      </c>
      <c r="K102" s="93"/>
      <c r="L102" s="92"/>
      <c r="M102" s="92"/>
      <c r="N102" s="92"/>
      <c r="O102" s="92"/>
      <c r="P102" s="92">
        <f t="shared" si="40"/>
        <v>36.39</v>
      </c>
      <c r="Q102" s="92">
        <f t="shared" si="50"/>
        <v>27.77</v>
      </c>
      <c r="R102" s="148">
        <f t="shared" si="53"/>
        <v>70.83</v>
      </c>
      <c r="S102" s="115">
        <f t="shared" si="51"/>
        <v>14.17</v>
      </c>
      <c r="T102" s="148">
        <f t="shared" si="52"/>
        <v>85</v>
      </c>
      <c r="U102" s="148">
        <v>91</v>
      </c>
      <c r="V102" s="78">
        <f t="shared" si="1"/>
        <v>-6.5934065934065984</v>
      </c>
    </row>
    <row r="103" spans="1:22" ht="15.75" hidden="1" customHeight="1" x14ac:dyDescent="0.25">
      <c r="A103" s="88" t="s">
        <v>463</v>
      </c>
      <c r="B103" s="88" t="s">
        <v>217</v>
      </c>
      <c r="C103" s="64" t="s">
        <v>59</v>
      </c>
      <c r="D103" s="92" t="s">
        <v>204</v>
      </c>
      <c r="E103" s="91" t="s">
        <v>161</v>
      </c>
      <c r="F103" s="92">
        <f>VLOOKUP(E103,'условия, ФОТ'!$A$14:$I$32,9, FALSE)</f>
        <v>111.79</v>
      </c>
      <c r="G103" s="94">
        <v>0.6</v>
      </c>
      <c r="H103" s="92">
        <f t="shared" si="37"/>
        <v>67.069999999999993</v>
      </c>
      <c r="I103" s="92">
        <f t="shared" si="49"/>
        <v>20.260000000000002</v>
      </c>
      <c r="J103" s="92">
        <f t="shared" si="34"/>
        <v>87.33</v>
      </c>
      <c r="K103" s="93"/>
      <c r="L103" s="92"/>
      <c r="M103" s="92"/>
      <c r="N103" s="92"/>
      <c r="O103" s="92">
        <f>SUM(O104:O107)</f>
        <v>13.469999999999999</v>
      </c>
      <c r="P103" s="92">
        <f t="shared" si="40"/>
        <v>100.8</v>
      </c>
      <c r="Q103" s="92">
        <f t="shared" si="50"/>
        <v>76.91</v>
      </c>
      <c r="R103" s="148">
        <f t="shared" si="53"/>
        <v>195.83</v>
      </c>
      <c r="S103" s="115">
        <f t="shared" si="51"/>
        <v>39.17</v>
      </c>
      <c r="T103" s="148">
        <f t="shared" si="52"/>
        <v>235</v>
      </c>
      <c r="U103" s="148">
        <v>248</v>
      </c>
      <c r="V103" s="78">
        <f t="shared" si="1"/>
        <v>-5.2419354838709609</v>
      </c>
    </row>
    <row r="104" spans="1:22" ht="25.5" hidden="1" outlineLevel="1" x14ac:dyDescent="0.25">
      <c r="A104" s="88"/>
      <c r="B104" s="88"/>
      <c r="C104" s="90"/>
      <c r="D104" s="92"/>
      <c r="E104" s="91"/>
      <c r="F104" s="92"/>
      <c r="G104" s="94"/>
      <c r="H104" s="92"/>
      <c r="I104" s="92"/>
      <c r="J104" s="96" t="s">
        <v>366</v>
      </c>
      <c r="K104" s="104" t="s">
        <v>335</v>
      </c>
      <c r="L104" s="98" t="str">
        <f>VLOOKUP(K104,материалы!$A$5:$G$31,5, FALSE)</f>
        <v>кг</v>
      </c>
      <c r="M104" s="92">
        <f>VLOOKUP(K104,материалы!$A$5:$G$31,7, FALSE)</f>
        <v>712.76</v>
      </c>
      <c r="N104" s="92">
        <v>5.0000000000000001E-3</v>
      </c>
      <c r="O104" s="92">
        <f>ROUND(M104*N104,2)</f>
        <v>3.56</v>
      </c>
      <c r="P104" s="92"/>
      <c r="Q104" s="92"/>
      <c r="R104" s="115"/>
      <c r="S104" s="115"/>
      <c r="T104" s="115"/>
      <c r="U104" s="148"/>
      <c r="V104" s="78"/>
    </row>
    <row r="105" spans="1:22" hidden="1" outlineLevel="1" x14ac:dyDescent="0.25">
      <c r="A105" s="88"/>
      <c r="B105" s="88"/>
      <c r="C105" s="90"/>
      <c r="D105" s="92"/>
      <c r="E105" s="91"/>
      <c r="F105" s="92"/>
      <c r="G105" s="94"/>
      <c r="H105" s="92"/>
      <c r="I105" s="92"/>
      <c r="J105" s="92"/>
      <c r="K105" s="97" t="s">
        <v>329</v>
      </c>
      <c r="L105" s="98" t="str">
        <f>VLOOKUP(K105,материалы!$A$5:$G$31,5, FALSE)</f>
        <v>кг</v>
      </c>
      <c r="M105" s="92">
        <f>VLOOKUP(K105,материалы!$A$5:$G$31,7, FALSE)</f>
        <v>65.599999999999994</v>
      </c>
      <c r="N105" s="92">
        <v>1E-3</v>
      </c>
      <c r="O105" s="92">
        <f t="shared" ref="O105:O107" si="54">ROUND(M105*N105,2)</f>
        <v>7.0000000000000007E-2</v>
      </c>
      <c r="P105" s="92"/>
      <c r="Q105" s="92"/>
      <c r="R105" s="115"/>
      <c r="S105" s="115"/>
      <c r="T105" s="115"/>
      <c r="U105" s="148"/>
      <c r="V105" s="78"/>
    </row>
    <row r="106" spans="1:22" hidden="1" outlineLevel="1" x14ac:dyDescent="0.25">
      <c r="A106" s="88"/>
      <c r="B106" s="88"/>
      <c r="C106" s="90"/>
      <c r="D106" s="92"/>
      <c r="E106" s="91"/>
      <c r="F106" s="92"/>
      <c r="G106" s="94"/>
      <c r="H106" s="92"/>
      <c r="I106" s="92"/>
      <c r="J106" s="92"/>
      <c r="K106" s="97" t="s">
        <v>330</v>
      </c>
      <c r="L106" s="98" t="str">
        <f>VLOOKUP(K106,материалы!$A$5:$G$31,5, FALSE)</f>
        <v>кг</v>
      </c>
      <c r="M106" s="92">
        <f>VLOOKUP(K106,материалы!$A$5:$G$31,7, FALSE)</f>
        <v>39.82</v>
      </c>
      <c r="N106" s="92">
        <v>0.01</v>
      </c>
      <c r="O106" s="92">
        <f t="shared" si="54"/>
        <v>0.4</v>
      </c>
      <c r="P106" s="92"/>
      <c r="Q106" s="92"/>
      <c r="R106" s="115"/>
      <c r="S106" s="115"/>
      <c r="T106" s="115"/>
      <c r="U106" s="148"/>
      <c r="V106" s="78"/>
    </row>
    <row r="107" spans="1:22" ht="25.5" hidden="1" outlineLevel="1" x14ac:dyDescent="0.25">
      <c r="A107" s="88"/>
      <c r="B107" s="88"/>
      <c r="C107" s="90"/>
      <c r="D107" s="92"/>
      <c r="E107" s="91"/>
      <c r="F107" s="92"/>
      <c r="G107" s="94"/>
      <c r="H107" s="92"/>
      <c r="I107" s="92"/>
      <c r="J107" s="92"/>
      <c r="K107" s="97" t="s">
        <v>332</v>
      </c>
      <c r="L107" s="98" t="str">
        <f>VLOOKUP(K107,материалы!$A$5:$G$31,5, FALSE)</f>
        <v>шт.</v>
      </c>
      <c r="M107" s="92">
        <f>VLOOKUP(K107,материалы!$A$5:$G$31,7, FALSE)</f>
        <v>9.44</v>
      </c>
      <c r="N107" s="92">
        <v>1</v>
      </c>
      <c r="O107" s="92">
        <f t="shared" si="54"/>
        <v>9.44</v>
      </c>
      <c r="P107" s="92"/>
      <c r="Q107" s="92"/>
      <c r="R107" s="115"/>
      <c r="S107" s="115"/>
      <c r="T107" s="115"/>
      <c r="U107" s="148"/>
      <c r="V107" s="78"/>
    </row>
    <row r="108" spans="1:22" ht="22.7" hidden="1" customHeight="1" x14ac:dyDescent="0.25">
      <c r="A108" s="597" t="s">
        <v>226</v>
      </c>
      <c r="B108" s="597"/>
      <c r="C108" s="597"/>
      <c r="D108" s="597"/>
      <c r="E108" s="597"/>
      <c r="F108" s="597"/>
      <c r="G108" s="597"/>
      <c r="H108" s="597"/>
      <c r="I108" s="597"/>
      <c r="J108" s="597"/>
      <c r="K108" s="597"/>
      <c r="L108" s="597"/>
      <c r="M108" s="597"/>
      <c r="N108" s="597"/>
      <c r="O108" s="597"/>
      <c r="P108" s="597"/>
      <c r="Q108" s="597"/>
      <c r="R108" s="597"/>
      <c r="S108" s="597"/>
      <c r="T108" s="597"/>
      <c r="U108" s="597"/>
      <c r="V108" s="78"/>
    </row>
    <row r="109" spans="1:22" ht="49.7" hidden="1" customHeight="1" x14ac:dyDescent="0.25">
      <c r="A109" s="88" t="s">
        <v>464</v>
      </c>
      <c r="B109" s="88" t="s">
        <v>218</v>
      </c>
      <c r="C109" s="90" t="s">
        <v>372</v>
      </c>
      <c r="D109" s="111" t="s">
        <v>230</v>
      </c>
      <c r="E109" s="91" t="s">
        <v>162</v>
      </c>
      <c r="F109" s="92">
        <f>VLOOKUP(E109,'условия, ФОТ'!$A$14:$I$32,9, FALSE)</f>
        <v>164.09</v>
      </c>
      <c r="G109" s="94">
        <v>3</v>
      </c>
      <c r="H109" s="92">
        <f t="shared" si="37"/>
        <v>492.27</v>
      </c>
      <c r="I109" s="92">
        <f>ROUND(H109*$I$5,2)</f>
        <v>148.66999999999999</v>
      </c>
      <c r="J109" s="92">
        <f t="shared" si="34"/>
        <v>640.93999999999994</v>
      </c>
      <c r="K109" s="93"/>
      <c r="L109" s="92"/>
      <c r="M109" s="92"/>
      <c r="N109" s="92"/>
      <c r="O109" s="92">
        <f>SUM(O110:O114)</f>
        <v>26.89</v>
      </c>
      <c r="P109" s="92">
        <f>J109+O109</f>
        <v>667.82999999999993</v>
      </c>
      <c r="Q109" s="92">
        <f>ROUND(P109*$Q$5,2)</f>
        <v>509.55</v>
      </c>
      <c r="R109" s="115">
        <f>ROUND(T109/1.2,2)</f>
        <v>1295</v>
      </c>
      <c r="S109" s="115">
        <f>ROUND(R109*$S$5,2)</f>
        <v>259</v>
      </c>
      <c r="T109" s="115">
        <f>ROUND((P109+Q109)*(1+$R$5)*1.2,0)</f>
        <v>1554</v>
      </c>
      <c r="U109" s="148">
        <v>1307</v>
      </c>
      <c r="V109" s="78">
        <f t="shared" si="1"/>
        <v>18.898240244835506</v>
      </c>
    </row>
    <row r="110" spans="1:22" ht="29.25" hidden="1" customHeight="1" outlineLevel="1" x14ac:dyDescent="0.25">
      <c r="A110" s="88"/>
      <c r="B110" s="88"/>
      <c r="C110" s="90"/>
      <c r="D110" s="111"/>
      <c r="E110" s="91"/>
      <c r="F110" s="92"/>
      <c r="G110" s="94"/>
      <c r="H110" s="92"/>
      <c r="I110" s="92"/>
      <c r="J110" s="96" t="s">
        <v>366</v>
      </c>
      <c r="K110" s="104" t="s">
        <v>333</v>
      </c>
      <c r="L110" s="98" t="str">
        <f>VLOOKUP(K110,материалы!$A$5:$G$31,5, FALSE)</f>
        <v>кг</v>
      </c>
      <c r="M110" s="92">
        <f>VLOOKUP(K110,материалы!$A$5:$G$31,7, FALSE)</f>
        <v>302.41000000000003</v>
      </c>
      <c r="N110" s="92">
        <v>0.05</v>
      </c>
      <c r="O110" s="92">
        <f>ROUND(M110*N110,2)</f>
        <v>15.12</v>
      </c>
      <c r="P110" s="92"/>
      <c r="Q110" s="92"/>
      <c r="R110" s="115"/>
      <c r="S110" s="115"/>
      <c r="T110" s="115"/>
      <c r="U110" s="148"/>
      <c r="V110" s="78"/>
    </row>
    <row r="111" spans="1:22" ht="24" hidden="1" customHeight="1" outlineLevel="1" x14ac:dyDescent="0.25">
      <c r="A111" s="88"/>
      <c r="B111" s="88"/>
      <c r="C111" s="90"/>
      <c r="D111" s="111"/>
      <c r="E111" s="91"/>
      <c r="F111" s="92"/>
      <c r="G111" s="94"/>
      <c r="H111" s="92"/>
      <c r="I111" s="92"/>
      <c r="J111" s="95"/>
      <c r="K111" s="104" t="s">
        <v>335</v>
      </c>
      <c r="L111" s="98" t="str">
        <f>VLOOKUP(K111,материалы!$A$5:$G$31,5, FALSE)</f>
        <v>кг</v>
      </c>
      <c r="M111" s="92">
        <f>VLOOKUP(K111,материалы!$A$5:$G$31,7, FALSE)</f>
        <v>712.76</v>
      </c>
      <c r="N111" s="92">
        <v>5.0000000000000001E-3</v>
      </c>
      <c r="O111" s="92">
        <f>ROUND(M111*N111,2)</f>
        <v>3.56</v>
      </c>
      <c r="P111" s="92"/>
      <c r="Q111" s="92"/>
      <c r="R111" s="115"/>
      <c r="S111" s="115"/>
      <c r="T111" s="115"/>
      <c r="U111" s="148"/>
      <c r="V111" s="78"/>
    </row>
    <row r="112" spans="1:22" ht="24.75" hidden="1" customHeight="1" outlineLevel="1" x14ac:dyDescent="0.25">
      <c r="A112" s="88"/>
      <c r="B112" s="88"/>
      <c r="C112" s="90"/>
      <c r="D112" s="111"/>
      <c r="E112" s="91"/>
      <c r="F112" s="92"/>
      <c r="G112" s="94"/>
      <c r="H112" s="92"/>
      <c r="I112" s="92"/>
      <c r="J112" s="92"/>
      <c r="K112" s="104" t="s">
        <v>342</v>
      </c>
      <c r="L112" s="98" t="str">
        <f>VLOOKUP(K112,материалы!$A$5:$G$31,5, FALSE)</f>
        <v>шт.</v>
      </c>
      <c r="M112" s="92">
        <f>VLOOKUP(K112,материалы!$A$5:$G$31,7, FALSE)</f>
        <v>30.94</v>
      </c>
      <c r="N112" s="92">
        <v>0.25</v>
      </c>
      <c r="O112" s="92">
        <f>ROUND(M112*N112,2)</f>
        <v>7.74</v>
      </c>
      <c r="P112" s="92"/>
      <c r="Q112" s="92"/>
      <c r="R112" s="115"/>
      <c r="S112" s="115"/>
      <c r="T112" s="115"/>
      <c r="U112" s="148"/>
      <c r="V112" s="78"/>
    </row>
    <row r="113" spans="1:22" hidden="1" outlineLevel="1" x14ac:dyDescent="0.25">
      <c r="A113" s="88"/>
      <c r="B113" s="88"/>
      <c r="C113" s="90"/>
      <c r="D113" s="111"/>
      <c r="E113" s="91"/>
      <c r="F113" s="92"/>
      <c r="G113" s="94"/>
      <c r="H113" s="92"/>
      <c r="I113" s="92"/>
      <c r="J113" s="92"/>
      <c r="K113" s="97" t="s">
        <v>329</v>
      </c>
      <c r="L113" s="98" t="str">
        <f>VLOOKUP(K113,материалы!$A$5:$G$31,5, FALSE)</f>
        <v>кг</v>
      </c>
      <c r="M113" s="92">
        <f>VLOOKUP(K113,материалы!$A$5:$G$31,7, FALSE)</f>
        <v>65.599999999999994</v>
      </c>
      <c r="N113" s="92">
        <v>1E-3</v>
      </c>
      <c r="O113" s="92">
        <f t="shared" ref="O113:O114" si="55">ROUND(M113*N113,2)</f>
        <v>7.0000000000000007E-2</v>
      </c>
      <c r="P113" s="92"/>
      <c r="Q113" s="92"/>
      <c r="R113" s="115"/>
      <c r="S113" s="115"/>
      <c r="T113" s="115"/>
      <c r="U113" s="148"/>
      <c r="V113" s="78"/>
    </row>
    <row r="114" spans="1:22" hidden="1" outlineLevel="1" x14ac:dyDescent="0.25">
      <c r="A114" s="88"/>
      <c r="B114" s="88"/>
      <c r="C114" s="90"/>
      <c r="D114" s="111"/>
      <c r="E114" s="91"/>
      <c r="F114" s="92"/>
      <c r="G114" s="94"/>
      <c r="H114" s="92"/>
      <c r="I114" s="92"/>
      <c r="J114" s="92"/>
      <c r="K114" s="97" t="s">
        <v>330</v>
      </c>
      <c r="L114" s="98" t="str">
        <f>VLOOKUP(K114,материалы!$A$5:$G$31,5, FALSE)</f>
        <v>кг</v>
      </c>
      <c r="M114" s="92">
        <f>VLOOKUP(K114,материалы!$A$5:$G$31,7, FALSE)</f>
        <v>39.82</v>
      </c>
      <c r="N114" s="92">
        <v>0.01</v>
      </c>
      <c r="O114" s="92">
        <f t="shared" si="55"/>
        <v>0.4</v>
      </c>
      <c r="P114" s="92"/>
      <c r="Q114" s="92"/>
      <c r="R114" s="115"/>
      <c r="S114" s="115"/>
      <c r="T114" s="115"/>
      <c r="U114" s="148"/>
      <c r="V114" s="78"/>
    </row>
    <row r="115" spans="1:22" ht="42" hidden="1" customHeight="1" x14ac:dyDescent="0.25">
      <c r="A115" s="88" t="s">
        <v>465</v>
      </c>
      <c r="B115" s="88" t="s">
        <v>218</v>
      </c>
      <c r="C115" s="90" t="s">
        <v>227</v>
      </c>
      <c r="D115" s="111" t="s">
        <v>230</v>
      </c>
      <c r="E115" s="91" t="s">
        <v>162</v>
      </c>
      <c r="F115" s="92">
        <f>VLOOKUP(E115,'условия, ФОТ'!$A$14:$I$32,9, FALSE)</f>
        <v>164.09</v>
      </c>
      <c r="G115" s="94">
        <v>2.5</v>
      </c>
      <c r="H115" s="92">
        <f t="shared" si="37"/>
        <v>410.23</v>
      </c>
      <c r="I115" s="92">
        <f>ROUND(H115*$I$5,2)</f>
        <v>123.89</v>
      </c>
      <c r="J115" s="92">
        <f t="shared" si="34"/>
        <v>534.12</v>
      </c>
      <c r="K115" s="93"/>
      <c r="L115" s="92"/>
      <c r="M115" s="92"/>
      <c r="N115" s="92"/>
      <c r="O115" s="92">
        <f>SUM(O116:O120)</f>
        <v>26.89</v>
      </c>
      <c r="P115" s="92">
        <f t="shared" si="40"/>
        <v>561.01</v>
      </c>
      <c r="Q115" s="92">
        <f>ROUND(P115*$Q$5,2)</f>
        <v>428.05</v>
      </c>
      <c r="R115" s="115">
        <f>ROUND(T115/1.2,2)</f>
        <v>1088.33</v>
      </c>
      <c r="S115" s="115">
        <f>ROUND(R115*$S$5,2)</f>
        <v>217.67</v>
      </c>
      <c r="T115" s="115">
        <f>ROUND((P115+Q115)*(1+$R$5)*1.2,0)</f>
        <v>1306</v>
      </c>
      <c r="U115" s="148">
        <v>1101</v>
      </c>
      <c r="V115" s="78">
        <f t="shared" si="1"/>
        <v>18.619436875567658</v>
      </c>
    </row>
    <row r="116" spans="1:22" ht="24.75" hidden="1" customHeight="1" outlineLevel="1" x14ac:dyDescent="0.25">
      <c r="A116" s="88"/>
      <c r="B116" s="88"/>
      <c r="C116" s="90"/>
      <c r="D116" s="111"/>
      <c r="E116" s="91"/>
      <c r="F116" s="92"/>
      <c r="G116" s="94"/>
      <c r="H116" s="92"/>
      <c r="I116" s="92"/>
      <c r="J116" s="96" t="s">
        <v>366</v>
      </c>
      <c r="K116" s="104" t="s">
        <v>335</v>
      </c>
      <c r="L116" s="98" t="str">
        <f>VLOOKUP(K116,материалы!$A$5:$G$31,5, FALSE)</f>
        <v>кг</v>
      </c>
      <c r="M116" s="92">
        <f>VLOOKUP(K116,материалы!$A$5:$G$31,7, FALSE)</f>
        <v>712.76</v>
      </c>
      <c r="N116" s="92">
        <v>5.0000000000000001E-3</v>
      </c>
      <c r="O116" s="92">
        <f>ROUND(M116*N116,2)</f>
        <v>3.56</v>
      </c>
      <c r="P116" s="92"/>
      <c r="Q116" s="92"/>
      <c r="R116" s="115"/>
      <c r="S116" s="115"/>
      <c r="T116" s="115"/>
      <c r="U116" s="148"/>
      <c r="V116" s="78"/>
    </row>
    <row r="117" spans="1:22" ht="24.75" hidden="1" customHeight="1" outlineLevel="1" x14ac:dyDescent="0.25">
      <c r="A117" s="88"/>
      <c r="B117" s="88"/>
      <c r="C117" s="90"/>
      <c r="D117" s="111"/>
      <c r="E117" s="91"/>
      <c r="F117" s="92"/>
      <c r="G117" s="94"/>
      <c r="H117" s="92"/>
      <c r="I117" s="92"/>
      <c r="J117" s="96"/>
      <c r="K117" s="104" t="s">
        <v>333</v>
      </c>
      <c r="L117" s="98" t="str">
        <f>VLOOKUP(K117,материалы!$A$5:$G$31,5, FALSE)</f>
        <v>кг</v>
      </c>
      <c r="M117" s="92">
        <f>VLOOKUP(K117,материалы!$A$5:$G$31,7, FALSE)</f>
        <v>302.41000000000003</v>
      </c>
      <c r="N117" s="92">
        <v>0.05</v>
      </c>
      <c r="O117" s="92">
        <f>ROUND(M117*N117,2)</f>
        <v>15.12</v>
      </c>
      <c r="P117" s="92"/>
      <c r="Q117" s="92"/>
      <c r="R117" s="115"/>
      <c r="S117" s="115"/>
      <c r="T117" s="115"/>
      <c r="U117" s="148"/>
      <c r="V117" s="78"/>
    </row>
    <row r="118" spans="1:22" ht="29.25" hidden="1" customHeight="1" outlineLevel="1" x14ac:dyDescent="0.25">
      <c r="A118" s="88"/>
      <c r="B118" s="88"/>
      <c r="C118" s="90"/>
      <c r="D118" s="111"/>
      <c r="E118" s="91"/>
      <c r="F118" s="92"/>
      <c r="G118" s="94"/>
      <c r="H118" s="92"/>
      <c r="I118" s="92"/>
      <c r="J118" s="92"/>
      <c r="K118" s="104" t="s">
        <v>342</v>
      </c>
      <c r="L118" s="98" t="str">
        <f>VLOOKUP(K118,материалы!$A$5:$G$31,5, FALSE)</f>
        <v>шт.</v>
      </c>
      <c r="M118" s="92">
        <f>VLOOKUP(K118,материалы!$A$5:$G$31,7, FALSE)</f>
        <v>30.94</v>
      </c>
      <c r="N118" s="92">
        <v>0.25</v>
      </c>
      <c r="O118" s="92">
        <f>ROUND(M118*N118,2)</f>
        <v>7.74</v>
      </c>
      <c r="P118" s="92"/>
      <c r="Q118" s="92"/>
      <c r="R118" s="115"/>
      <c r="S118" s="115"/>
      <c r="T118" s="115"/>
      <c r="U118" s="148"/>
      <c r="V118" s="78"/>
    </row>
    <row r="119" spans="1:22" hidden="1" outlineLevel="1" x14ac:dyDescent="0.25">
      <c r="A119" s="88"/>
      <c r="B119" s="88"/>
      <c r="C119" s="90"/>
      <c r="D119" s="111"/>
      <c r="E119" s="91"/>
      <c r="F119" s="92"/>
      <c r="G119" s="94"/>
      <c r="H119" s="92"/>
      <c r="I119" s="92"/>
      <c r="J119" s="92"/>
      <c r="K119" s="97" t="s">
        <v>329</v>
      </c>
      <c r="L119" s="98" t="str">
        <f>VLOOKUP(K119,материалы!$A$5:$G$31,5, FALSE)</f>
        <v>кг</v>
      </c>
      <c r="M119" s="92">
        <f>VLOOKUP(K119,материалы!$A$5:$G$31,7, FALSE)</f>
        <v>65.599999999999994</v>
      </c>
      <c r="N119" s="92">
        <v>1E-3</v>
      </c>
      <c r="O119" s="92">
        <f t="shared" ref="O119:O120" si="56">ROUND(M119*N119,2)</f>
        <v>7.0000000000000007E-2</v>
      </c>
      <c r="P119" s="92"/>
      <c r="Q119" s="92"/>
      <c r="R119" s="115"/>
      <c r="S119" s="115"/>
      <c r="T119" s="115"/>
      <c r="U119" s="148"/>
      <c r="V119" s="78"/>
    </row>
    <row r="120" spans="1:22" hidden="1" outlineLevel="1" x14ac:dyDescent="0.25">
      <c r="A120" s="88"/>
      <c r="B120" s="88"/>
      <c r="C120" s="90"/>
      <c r="D120" s="111"/>
      <c r="E120" s="91"/>
      <c r="F120" s="92"/>
      <c r="G120" s="94"/>
      <c r="H120" s="92"/>
      <c r="I120" s="92"/>
      <c r="J120" s="92"/>
      <c r="K120" s="97" t="s">
        <v>330</v>
      </c>
      <c r="L120" s="98" t="str">
        <f>VLOOKUP(K120,материалы!$A$5:$G$31,5, FALSE)</f>
        <v>кг</v>
      </c>
      <c r="M120" s="92">
        <f>VLOOKUP(K120,материалы!$A$5:$G$31,7, FALSE)</f>
        <v>39.82</v>
      </c>
      <c r="N120" s="92">
        <v>0.01</v>
      </c>
      <c r="O120" s="92">
        <f t="shared" si="56"/>
        <v>0.4</v>
      </c>
      <c r="P120" s="92"/>
      <c r="Q120" s="92"/>
      <c r="R120" s="115"/>
      <c r="S120" s="115"/>
      <c r="T120" s="115"/>
      <c r="U120" s="148"/>
      <c r="V120" s="78"/>
    </row>
    <row r="121" spans="1:22" ht="21.75" hidden="1" customHeight="1" x14ac:dyDescent="0.25">
      <c r="A121" s="88" t="s">
        <v>466</v>
      </c>
      <c r="B121" s="88" t="s">
        <v>219</v>
      </c>
      <c r="C121" s="64" t="s">
        <v>228</v>
      </c>
      <c r="D121" s="92" t="s">
        <v>230</v>
      </c>
      <c r="E121" s="91" t="s">
        <v>162</v>
      </c>
      <c r="F121" s="92">
        <f>VLOOKUP(E121,'условия, ФОТ'!$A$14:$I$32,9, FALSE)</f>
        <v>164.09</v>
      </c>
      <c r="G121" s="94">
        <v>1.2</v>
      </c>
      <c r="H121" s="92">
        <f t="shared" si="37"/>
        <v>196.91</v>
      </c>
      <c r="I121" s="92">
        <f>ROUND(H121*$I$5,2)</f>
        <v>59.47</v>
      </c>
      <c r="J121" s="92">
        <f t="shared" si="34"/>
        <v>256.38</v>
      </c>
      <c r="K121" s="93"/>
      <c r="L121" s="92"/>
      <c r="M121" s="92"/>
      <c r="N121" s="92"/>
      <c r="O121" s="92"/>
      <c r="P121" s="92">
        <f t="shared" si="40"/>
        <v>256.38</v>
      </c>
      <c r="Q121" s="92">
        <f>ROUND(P121*$Q$5,2)</f>
        <v>195.62</v>
      </c>
      <c r="R121" s="115">
        <f>ROUND(T121/1.2,2)</f>
        <v>497.5</v>
      </c>
      <c r="S121" s="115">
        <f>ROUND(R121*$S$5,2)</f>
        <v>99.5</v>
      </c>
      <c r="T121" s="115">
        <f>ROUND((P121+Q121)*(1+$R$5)*1.2,0)</f>
        <v>597</v>
      </c>
      <c r="U121" s="148">
        <v>496</v>
      </c>
      <c r="V121" s="78">
        <f t="shared" si="1"/>
        <v>20.362903225806448</v>
      </c>
    </row>
    <row r="122" spans="1:22" ht="14.25" hidden="1" customHeight="1" x14ac:dyDescent="0.25">
      <c r="A122" s="590" t="s">
        <v>467</v>
      </c>
      <c r="B122" s="593" t="s">
        <v>221</v>
      </c>
      <c r="C122" s="589" t="s">
        <v>229</v>
      </c>
      <c r="D122" s="609" t="s">
        <v>230</v>
      </c>
      <c r="E122" s="91" t="s">
        <v>162</v>
      </c>
      <c r="F122" s="92">
        <f>VLOOKUP(E122,'условия, ФОТ'!$A$14:$I$32,9, FALSE)</f>
        <v>164.09</v>
      </c>
      <c r="G122" s="94">
        <f>1.2+0.68</f>
        <v>1.88</v>
      </c>
      <c r="H122" s="592">
        <f>ROUND((F122*G122+F123*G123),2)</f>
        <v>434.83</v>
      </c>
      <c r="I122" s="592">
        <f>ROUND(H122*$I$5,2)</f>
        <v>131.32</v>
      </c>
      <c r="J122" s="592">
        <f>H122+I122</f>
        <v>566.15</v>
      </c>
      <c r="K122" s="591"/>
      <c r="L122" s="592"/>
      <c r="M122" s="592"/>
      <c r="N122" s="592"/>
      <c r="O122" s="592">
        <f>SUM(O124:O130)</f>
        <v>78.88</v>
      </c>
      <c r="P122" s="592">
        <f>J122+O122</f>
        <v>645.03</v>
      </c>
      <c r="Q122" s="592">
        <f>ROUND(P122*$Q$5,2)</f>
        <v>492.16</v>
      </c>
      <c r="R122" s="594">
        <f>ROUND(T122/1.2,2)</f>
        <v>1250.83</v>
      </c>
      <c r="S122" s="596">
        <f>ROUND(R122*$S$5,2)</f>
        <v>250.17</v>
      </c>
      <c r="T122" s="596">
        <f>ROUND((P122+Q122)*(1+$R$5)*1.2,0)</f>
        <v>1501</v>
      </c>
      <c r="U122" s="594">
        <v>1388</v>
      </c>
      <c r="V122" s="601">
        <f t="shared" si="1"/>
        <v>8.141210374639769</v>
      </c>
    </row>
    <row r="123" spans="1:22" ht="15.75" hidden="1" customHeight="1" x14ac:dyDescent="0.25">
      <c r="A123" s="590"/>
      <c r="B123" s="593"/>
      <c r="C123" s="589"/>
      <c r="D123" s="609"/>
      <c r="E123" s="91" t="s">
        <v>166</v>
      </c>
      <c r="F123" s="92">
        <f>VLOOKUP(E123,'условия, ФОТ'!$A$14:$I$32,9, FALSE)</f>
        <v>185.8</v>
      </c>
      <c r="G123" s="94">
        <v>0.68</v>
      </c>
      <c r="H123" s="592">
        <f t="shared" ref="H123:H132" si="57">ROUND(F123*G123,2)</f>
        <v>126.34</v>
      </c>
      <c r="I123" s="592">
        <f>ROUND(H123*$I$5,2)</f>
        <v>38.15</v>
      </c>
      <c r="J123" s="592">
        <f t="shared" ref="J123" si="58">H123+I123</f>
        <v>164.49</v>
      </c>
      <c r="K123" s="591"/>
      <c r="L123" s="592"/>
      <c r="M123" s="592"/>
      <c r="N123" s="592"/>
      <c r="O123" s="592"/>
      <c r="P123" s="592"/>
      <c r="Q123" s="592">
        <f>ROUND(P123*$Q$5,2)</f>
        <v>0</v>
      </c>
      <c r="R123" s="595"/>
      <c r="S123" s="596">
        <f>ROUND(R123*$S$5,2)</f>
        <v>0</v>
      </c>
      <c r="T123" s="596">
        <f>ROUND((P123+Q123)*(1+$R$5)*1.18,0)</f>
        <v>0</v>
      </c>
      <c r="U123" s="595"/>
      <c r="V123" s="601"/>
    </row>
    <row r="124" spans="1:22" ht="15.75" hidden="1" customHeight="1" outlineLevel="1" x14ac:dyDescent="0.25">
      <c r="A124" s="88"/>
      <c r="B124" s="114"/>
      <c r="C124" s="90"/>
      <c r="D124" s="111"/>
      <c r="E124" s="91"/>
      <c r="F124" s="92"/>
      <c r="G124" s="94"/>
      <c r="H124" s="92"/>
      <c r="I124" s="92"/>
      <c r="J124" s="96" t="s">
        <v>366</v>
      </c>
      <c r="K124" s="104" t="s">
        <v>324</v>
      </c>
      <c r="L124" s="98" t="str">
        <f>VLOOKUP(K124,материалы!$A$5:$G$31,5, FALSE)</f>
        <v>м3</v>
      </c>
      <c r="M124" s="92">
        <f>VLOOKUP(K124,материалы!$A$5:$G$31,7, FALSE)</f>
        <v>54.61</v>
      </c>
      <c r="N124" s="92">
        <v>0.15</v>
      </c>
      <c r="O124" s="92">
        <f t="shared" ref="O124:O130" si="59">ROUND(M124*N124,2)</f>
        <v>8.19</v>
      </c>
      <c r="P124" s="92"/>
      <c r="Q124" s="92"/>
      <c r="R124" s="115"/>
      <c r="S124" s="115"/>
      <c r="T124" s="115"/>
      <c r="U124" s="148"/>
      <c r="V124" s="78"/>
    </row>
    <row r="125" spans="1:22" ht="12" hidden="1" customHeight="1" outlineLevel="1" x14ac:dyDescent="0.25">
      <c r="A125" s="88"/>
      <c r="B125" s="114"/>
      <c r="C125" s="90"/>
      <c r="D125" s="111"/>
      <c r="E125" s="91"/>
      <c r="F125" s="92"/>
      <c r="G125" s="94"/>
      <c r="H125" s="92"/>
      <c r="I125" s="92"/>
      <c r="J125" s="92"/>
      <c r="K125" s="104" t="s">
        <v>323</v>
      </c>
      <c r="L125" s="98" t="str">
        <f>VLOOKUP(K125,материалы!$A$5:$G$31,5, FALSE)</f>
        <v>м3</v>
      </c>
      <c r="M125" s="92">
        <f>VLOOKUP(K125,материалы!$A$5:$G$31,7, FALSE)</f>
        <v>379.24</v>
      </c>
      <c r="N125" s="94">
        <v>8.7499999999999994E-2</v>
      </c>
      <c r="O125" s="92">
        <f t="shared" si="59"/>
        <v>33.18</v>
      </c>
      <c r="P125" s="92"/>
      <c r="Q125" s="92"/>
      <c r="R125" s="115"/>
      <c r="S125" s="115"/>
      <c r="T125" s="115"/>
      <c r="U125" s="148"/>
      <c r="V125" s="78"/>
    </row>
    <row r="126" spans="1:22" ht="35.25" hidden="1" customHeight="1" outlineLevel="1" x14ac:dyDescent="0.25">
      <c r="A126" s="88"/>
      <c r="B126" s="114"/>
      <c r="C126" s="90"/>
      <c r="D126" s="111"/>
      <c r="E126" s="91"/>
      <c r="F126" s="92"/>
      <c r="G126" s="94"/>
      <c r="H126" s="92"/>
      <c r="I126" s="92"/>
      <c r="J126" s="92"/>
      <c r="K126" s="104" t="s">
        <v>341</v>
      </c>
      <c r="L126" s="98" t="str">
        <f>VLOOKUP(K126,материалы!$A$5:$G$31,5, FALSE)</f>
        <v>кг</v>
      </c>
      <c r="M126" s="92">
        <f>VLOOKUP(K126,материалы!$A$5:$G$31,7, FALSE)</f>
        <v>44.94</v>
      </c>
      <c r="N126" s="92">
        <v>0.1</v>
      </c>
      <c r="O126" s="92">
        <f t="shared" si="59"/>
        <v>4.49</v>
      </c>
      <c r="P126" s="92"/>
      <c r="Q126" s="92"/>
      <c r="R126" s="115"/>
      <c r="S126" s="115"/>
      <c r="T126" s="115"/>
      <c r="U126" s="148"/>
      <c r="V126" s="78"/>
    </row>
    <row r="127" spans="1:22" ht="26.25" hidden="1" customHeight="1" outlineLevel="1" x14ac:dyDescent="0.25">
      <c r="A127" s="88"/>
      <c r="B127" s="114"/>
      <c r="C127" s="90"/>
      <c r="D127" s="111"/>
      <c r="E127" s="91"/>
      <c r="F127" s="92"/>
      <c r="G127" s="94"/>
      <c r="H127" s="92"/>
      <c r="I127" s="92"/>
      <c r="J127" s="92"/>
      <c r="K127" s="104" t="s">
        <v>342</v>
      </c>
      <c r="L127" s="98" t="str">
        <f>VLOOKUP(K127,материалы!$A$5:$G$31,5, FALSE)</f>
        <v>шт.</v>
      </c>
      <c r="M127" s="92">
        <f>VLOOKUP(K127,материалы!$A$5:$G$31,7, FALSE)</f>
        <v>30.94</v>
      </c>
      <c r="N127" s="92">
        <v>0.25</v>
      </c>
      <c r="O127" s="92">
        <f t="shared" si="59"/>
        <v>7.74</v>
      </c>
      <c r="P127" s="92"/>
      <c r="Q127" s="92"/>
      <c r="R127" s="115"/>
      <c r="S127" s="115"/>
      <c r="T127" s="115"/>
      <c r="U127" s="148"/>
      <c r="V127" s="78"/>
    </row>
    <row r="128" spans="1:22" ht="24.75" hidden="1" customHeight="1" outlineLevel="1" x14ac:dyDescent="0.25">
      <c r="A128" s="88"/>
      <c r="B128" s="114"/>
      <c r="C128" s="90"/>
      <c r="D128" s="111"/>
      <c r="E128" s="91"/>
      <c r="F128" s="92"/>
      <c r="G128" s="94"/>
      <c r="H128" s="92"/>
      <c r="I128" s="92"/>
      <c r="J128" s="92"/>
      <c r="K128" s="121" t="s">
        <v>346</v>
      </c>
      <c r="L128" s="98" t="str">
        <f>VLOOKUP(K128,материалы!$A$5:$G$31,5, FALSE)</f>
        <v>шт.</v>
      </c>
      <c r="M128" s="92">
        <f>VLOOKUP(K128,материалы!$A$5:$G$31,7, FALSE)</f>
        <v>24.810000000000002</v>
      </c>
      <c r="N128" s="92">
        <v>1</v>
      </c>
      <c r="O128" s="92">
        <f t="shared" si="59"/>
        <v>24.81</v>
      </c>
      <c r="P128" s="92"/>
      <c r="Q128" s="92"/>
      <c r="R128" s="115"/>
      <c r="S128" s="115"/>
      <c r="T128" s="115"/>
      <c r="U128" s="148"/>
      <c r="V128" s="78"/>
    </row>
    <row r="129" spans="1:22" ht="15.75" hidden="1" customHeight="1" outlineLevel="1" x14ac:dyDescent="0.25">
      <c r="A129" s="88"/>
      <c r="B129" s="114"/>
      <c r="C129" s="90"/>
      <c r="D129" s="111"/>
      <c r="E129" s="91"/>
      <c r="F129" s="92"/>
      <c r="G129" s="94"/>
      <c r="H129" s="92"/>
      <c r="I129" s="92"/>
      <c r="J129" s="92"/>
      <c r="K129" s="97" t="s">
        <v>329</v>
      </c>
      <c r="L129" s="98" t="str">
        <f>VLOOKUP(K129,материалы!$A$5:$G$31,5, FALSE)</f>
        <v>кг</v>
      </c>
      <c r="M129" s="92">
        <f>VLOOKUP(K129,материалы!$A$5:$G$31,7, FALSE)</f>
        <v>65.599999999999994</v>
      </c>
      <c r="N129" s="92">
        <v>1E-3</v>
      </c>
      <c r="O129" s="92">
        <f t="shared" si="59"/>
        <v>7.0000000000000007E-2</v>
      </c>
      <c r="P129" s="92"/>
      <c r="Q129" s="92"/>
      <c r="R129" s="115"/>
      <c r="S129" s="115"/>
      <c r="T129" s="115"/>
      <c r="U129" s="148"/>
      <c r="V129" s="78"/>
    </row>
    <row r="130" spans="1:22" ht="15.75" hidden="1" customHeight="1" outlineLevel="1" x14ac:dyDescent="0.25">
      <c r="A130" s="88"/>
      <c r="B130" s="114"/>
      <c r="C130" s="90"/>
      <c r="D130" s="111"/>
      <c r="E130" s="91"/>
      <c r="F130" s="92"/>
      <c r="G130" s="94"/>
      <c r="H130" s="92"/>
      <c r="I130" s="92"/>
      <c r="J130" s="92"/>
      <c r="K130" s="97" t="s">
        <v>330</v>
      </c>
      <c r="L130" s="98" t="str">
        <f>VLOOKUP(K130,материалы!$A$5:$G$31,5, FALSE)</f>
        <v>кг</v>
      </c>
      <c r="M130" s="92">
        <f>VLOOKUP(K130,материалы!$A$5:$G$31,7, FALSE)</f>
        <v>39.82</v>
      </c>
      <c r="N130" s="92">
        <v>0.01</v>
      </c>
      <c r="O130" s="92">
        <f t="shared" si="59"/>
        <v>0.4</v>
      </c>
      <c r="P130" s="92"/>
      <c r="Q130" s="92"/>
      <c r="R130" s="115"/>
      <c r="S130" s="115"/>
      <c r="T130" s="115"/>
      <c r="U130" s="148"/>
      <c r="V130" s="78"/>
    </row>
    <row r="131" spans="1:22" ht="17.25" hidden="1" customHeight="1" x14ac:dyDescent="0.25">
      <c r="A131" s="590" t="s">
        <v>468</v>
      </c>
      <c r="B131" s="593" t="s">
        <v>223</v>
      </c>
      <c r="C131" s="589" t="s">
        <v>60</v>
      </c>
      <c r="D131" s="609" t="s">
        <v>222</v>
      </c>
      <c r="E131" s="91" t="s">
        <v>162</v>
      </c>
      <c r="F131" s="92">
        <f>VLOOKUP(E131,'условия, ФОТ'!$A$14:$I$32,9, FALSE)</f>
        <v>164.09</v>
      </c>
      <c r="G131" s="94">
        <f>0.72+1.2</f>
        <v>1.92</v>
      </c>
      <c r="H131" s="592">
        <f>ROUND((F131*G131+F132*G132),2)</f>
        <v>441.4</v>
      </c>
      <c r="I131" s="592">
        <f>ROUND(H131*$I$5,2)</f>
        <v>133.30000000000001</v>
      </c>
      <c r="J131" s="592">
        <f t="shared" si="34"/>
        <v>574.70000000000005</v>
      </c>
      <c r="K131" s="591"/>
      <c r="L131" s="592"/>
      <c r="M131" s="592"/>
      <c r="N131" s="592"/>
      <c r="O131" s="592">
        <f>SUM(O133:O139)</f>
        <v>78.88</v>
      </c>
      <c r="P131" s="592">
        <f t="shared" si="40"/>
        <v>653.58000000000004</v>
      </c>
      <c r="Q131" s="592">
        <f>ROUND(P131*$Q$5,2)</f>
        <v>498.68</v>
      </c>
      <c r="R131" s="596">
        <f>ROUND(T131/1.2,2)</f>
        <v>1267.5</v>
      </c>
      <c r="S131" s="596">
        <f>ROUND(R131*$S$5,2)</f>
        <v>253.5</v>
      </c>
      <c r="T131" s="596">
        <f>ROUND((P131+Q131)*(1+$R$5)*1.2,0)</f>
        <v>1521</v>
      </c>
      <c r="U131" s="596">
        <v>1405</v>
      </c>
      <c r="V131" s="601">
        <f t="shared" si="1"/>
        <v>8.2562277580071139</v>
      </c>
    </row>
    <row r="132" spans="1:22" ht="26.25" hidden="1" customHeight="1" x14ac:dyDescent="0.25">
      <c r="A132" s="590"/>
      <c r="B132" s="593"/>
      <c r="C132" s="589"/>
      <c r="D132" s="609"/>
      <c r="E132" s="91" t="s">
        <v>166</v>
      </c>
      <c r="F132" s="92">
        <f>VLOOKUP(E132,'условия, ФОТ'!$A$14:$I$32,9, FALSE)</f>
        <v>185.8</v>
      </c>
      <c r="G132" s="94">
        <v>0.68</v>
      </c>
      <c r="H132" s="592">
        <f t="shared" si="57"/>
        <v>126.34</v>
      </c>
      <c r="I132" s="592">
        <f>ROUND(H132*$I$5,2)</f>
        <v>38.15</v>
      </c>
      <c r="J132" s="592">
        <f t="shared" si="34"/>
        <v>164.49</v>
      </c>
      <c r="K132" s="591"/>
      <c r="L132" s="592"/>
      <c r="M132" s="592"/>
      <c r="N132" s="592"/>
      <c r="O132" s="592"/>
      <c r="P132" s="592">
        <f t="shared" si="40"/>
        <v>164.49</v>
      </c>
      <c r="Q132" s="592">
        <f>ROUND(P132*$Q$5,2)</f>
        <v>125.51</v>
      </c>
      <c r="R132" s="596">
        <f t="shared" ref="R132" si="60">ROUND(T132/1.18,2)</f>
        <v>318.64</v>
      </c>
      <c r="S132" s="596">
        <f>ROUND(R132*$S$5,2)</f>
        <v>63.73</v>
      </c>
      <c r="T132" s="596">
        <f>ROUND((P132+Q132)*(1+$R$5)*1.18,0)</f>
        <v>376</v>
      </c>
      <c r="U132" s="596"/>
      <c r="V132" s="601"/>
    </row>
    <row r="133" spans="1:22" ht="19.5" hidden="1" customHeight="1" outlineLevel="1" x14ac:dyDescent="0.25">
      <c r="A133" s="88"/>
      <c r="B133" s="114"/>
      <c r="C133" s="90"/>
      <c r="D133" s="111"/>
      <c r="E133" s="91"/>
      <c r="F133" s="92"/>
      <c r="G133" s="94"/>
      <c r="H133" s="92"/>
      <c r="I133" s="92"/>
      <c r="J133" s="96" t="s">
        <v>366</v>
      </c>
      <c r="K133" s="104" t="s">
        <v>324</v>
      </c>
      <c r="L133" s="98" t="str">
        <f>VLOOKUP(K133,материалы!$A$5:$G$31,5, FALSE)</f>
        <v>м3</v>
      </c>
      <c r="M133" s="92">
        <f>VLOOKUP(K133,материалы!$A$5:$G$31,7, FALSE)</f>
        <v>54.61</v>
      </c>
      <c r="N133" s="92">
        <v>0.15</v>
      </c>
      <c r="O133" s="92">
        <f t="shared" ref="O133:O139" si="61">ROUND(M133*N133,2)</f>
        <v>8.19</v>
      </c>
      <c r="P133" s="92"/>
      <c r="Q133" s="92"/>
      <c r="R133" s="115"/>
      <c r="S133" s="115"/>
      <c r="T133" s="115"/>
      <c r="U133" s="148"/>
      <c r="V133" s="78"/>
    </row>
    <row r="134" spans="1:22" ht="19.5" hidden="1" customHeight="1" outlineLevel="1" x14ac:dyDescent="0.25">
      <c r="A134" s="88"/>
      <c r="B134" s="114"/>
      <c r="C134" s="90"/>
      <c r="D134" s="111"/>
      <c r="E134" s="91"/>
      <c r="F134" s="92"/>
      <c r="G134" s="94"/>
      <c r="H134" s="92"/>
      <c r="I134" s="92"/>
      <c r="J134" s="92"/>
      <c r="K134" s="104" t="s">
        <v>323</v>
      </c>
      <c r="L134" s="98" t="str">
        <f>VLOOKUP(K134,материалы!$A$5:$G$31,5, FALSE)</f>
        <v>м3</v>
      </c>
      <c r="M134" s="92">
        <f>VLOOKUP(K134,материалы!$A$5:$G$31,7, FALSE)</f>
        <v>379.24</v>
      </c>
      <c r="N134" s="94">
        <v>8.7499999999999994E-2</v>
      </c>
      <c r="O134" s="92">
        <f t="shared" si="61"/>
        <v>33.18</v>
      </c>
      <c r="P134" s="92"/>
      <c r="Q134" s="92"/>
      <c r="R134" s="115"/>
      <c r="S134" s="115"/>
      <c r="T134" s="115"/>
      <c r="U134" s="148"/>
      <c r="V134" s="78"/>
    </row>
    <row r="135" spans="1:22" ht="36" hidden="1" customHeight="1" outlineLevel="1" x14ac:dyDescent="0.25">
      <c r="A135" s="88"/>
      <c r="B135" s="114"/>
      <c r="C135" s="90"/>
      <c r="D135" s="111"/>
      <c r="E135" s="91"/>
      <c r="F135" s="92"/>
      <c r="G135" s="94"/>
      <c r="H135" s="92"/>
      <c r="I135" s="92"/>
      <c r="J135" s="92"/>
      <c r="K135" s="104" t="s">
        <v>341</v>
      </c>
      <c r="L135" s="98" t="str">
        <f>VLOOKUP(K135,материалы!$A$5:$G$31,5, FALSE)</f>
        <v>кг</v>
      </c>
      <c r="M135" s="92">
        <f>VLOOKUP(K135,материалы!$A$5:$G$31,7, FALSE)</f>
        <v>44.94</v>
      </c>
      <c r="N135" s="92">
        <v>0.1</v>
      </c>
      <c r="O135" s="92">
        <f t="shared" si="61"/>
        <v>4.49</v>
      </c>
      <c r="P135" s="92"/>
      <c r="Q135" s="92"/>
      <c r="R135" s="115"/>
      <c r="S135" s="115"/>
      <c r="T135" s="115"/>
      <c r="U135" s="148"/>
      <c r="V135" s="78"/>
    </row>
    <row r="136" spans="1:22" ht="24.75" hidden="1" customHeight="1" outlineLevel="1" x14ac:dyDescent="0.25">
      <c r="A136" s="88"/>
      <c r="B136" s="114"/>
      <c r="C136" s="90"/>
      <c r="D136" s="111"/>
      <c r="E136" s="91"/>
      <c r="F136" s="92"/>
      <c r="G136" s="94"/>
      <c r="H136" s="92"/>
      <c r="I136" s="92"/>
      <c r="J136" s="92"/>
      <c r="K136" s="104" t="s">
        <v>342</v>
      </c>
      <c r="L136" s="98" t="str">
        <f>VLOOKUP(K136,материалы!$A$5:$G$31,5, FALSE)</f>
        <v>шт.</v>
      </c>
      <c r="M136" s="92">
        <f>VLOOKUP(K136,материалы!$A$5:$G$31,7, FALSE)</f>
        <v>30.94</v>
      </c>
      <c r="N136" s="92">
        <v>0.25</v>
      </c>
      <c r="O136" s="92">
        <f t="shared" si="61"/>
        <v>7.74</v>
      </c>
      <c r="P136" s="92"/>
      <c r="Q136" s="92"/>
      <c r="R136" s="115"/>
      <c r="S136" s="115"/>
      <c r="T136" s="115"/>
      <c r="U136" s="148"/>
      <c r="V136" s="78"/>
    </row>
    <row r="137" spans="1:22" ht="28.5" hidden="1" customHeight="1" outlineLevel="1" x14ac:dyDescent="0.25">
      <c r="A137" s="88"/>
      <c r="B137" s="114"/>
      <c r="C137" s="90"/>
      <c r="D137" s="111"/>
      <c r="E137" s="91"/>
      <c r="F137" s="92"/>
      <c r="G137" s="94"/>
      <c r="H137" s="92"/>
      <c r="I137" s="92"/>
      <c r="J137" s="92"/>
      <c r="K137" s="121" t="s">
        <v>346</v>
      </c>
      <c r="L137" s="98" t="str">
        <f>VLOOKUP(K137,материалы!$A$5:$G$31,5, FALSE)</f>
        <v>шт.</v>
      </c>
      <c r="M137" s="92">
        <f>VLOOKUP(K137,материалы!$A$5:$G$31,7, FALSE)</f>
        <v>24.810000000000002</v>
      </c>
      <c r="N137" s="92">
        <v>1</v>
      </c>
      <c r="O137" s="92">
        <f t="shared" si="61"/>
        <v>24.81</v>
      </c>
      <c r="P137" s="92"/>
      <c r="Q137" s="92"/>
      <c r="R137" s="115"/>
      <c r="S137" s="115"/>
      <c r="T137" s="115"/>
      <c r="U137" s="148"/>
      <c r="V137" s="78"/>
    </row>
    <row r="138" spans="1:22" ht="19.5" hidden="1" customHeight="1" outlineLevel="1" x14ac:dyDescent="0.25">
      <c r="A138" s="88"/>
      <c r="B138" s="114"/>
      <c r="C138" s="90"/>
      <c r="D138" s="111"/>
      <c r="E138" s="91"/>
      <c r="F138" s="92"/>
      <c r="G138" s="94"/>
      <c r="H138" s="92"/>
      <c r="I138" s="92"/>
      <c r="J138" s="92"/>
      <c r="K138" s="97" t="s">
        <v>329</v>
      </c>
      <c r="L138" s="98" t="str">
        <f>VLOOKUP(K138,материалы!$A$5:$G$31,5, FALSE)</f>
        <v>кг</v>
      </c>
      <c r="M138" s="92">
        <f>VLOOKUP(K138,материалы!$A$5:$G$31,7, FALSE)</f>
        <v>65.599999999999994</v>
      </c>
      <c r="N138" s="92">
        <v>1E-3</v>
      </c>
      <c r="O138" s="92">
        <f t="shared" si="61"/>
        <v>7.0000000000000007E-2</v>
      </c>
      <c r="P138" s="92"/>
      <c r="Q138" s="92"/>
      <c r="R138" s="115"/>
      <c r="S138" s="115"/>
      <c r="T138" s="115"/>
      <c r="U138" s="148"/>
      <c r="V138" s="78"/>
    </row>
    <row r="139" spans="1:22" ht="19.5" hidden="1" customHeight="1" outlineLevel="1" x14ac:dyDescent="0.25">
      <c r="A139" s="88"/>
      <c r="B139" s="114"/>
      <c r="C139" s="90"/>
      <c r="D139" s="111"/>
      <c r="E139" s="91"/>
      <c r="F139" s="92"/>
      <c r="G139" s="94"/>
      <c r="H139" s="92"/>
      <c r="I139" s="92"/>
      <c r="J139" s="92"/>
      <c r="K139" s="97" t="s">
        <v>330</v>
      </c>
      <c r="L139" s="98" t="str">
        <f>VLOOKUP(K139,материалы!$A$5:$G$31,5, FALSE)</f>
        <v>кг</v>
      </c>
      <c r="M139" s="92">
        <f>VLOOKUP(K139,материалы!$A$5:$G$31,7, FALSE)</f>
        <v>39.82</v>
      </c>
      <c r="N139" s="92">
        <v>0.01</v>
      </c>
      <c r="O139" s="92">
        <f t="shared" si="61"/>
        <v>0.4</v>
      </c>
      <c r="P139" s="92"/>
      <c r="Q139" s="92"/>
      <c r="R139" s="115"/>
      <c r="S139" s="115"/>
      <c r="T139" s="115"/>
      <c r="U139" s="148"/>
      <c r="V139" s="78"/>
    </row>
    <row r="140" spans="1:22" hidden="1" x14ac:dyDescent="0.25">
      <c r="A140" s="88" t="s">
        <v>469</v>
      </c>
      <c r="B140" s="88" t="s">
        <v>224</v>
      </c>
      <c r="C140" s="90" t="s">
        <v>231</v>
      </c>
      <c r="D140" s="92" t="s">
        <v>177</v>
      </c>
      <c r="E140" s="91" t="s">
        <v>162</v>
      </c>
      <c r="F140" s="92">
        <f>VLOOKUP(E140,'условия, ФОТ'!$A$14:$I$32,9, FALSE)</f>
        <v>164.09</v>
      </c>
      <c r="G140" s="94">
        <v>0.5</v>
      </c>
      <c r="H140" s="92">
        <f t="shared" si="37"/>
        <v>82.05</v>
      </c>
      <c r="I140" s="92">
        <f t="shared" ref="I140:I171" si="62">ROUND(H140*$I$5,2)</f>
        <v>24.78</v>
      </c>
      <c r="J140" s="92">
        <f t="shared" si="34"/>
        <v>106.83</v>
      </c>
      <c r="K140" s="93"/>
      <c r="L140" s="92"/>
      <c r="M140" s="92"/>
      <c r="N140" s="92"/>
      <c r="O140" s="92"/>
      <c r="P140" s="92">
        <f t="shared" si="40"/>
        <v>106.83</v>
      </c>
      <c r="Q140" s="92">
        <f t="shared" ref="Q140:Q171" si="63">ROUND(P140*$Q$5,2)</f>
        <v>81.510000000000005</v>
      </c>
      <c r="R140" s="115">
        <f>ROUND(T140/1.2,2)</f>
        <v>207.5</v>
      </c>
      <c r="S140" s="115">
        <f t="shared" ref="S140:S171" si="64">ROUND(R140*$S$5,2)</f>
        <v>41.5</v>
      </c>
      <c r="T140" s="115">
        <f t="shared" ref="T140:T171" si="65">ROUND((P140+Q140)*(1+$R$5)*1.2,0)</f>
        <v>249</v>
      </c>
      <c r="U140" s="148">
        <v>207</v>
      </c>
      <c r="V140" s="78">
        <f t="shared" si="1"/>
        <v>20.289855072463766</v>
      </c>
    </row>
    <row r="141" spans="1:22" hidden="1" x14ac:dyDescent="0.25">
      <c r="A141" s="88" t="s">
        <v>471</v>
      </c>
      <c r="B141" s="88" t="s">
        <v>225</v>
      </c>
      <c r="C141" s="90" t="s">
        <v>61</v>
      </c>
      <c r="D141" s="92" t="s">
        <v>232</v>
      </c>
      <c r="E141" s="91" t="s">
        <v>162</v>
      </c>
      <c r="F141" s="92">
        <f>VLOOKUP(E141,'условия, ФОТ'!$A$14:$I$32,9, FALSE)</f>
        <v>164.09</v>
      </c>
      <c r="G141" s="94">
        <v>1.1000000000000001</v>
      </c>
      <c r="H141" s="92">
        <f t="shared" si="37"/>
        <v>180.5</v>
      </c>
      <c r="I141" s="92">
        <f t="shared" si="62"/>
        <v>54.51</v>
      </c>
      <c r="J141" s="92">
        <f t="shared" si="34"/>
        <v>235.01</v>
      </c>
      <c r="K141" s="93"/>
      <c r="L141" s="92"/>
      <c r="M141" s="92"/>
      <c r="N141" s="92"/>
      <c r="O141" s="92"/>
      <c r="P141" s="92">
        <f t="shared" si="40"/>
        <v>235.01</v>
      </c>
      <c r="Q141" s="92">
        <f t="shared" si="63"/>
        <v>179.31</v>
      </c>
      <c r="R141" s="148">
        <f t="shared" ref="R141:R189" si="66">ROUND(T141/1.2,2)</f>
        <v>455.83</v>
      </c>
      <c r="S141" s="115">
        <f t="shared" si="64"/>
        <v>91.17</v>
      </c>
      <c r="T141" s="148">
        <f t="shared" si="65"/>
        <v>547</v>
      </c>
      <c r="U141" s="148">
        <v>455</v>
      </c>
      <c r="V141" s="78">
        <f t="shared" si="1"/>
        <v>20.219780219780219</v>
      </c>
    </row>
    <row r="142" spans="1:22" hidden="1" x14ac:dyDescent="0.25">
      <c r="A142" s="88" t="s">
        <v>470</v>
      </c>
      <c r="B142" s="88" t="s">
        <v>233</v>
      </c>
      <c r="C142" s="90" t="s">
        <v>62</v>
      </c>
      <c r="D142" s="92" t="s">
        <v>190</v>
      </c>
      <c r="E142" s="91" t="s">
        <v>162</v>
      </c>
      <c r="F142" s="92">
        <f>VLOOKUP(E142,'условия, ФОТ'!$A$14:$I$32,9, FALSE)</f>
        <v>164.09</v>
      </c>
      <c r="G142" s="94">
        <v>0.6</v>
      </c>
      <c r="H142" s="92">
        <f t="shared" si="37"/>
        <v>98.45</v>
      </c>
      <c r="I142" s="92">
        <f t="shared" si="62"/>
        <v>29.73</v>
      </c>
      <c r="J142" s="92">
        <f t="shared" si="34"/>
        <v>128.18</v>
      </c>
      <c r="K142" s="93"/>
      <c r="L142" s="92"/>
      <c r="M142" s="92"/>
      <c r="N142" s="92"/>
      <c r="O142" s="92"/>
      <c r="P142" s="92">
        <f t="shared" si="40"/>
        <v>128.18</v>
      </c>
      <c r="Q142" s="92">
        <f t="shared" si="63"/>
        <v>97.8</v>
      </c>
      <c r="R142" s="148">
        <f t="shared" si="66"/>
        <v>248.33</v>
      </c>
      <c r="S142" s="115">
        <f t="shared" si="64"/>
        <v>49.67</v>
      </c>
      <c r="T142" s="148">
        <f t="shared" si="65"/>
        <v>298</v>
      </c>
      <c r="U142" s="148">
        <v>248</v>
      </c>
      <c r="V142" s="78">
        <f t="shared" si="1"/>
        <v>20.161290322580655</v>
      </c>
    </row>
    <row r="143" spans="1:22" hidden="1" x14ac:dyDescent="0.25">
      <c r="A143" s="88" t="s">
        <v>472</v>
      </c>
      <c r="B143" s="88" t="s">
        <v>347</v>
      </c>
      <c r="C143" s="64" t="s">
        <v>63</v>
      </c>
      <c r="D143" s="92" t="s">
        <v>190</v>
      </c>
      <c r="E143" s="91" t="s">
        <v>162</v>
      </c>
      <c r="F143" s="92">
        <f>VLOOKUP(E143,'условия, ФОТ'!$A$14:$I$32,9, FALSE)</f>
        <v>164.09</v>
      </c>
      <c r="G143" s="94">
        <v>1</v>
      </c>
      <c r="H143" s="92">
        <f t="shared" si="37"/>
        <v>164.09</v>
      </c>
      <c r="I143" s="92">
        <f t="shared" si="62"/>
        <v>49.56</v>
      </c>
      <c r="J143" s="92">
        <f t="shared" si="34"/>
        <v>213.65</v>
      </c>
      <c r="K143" s="93"/>
      <c r="L143" s="92"/>
      <c r="M143" s="92"/>
      <c r="N143" s="92"/>
      <c r="O143" s="92"/>
      <c r="P143" s="92">
        <f t="shared" si="40"/>
        <v>213.65</v>
      </c>
      <c r="Q143" s="92">
        <f t="shared" si="63"/>
        <v>163.01</v>
      </c>
      <c r="R143" s="148">
        <f t="shared" si="66"/>
        <v>414.17</v>
      </c>
      <c r="S143" s="115">
        <f t="shared" si="64"/>
        <v>82.83</v>
      </c>
      <c r="T143" s="148">
        <f t="shared" si="65"/>
        <v>497</v>
      </c>
      <c r="U143" s="148">
        <v>413</v>
      </c>
      <c r="V143" s="78">
        <f t="shared" si="1"/>
        <v>20.338983050847446</v>
      </c>
    </row>
    <row r="144" spans="1:22" hidden="1" x14ac:dyDescent="0.25">
      <c r="A144" s="88" t="s">
        <v>473</v>
      </c>
      <c r="B144" s="88" t="s">
        <v>234</v>
      </c>
      <c r="C144" s="90" t="s">
        <v>64</v>
      </c>
      <c r="D144" s="92" t="s">
        <v>236</v>
      </c>
      <c r="E144" s="91" t="s">
        <v>162</v>
      </c>
      <c r="F144" s="92">
        <f>VLOOKUP(E144,'условия, ФОТ'!$A$14:$I$32,9, FALSE)</f>
        <v>164.09</v>
      </c>
      <c r="G144" s="94">
        <v>0.7</v>
      </c>
      <c r="H144" s="92">
        <f t="shared" si="37"/>
        <v>114.86</v>
      </c>
      <c r="I144" s="92">
        <f t="shared" si="62"/>
        <v>34.69</v>
      </c>
      <c r="J144" s="92">
        <f t="shared" si="34"/>
        <v>149.55000000000001</v>
      </c>
      <c r="K144" s="93"/>
      <c r="L144" s="92"/>
      <c r="M144" s="92"/>
      <c r="N144" s="92"/>
      <c r="O144" s="92"/>
      <c r="P144" s="92">
        <f t="shared" si="40"/>
        <v>149.55000000000001</v>
      </c>
      <c r="Q144" s="92">
        <f t="shared" si="63"/>
        <v>114.11</v>
      </c>
      <c r="R144" s="148">
        <f t="shared" si="66"/>
        <v>290</v>
      </c>
      <c r="S144" s="115">
        <f t="shared" si="64"/>
        <v>58</v>
      </c>
      <c r="T144" s="148">
        <f t="shared" si="65"/>
        <v>348</v>
      </c>
      <c r="U144" s="148">
        <v>289</v>
      </c>
      <c r="V144" s="78">
        <f t="shared" si="1"/>
        <v>20.415224913494811</v>
      </c>
    </row>
    <row r="145" spans="1:22" hidden="1" x14ac:dyDescent="0.25">
      <c r="A145" s="88" t="s">
        <v>474</v>
      </c>
      <c r="B145" s="88" t="s">
        <v>235</v>
      </c>
      <c r="C145" s="90" t="s">
        <v>65</v>
      </c>
      <c r="D145" s="92" t="s">
        <v>236</v>
      </c>
      <c r="E145" s="91" t="s">
        <v>162</v>
      </c>
      <c r="F145" s="92">
        <f>VLOOKUP(E145,'условия, ФОТ'!$A$14:$I$32,9, FALSE)</f>
        <v>164.09</v>
      </c>
      <c r="G145" s="94">
        <v>0.4</v>
      </c>
      <c r="H145" s="92">
        <f t="shared" si="37"/>
        <v>65.64</v>
      </c>
      <c r="I145" s="92">
        <f t="shared" si="62"/>
        <v>19.82</v>
      </c>
      <c r="J145" s="92">
        <f t="shared" si="34"/>
        <v>85.460000000000008</v>
      </c>
      <c r="K145" s="93"/>
      <c r="L145" s="92"/>
      <c r="M145" s="92"/>
      <c r="N145" s="92"/>
      <c r="O145" s="92"/>
      <c r="P145" s="92">
        <f t="shared" si="40"/>
        <v>85.460000000000008</v>
      </c>
      <c r="Q145" s="92">
        <f t="shared" si="63"/>
        <v>65.209999999999994</v>
      </c>
      <c r="R145" s="148">
        <f t="shared" si="66"/>
        <v>165.83</v>
      </c>
      <c r="S145" s="115">
        <f t="shared" si="64"/>
        <v>33.17</v>
      </c>
      <c r="T145" s="148">
        <f t="shared" si="65"/>
        <v>199</v>
      </c>
      <c r="U145" s="148">
        <v>165</v>
      </c>
      <c r="V145" s="78">
        <f t="shared" si="1"/>
        <v>20.606060606060609</v>
      </c>
    </row>
    <row r="146" spans="1:22" ht="26.25" hidden="1" customHeight="1" x14ac:dyDescent="0.25">
      <c r="A146" s="88" t="s">
        <v>475</v>
      </c>
      <c r="B146" s="88" t="s">
        <v>237</v>
      </c>
      <c r="C146" s="90" t="s">
        <v>66</v>
      </c>
      <c r="D146" s="92" t="s">
        <v>238</v>
      </c>
      <c r="E146" s="91" t="s">
        <v>162</v>
      </c>
      <c r="F146" s="92">
        <f>VLOOKUP(E146,'условия, ФОТ'!$A$14:$I$32,9, FALSE)</f>
        <v>164.09</v>
      </c>
      <c r="G146" s="94">
        <v>0.4</v>
      </c>
      <c r="H146" s="92">
        <f t="shared" si="37"/>
        <v>65.64</v>
      </c>
      <c r="I146" s="92">
        <f t="shared" si="62"/>
        <v>19.82</v>
      </c>
      <c r="J146" s="92">
        <f t="shared" si="34"/>
        <v>85.460000000000008</v>
      </c>
      <c r="K146" s="93"/>
      <c r="L146" s="92"/>
      <c r="M146" s="92"/>
      <c r="N146" s="92"/>
      <c r="O146" s="92"/>
      <c r="P146" s="92">
        <f t="shared" si="40"/>
        <v>85.460000000000008</v>
      </c>
      <c r="Q146" s="92">
        <f t="shared" si="63"/>
        <v>65.209999999999994</v>
      </c>
      <c r="R146" s="148">
        <f t="shared" si="66"/>
        <v>165.83</v>
      </c>
      <c r="S146" s="115">
        <f t="shared" si="64"/>
        <v>33.17</v>
      </c>
      <c r="T146" s="148">
        <f t="shared" si="65"/>
        <v>199</v>
      </c>
      <c r="U146" s="148">
        <v>165</v>
      </c>
      <c r="V146" s="78">
        <f t="shared" si="1"/>
        <v>20.606060606060609</v>
      </c>
    </row>
    <row r="147" spans="1:22" hidden="1" x14ac:dyDescent="0.25">
      <c r="A147" s="88" t="s">
        <v>476</v>
      </c>
      <c r="B147" s="88" t="s">
        <v>239</v>
      </c>
      <c r="C147" s="90" t="s">
        <v>67</v>
      </c>
      <c r="D147" s="92" t="s">
        <v>240</v>
      </c>
      <c r="E147" s="91" t="s">
        <v>162</v>
      </c>
      <c r="F147" s="92">
        <f>VLOOKUP(E147,'условия, ФОТ'!$A$14:$I$32,9, FALSE)</f>
        <v>164.09</v>
      </c>
      <c r="G147" s="94">
        <v>0.24</v>
      </c>
      <c r="H147" s="92">
        <f t="shared" si="37"/>
        <v>39.380000000000003</v>
      </c>
      <c r="I147" s="92">
        <f t="shared" si="62"/>
        <v>11.89</v>
      </c>
      <c r="J147" s="92">
        <f t="shared" si="34"/>
        <v>51.27</v>
      </c>
      <c r="K147" s="93"/>
      <c r="L147" s="92"/>
      <c r="M147" s="92"/>
      <c r="N147" s="92"/>
      <c r="O147" s="92"/>
      <c r="P147" s="92">
        <f t="shared" si="40"/>
        <v>51.27</v>
      </c>
      <c r="Q147" s="92">
        <f t="shared" si="63"/>
        <v>39.119999999999997</v>
      </c>
      <c r="R147" s="148">
        <f t="shared" si="66"/>
        <v>99.17</v>
      </c>
      <c r="S147" s="115">
        <f t="shared" si="64"/>
        <v>19.829999999999998</v>
      </c>
      <c r="T147" s="148">
        <f t="shared" si="65"/>
        <v>119</v>
      </c>
      <c r="U147" s="148">
        <v>99</v>
      </c>
      <c r="V147" s="78">
        <f t="shared" si="1"/>
        <v>20.202020202020194</v>
      </c>
    </row>
    <row r="148" spans="1:22" ht="27" hidden="1" customHeight="1" x14ac:dyDescent="0.25">
      <c r="A148" s="88" t="s">
        <v>477</v>
      </c>
      <c r="B148" s="88" t="s">
        <v>241</v>
      </c>
      <c r="C148" s="90" t="s">
        <v>68</v>
      </c>
      <c r="D148" s="92" t="s">
        <v>190</v>
      </c>
      <c r="E148" s="91" t="s">
        <v>162</v>
      </c>
      <c r="F148" s="92">
        <f>VLOOKUP(E148,'условия, ФОТ'!$A$14:$I$32,9, FALSE)</f>
        <v>164.09</v>
      </c>
      <c r="G148" s="94">
        <v>0.2</v>
      </c>
      <c r="H148" s="92">
        <f t="shared" si="37"/>
        <v>32.82</v>
      </c>
      <c r="I148" s="92">
        <f t="shared" si="62"/>
        <v>9.91</v>
      </c>
      <c r="J148" s="92">
        <f t="shared" si="34"/>
        <v>42.730000000000004</v>
      </c>
      <c r="K148" s="93"/>
      <c r="L148" s="92"/>
      <c r="M148" s="92"/>
      <c r="N148" s="92"/>
      <c r="O148" s="92"/>
      <c r="P148" s="92">
        <f t="shared" si="40"/>
        <v>42.730000000000004</v>
      </c>
      <c r="Q148" s="92">
        <f t="shared" si="63"/>
        <v>32.6</v>
      </c>
      <c r="R148" s="148">
        <f t="shared" si="66"/>
        <v>82.5</v>
      </c>
      <c r="S148" s="115">
        <f t="shared" si="64"/>
        <v>16.5</v>
      </c>
      <c r="T148" s="148">
        <f t="shared" si="65"/>
        <v>99</v>
      </c>
      <c r="U148" s="148">
        <v>83</v>
      </c>
      <c r="V148" s="78">
        <f t="shared" si="1"/>
        <v>19.277108433734938</v>
      </c>
    </row>
    <row r="149" spans="1:22" hidden="1" x14ac:dyDescent="0.25">
      <c r="A149" s="88" t="s">
        <v>478</v>
      </c>
      <c r="B149" s="88" t="s">
        <v>242</v>
      </c>
      <c r="C149" s="90" t="s">
        <v>69</v>
      </c>
      <c r="D149" s="92" t="s">
        <v>190</v>
      </c>
      <c r="E149" s="91" t="s">
        <v>162</v>
      </c>
      <c r="F149" s="92">
        <f>VLOOKUP(E149,'условия, ФОТ'!$A$14:$I$32,9, FALSE)</f>
        <v>164.09</v>
      </c>
      <c r="G149" s="94">
        <v>0.25</v>
      </c>
      <c r="H149" s="92">
        <f t="shared" si="37"/>
        <v>41.02</v>
      </c>
      <c r="I149" s="92">
        <f t="shared" si="62"/>
        <v>12.39</v>
      </c>
      <c r="J149" s="92">
        <f t="shared" si="34"/>
        <v>53.410000000000004</v>
      </c>
      <c r="K149" s="93"/>
      <c r="L149" s="92"/>
      <c r="M149" s="92"/>
      <c r="N149" s="92"/>
      <c r="O149" s="92"/>
      <c r="P149" s="92">
        <f t="shared" si="40"/>
        <v>53.410000000000004</v>
      </c>
      <c r="Q149" s="92">
        <f t="shared" si="63"/>
        <v>40.75</v>
      </c>
      <c r="R149" s="148">
        <f t="shared" si="66"/>
        <v>103.33</v>
      </c>
      <c r="S149" s="115">
        <f t="shared" si="64"/>
        <v>20.67</v>
      </c>
      <c r="T149" s="148">
        <f t="shared" si="65"/>
        <v>124</v>
      </c>
      <c r="U149" s="148">
        <v>103</v>
      </c>
      <c r="V149" s="78">
        <f t="shared" si="1"/>
        <v>20.388349514563103</v>
      </c>
    </row>
    <row r="150" spans="1:22" hidden="1" x14ac:dyDescent="0.25">
      <c r="A150" s="88" t="s">
        <v>479</v>
      </c>
      <c r="B150" s="88" t="s">
        <v>243</v>
      </c>
      <c r="C150" s="90" t="s">
        <v>70</v>
      </c>
      <c r="D150" s="92" t="s">
        <v>244</v>
      </c>
      <c r="E150" s="91" t="s">
        <v>162</v>
      </c>
      <c r="F150" s="92">
        <f>VLOOKUP(E150,'условия, ФОТ'!$A$14:$I$32,9, FALSE)</f>
        <v>164.09</v>
      </c>
      <c r="G150" s="94">
        <v>1</v>
      </c>
      <c r="H150" s="92">
        <f t="shared" si="37"/>
        <v>164.09</v>
      </c>
      <c r="I150" s="92">
        <f t="shared" si="62"/>
        <v>49.56</v>
      </c>
      <c r="J150" s="92">
        <f t="shared" si="34"/>
        <v>213.65</v>
      </c>
      <c r="K150" s="93"/>
      <c r="L150" s="92"/>
      <c r="M150" s="92"/>
      <c r="N150" s="92"/>
      <c r="O150" s="92"/>
      <c r="P150" s="92">
        <f t="shared" si="40"/>
        <v>213.65</v>
      </c>
      <c r="Q150" s="92">
        <f t="shared" si="63"/>
        <v>163.01</v>
      </c>
      <c r="R150" s="148">
        <f t="shared" si="66"/>
        <v>414.17</v>
      </c>
      <c r="S150" s="115">
        <f t="shared" si="64"/>
        <v>82.83</v>
      </c>
      <c r="T150" s="148">
        <f t="shared" si="65"/>
        <v>497</v>
      </c>
      <c r="U150" s="148">
        <v>413</v>
      </c>
      <c r="V150" s="78">
        <f t="shared" si="1"/>
        <v>20.338983050847446</v>
      </c>
    </row>
    <row r="151" spans="1:22" hidden="1" x14ac:dyDescent="0.25">
      <c r="A151" s="88" t="s">
        <v>480</v>
      </c>
      <c r="B151" s="88" t="s">
        <v>246</v>
      </c>
      <c r="C151" s="90" t="s">
        <v>71</v>
      </c>
      <c r="D151" s="92" t="s">
        <v>180</v>
      </c>
      <c r="E151" s="91" t="s">
        <v>162</v>
      </c>
      <c r="F151" s="92">
        <f>VLOOKUP(E151,'условия, ФОТ'!$A$14:$I$32,9, FALSE)</f>
        <v>164.09</v>
      </c>
      <c r="G151" s="94">
        <v>0.54</v>
      </c>
      <c r="H151" s="92">
        <f t="shared" si="37"/>
        <v>88.61</v>
      </c>
      <c r="I151" s="92">
        <f t="shared" si="62"/>
        <v>26.76</v>
      </c>
      <c r="J151" s="92">
        <f t="shared" si="34"/>
        <v>115.37</v>
      </c>
      <c r="K151" s="93"/>
      <c r="L151" s="92"/>
      <c r="M151" s="92"/>
      <c r="N151" s="92"/>
      <c r="O151" s="92"/>
      <c r="P151" s="92">
        <f t="shared" si="40"/>
        <v>115.37</v>
      </c>
      <c r="Q151" s="92">
        <f t="shared" si="63"/>
        <v>88.03</v>
      </c>
      <c r="R151" s="148">
        <f t="shared" si="66"/>
        <v>223.33</v>
      </c>
      <c r="S151" s="115">
        <f t="shared" si="64"/>
        <v>44.67</v>
      </c>
      <c r="T151" s="148">
        <f t="shared" si="65"/>
        <v>268</v>
      </c>
      <c r="U151" s="148">
        <v>223</v>
      </c>
      <c r="V151" s="78">
        <f t="shared" si="1"/>
        <v>20.179372197309405</v>
      </c>
    </row>
    <row r="152" spans="1:22" hidden="1" x14ac:dyDescent="0.25">
      <c r="A152" s="88" t="s">
        <v>481</v>
      </c>
      <c r="B152" s="88" t="s">
        <v>246</v>
      </c>
      <c r="C152" s="64" t="s">
        <v>72</v>
      </c>
      <c r="D152" s="103" t="s">
        <v>247</v>
      </c>
      <c r="E152" s="91" t="s">
        <v>162</v>
      </c>
      <c r="F152" s="92">
        <f>VLOOKUP(E152,'условия, ФОТ'!$A$14:$I$32,9, FALSE)</f>
        <v>164.09</v>
      </c>
      <c r="G152" s="94">
        <f>0.11*13</f>
        <v>1.43</v>
      </c>
      <c r="H152" s="92">
        <f t="shared" si="37"/>
        <v>234.65</v>
      </c>
      <c r="I152" s="92">
        <f t="shared" si="62"/>
        <v>70.86</v>
      </c>
      <c r="J152" s="92">
        <f t="shared" si="34"/>
        <v>305.51</v>
      </c>
      <c r="K152" s="93"/>
      <c r="L152" s="92"/>
      <c r="M152" s="92"/>
      <c r="N152" s="92"/>
      <c r="O152" s="92"/>
      <c r="P152" s="92">
        <f t="shared" si="40"/>
        <v>305.51</v>
      </c>
      <c r="Q152" s="92">
        <f t="shared" si="63"/>
        <v>233.1</v>
      </c>
      <c r="R152" s="148">
        <f t="shared" si="66"/>
        <v>592.5</v>
      </c>
      <c r="S152" s="115">
        <f t="shared" si="64"/>
        <v>118.5</v>
      </c>
      <c r="T152" s="148">
        <f t="shared" si="65"/>
        <v>711</v>
      </c>
      <c r="U152" s="148">
        <v>591</v>
      </c>
      <c r="V152" s="78">
        <f t="shared" si="1"/>
        <v>20.304568527918775</v>
      </c>
    </row>
    <row r="153" spans="1:22" ht="36.950000000000003" hidden="1" customHeight="1" x14ac:dyDescent="0.25">
      <c r="A153" s="88" t="s">
        <v>482</v>
      </c>
      <c r="B153" s="88" t="s">
        <v>248</v>
      </c>
      <c r="C153" s="90" t="s">
        <v>73</v>
      </c>
      <c r="D153" s="92" t="s">
        <v>184</v>
      </c>
      <c r="E153" s="91" t="s">
        <v>162</v>
      </c>
      <c r="F153" s="92">
        <f>VLOOKUP(E153,'условия, ФОТ'!$A$14:$I$32,9, FALSE)</f>
        <v>164.09</v>
      </c>
      <c r="G153" s="94">
        <v>0.5</v>
      </c>
      <c r="H153" s="92">
        <f t="shared" si="37"/>
        <v>82.05</v>
      </c>
      <c r="I153" s="92">
        <f t="shared" si="62"/>
        <v>24.78</v>
      </c>
      <c r="J153" s="92">
        <f t="shared" si="34"/>
        <v>106.83</v>
      </c>
      <c r="K153" s="93"/>
      <c r="L153" s="92"/>
      <c r="M153" s="92"/>
      <c r="N153" s="92"/>
      <c r="O153" s="92"/>
      <c r="P153" s="92">
        <f t="shared" si="40"/>
        <v>106.83</v>
      </c>
      <c r="Q153" s="92">
        <f t="shared" si="63"/>
        <v>81.510000000000005</v>
      </c>
      <c r="R153" s="148">
        <f t="shared" si="66"/>
        <v>207.5</v>
      </c>
      <c r="S153" s="115">
        <f t="shared" si="64"/>
        <v>41.5</v>
      </c>
      <c r="T153" s="148">
        <f t="shared" si="65"/>
        <v>249</v>
      </c>
      <c r="U153" s="148">
        <v>207</v>
      </c>
      <c r="V153" s="78">
        <f t="shared" si="1"/>
        <v>20.289855072463766</v>
      </c>
    </row>
    <row r="154" spans="1:22" hidden="1" x14ac:dyDescent="0.25">
      <c r="A154" s="88" t="s">
        <v>483</v>
      </c>
      <c r="B154" s="88" t="s">
        <v>249</v>
      </c>
      <c r="C154" s="90" t="s">
        <v>74</v>
      </c>
      <c r="D154" s="92" t="s">
        <v>184</v>
      </c>
      <c r="E154" s="91" t="s">
        <v>162</v>
      </c>
      <c r="F154" s="92">
        <f>VLOOKUP(E154,'условия, ФОТ'!$A$14:$I$32,9, FALSE)</f>
        <v>164.09</v>
      </c>
      <c r="G154" s="94">
        <v>0.67</v>
      </c>
      <c r="H154" s="92">
        <f t="shared" si="37"/>
        <v>109.94</v>
      </c>
      <c r="I154" s="92">
        <f t="shared" si="62"/>
        <v>33.200000000000003</v>
      </c>
      <c r="J154" s="92">
        <f t="shared" si="34"/>
        <v>143.13999999999999</v>
      </c>
      <c r="K154" s="93"/>
      <c r="L154" s="92"/>
      <c r="M154" s="92"/>
      <c r="N154" s="92"/>
      <c r="O154" s="92"/>
      <c r="P154" s="92">
        <f t="shared" si="40"/>
        <v>143.13999999999999</v>
      </c>
      <c r="Q154" s="92">
        <f t="shared" si="63"/>
        <v>109.22</v>
      </c>
      <c r="R154" s="148">
        <f t="shared" si="66"/>
        <v>277.5</v>
      </c>
      <c r="S154" s="115">
        <f t="shared" si="64"/>
        <v>55.5</v>
      </c>
      <c r="T154" s="148">
        <f t="shared" si="65"/>
        <v>333</v>
      </c>
      <c r="U154" s="148">
        <v>277</v>
      </c>
      <c r="V154" s="78">
        <f t="shared" si="1"/>
        <v>20.216606498194949</v>
      </c>
    </row>
    <row r="155" spans="1:22" hidden="1" x14ac:dyDescent="0.25">
      <c r="A155" s="88" t="s">
        <v>484</v>
      </c>
      <c r="B155" s="88" t="s">
        <v>250</v>
      </c>
      <c r="C155" s="90" t="s">
        <v>75</v>
      </c>
      <c r="D155" s="92" t="s">
        <v>184</v>
      </c>
      <c r="E155" s="91" t="s">
        <v>162</v>
      </c>
      <c r="F155" s="92">
        <f>VLOOKUP(E155,'условия, ФОТ'!$A$14:$I$32,9, FALSE)</f>
        <v>164.09</v>
      </c>
      <c r="G155" s="94">
        <v>0.24</v>
      </c>
      <c r="H155" s="92">
        <f t="shared" si="37"/>
        <v>39.380000000000003</v>
      </c>
      <c r="I155" s="92">
        <f t="shared" si="62"/>
        <v>11.89</v>
      </c>
      <c r="J155" s="92">
        <f t="shared" si="34"/>
        <v>51.27</v>
      </c>
      <c r="K155" s="93"/>
      <c r="L155" s="92"/>
      <c r="M155" s="92"/>
      <c r="N155" s="92"/>
      <c r="O155" s="92"/>
      <c r="P155" s="92">
        <f t="shared" si="40"/>
        <v>51.27</v>
      </c>
      <c r="Q155" s="92">
        <f t="shared" si="63"/>
        <v>39.119999999999997</v>
      </c>
      <c r="R155" s="148">
        <f t="shared" si="66"/>
        <v>99.17</v>
      </c>
      <c r="S155" s="115">
        <f t="shared" si="64"/>
        <v>19.829999999999998</v>
      </c>
      <c r="T155" s="148">
        <f t="shared" si="65"/>
        <v>119</v>
      </c>
      <c r="U155" s="148">
        <v>99</v>
      </c>
      <c r="V155" s="78">
        <f t="shared" si="1"/>
        <v>20.202020202020194</v>
      </c>
    </row>
    <row r="156" spans="1:22" hidden="1" x14ac:dyDescent="0.25">
      <c r="A156" s="88" t="s">
        <v>485</v>
      </c>
      <c r="B156" s="88" t="s">
        <v>251</v>
      </c>
      <c r="C156" s="90" t="s">
        <v>76</v>
      </c>
      <c r="D156" s="92" t="s">
        <v>245</v>
      </c>
      <c r="E156" s="91" t="s">
        <v>162</v>
      </c>
      <c r="F156" s="92">
        <f>VLOOKUP(E156,'условия, ФОТ'!$A$14:$I$32,9, FALSE)</f>
        <v>164.09</v>
      </c>
      <c r="G156" s="94">
        <v>0.51</v>
      </c>
      <c r="H156" s="92">
        <f t="shared" ref="H156:H226" si="67">ROUND(F156*G156,2)</f>
        <v>83.69</v>
      </c>
      <c r="I156" s="92">
        <f t="shared" si="62"/>
        <v>25.27</v>
      </c>
      <c r="J156" s="92">
        <f t="shared" ref="J156:J226" si="68">H156+I156</f>
        <v>108.96</v>
      </c>
      <c r="K156" s="93"/>
      <c r="L156" s="92"/>
      <c r="M156" s="92"/>
      <c r="N156" s="92"/>
      <c r="O156" s="92"/>
      <c r="P156" s="92">
        <f t="shared" ref="P156:P226" si="69">J156+O156</f>
        <v>108.96</v>
      </c>
      <c r="Q156" s="92">
        <f t="shared" si="63"/>
        <v>83.14</v>
      </c>
      <c r="R156" s="148">
        <f t="shared" si="66"/>
        <v>211.67</v>
      </c>
      <c r="S156" s="115">
        <f t="shared" si="64"/>
        <v>42.33</v>
      </c>
      <c r="T156" s="148">
        <f t="shared" si="65"/>
        <v>254</v>
      </c>
      <c r="U156" s="148">
        <v>211</v>
      </c>
      <c r="V156" s="78">
        <f t="shared" ref="V156:V224" si="70">T156/U156*100-100</f>
        <v>20.379146919431278</v>
      </c>
    </row>
    <row r="157" spans="1:22" hidden="1" x14ac:dyDescent="0.25">
      <c r="A157" s="88" t="s">
        <v>486</v>
      </c>
      <c r="B157" s="88" t="s">
        <v>27</v>
      </c>
      <c r="C157" s="90" t="s">
        <v>417</v>
      </c>
      <c r="D157" s="92" t="s">
        <v>418</v>
      </c>
      <c r="E157" s="91" t="s">
        <v>162</v>
      </c>
      <c r="F157" s="92">
        <f>VLOOKUP(E157,'условия, ФОТ'!$A$14:$I$32,9, FALSE)</f>
        <v>164.09</v>
      </c>
      <c r="G157" s="94">
        <v>0.51</v>
      </c>
      <c r="H157" s="92">
        <f t="shared" si="67"/>
        <v>83.69</v>
      </c>
      <c r="I157" s="92">
        <f t="shared" si="62"/>
        <v>25.27</v>
      </c>
      <c r="J157" s="92">
        <f t="shared" si="68"/>
        <v>108.96</v>
      </c>
      <c r="K157" s="93"/>
      <c r="L157" s="92"/>
      <c r="M157" s="92"/>
      <c r="N157" s="92"/>
      <c r="O157" s="92"/>
      <c r="P157" s="92">
        <f t="shared" si="69"/>
        <v>108.96</v>
      </c>
      <c r="Q157" s="92">
        <f t="shared" si="63"/>
        <v>83.14</v>
      </c>
      <c r="R157" s="148">
        <f t="shared" si="66"/>
        <v>211.67</v>
      </c>
      <c r="S157" s="115">
        <f t="shared" si="64"/>
        <v>42.33</v>
      </c>
      <c r="T157" s="148">
        <f t="shared" si="65"/>
        <v>254</v>
      </c>
      <c r="U157" s="148">
        <v>211</v>
      </c>
      <c r="V157" s="78"/>
    </row>
    <row r="158" spans="1:22" hidden="1" x14ac:dyDescent="0.25">
      <c r="A158" s="88" t="s">
        <v>487</v>
      </c>
      <c r="B158" s="88" t="s">
        <v>252</v>
      </c>
      <c r="C158" s="90" t="s">
        <v>77</v>
      </c>
      <c r="D158" s="92" t="s">
        <v>253</v>
      </c>
      <c r="E158" s="91" t="s">
        <v>162</v>
      </c>
      <c r="F158" s="92">
        <f>VLOOKUP(E158,'условия, ФОТ'!$A$14:$I$32,9, FALSE)</f>
        <v>164.09</v>
      </c>
      <c r="G158" s="94">
        <v>0.33</v>
      </c>
      <c r="H158" s="92">
        <f t="shared" si="67"/>
        <v>54.15</v>
      </c>
      <c r="I158" s="92">
        <f t="shared" si="62"/>
        <v>16.350000000000001</v>
      </c>
      <c r="J158" s="92">
        <f t="shared" si="68"/>
        <v>70.5</v>
      </c>
      <c r="K158" s="93"/>
      <c r="L158" s="92"/>
      <c r="M158" s="92"/>
      <c r="N158" s="92"/>
      <c r="O158" s="92"/>
      <c r="P158" s="92">
        <f t="shared" si="69"/>
        <v>70.5</v>
      </c>
      <c r="Q158" s="92">
        <f t="shared" si="63"/>
        <v>53.79</v>
      </c>
      <c r="R158" s="148">
        <f t="shared" si="66"/>
        <v>136.66999999999999</v>
      </c>
      <c r="S158" s="115">
        <f t="shared" si="64"/>
        <v>27.33</v>
      </c>
      <c r="T158" s="148">
        <f t="shared" si="65"/>
        <v>164</v>
      </c>
      <c r="U158" s="148">
        <v>136</v>
      </c>
      <c r="V158" s="78">
        <f t="shared" si="70"/>
        <v>20.588235294117638</v>
      </c>
    </row>
    <row r="159" spans="1:22" hidden="1" x14ac:dyDescent="0.25">
      <c r="A159" s="88" t="s">
        <v>488</v>
      </c>
      <c r="B159" s="88" t="s">
        <v>27</v>
      </c>
      <c r="C159" s="90" t="s">
        <v>416</v>
      </c>
      <c r="D159" s="92" t="s">
        <v>190</v>
      </c>
      <c r="E159" s="91" t="s">
        <v>162</v>
      </c>
      <c r="F159" s="92">
        <f>VLOOKUP(E159,'условия, ФОТ'!$A$14:$I$32,9, FALSE)</f>
        <v>164.09</v>
      </c>
      <c r="G159" s="94">
        <v>0.33</v>
      </c>
      <c r="H159" s="92">
        <f t="shared" ref="H159" si="71">ROUND(F159*G159,2)</f>
        <v>54.15</v>
      </c>
      <c r="I159" s="92">
        <f t="shared" si="62"/>
        <v>16.350000000000001</v>
      </c>
      <c r="J159" s="92">
        <f t="shared" ref="J159" si="72">H159+I159</f>
        <v>70.5</v>
      </c>
      <c r="K159" s="93"/>
      <c r="L159" s="92"/>
      <c r="M159" s="92"/>
      <c r="N159" s="92"/>
      <c r="O159" s="92"/>
      <c r="P159" s="92">
        <f t="shared" ref="P159" si="73">J159+O159</f>
        <v>70.5</v>
      </c>
      <c r="Q159" s="92">
        <f t="shared" si="63"/>
        <v>53.79</v>
      </c>
      <c r="R159" s="148">
        <f t="shared" si="66"/>
        <v>136.66999999999999</v>
      </c>
      <c r="S159" s="115">
        <f t="shared" si="64"/>
        <v>27.33</v>
      </c>
      <c r="T159" s="148">
        <f t="shared" si="65"/>
        <v>164</v>
      </c>
      <c r="U159" s="148">
        <v>136</v>
      </c>
      <c r="V159" s="78"/>
    </row>
    <row r="160" spans="1:22" hidden="1" x14ac:dyDescent="0.25">
      <c r="A160" s="88" t="s">
        <v>489</v>
      </c>
      <c r="B160" s="88" t="s">
        <v>254</v>
      </c>
      <c r="C160" s="90" t="s">
        <v>78</v>
      </c>
      <c r="D160" s="92" t="s">
        <v>186</v>
      </c>
      <c r="E160" s="91" t="s">
        <v>162</v>
      </c>
      <c r="F160" s="92">
        <f>VLOOKUP(E160,'условия, ФОТ'!$A$14:$I$32,9, FALSE)</f>
        <v>164.09</v>
      </c>
      <c r="G160" s="94">
        <v>0.5</v>
      </c>
      <c r="H160" s="92">
        <f t="shared" si="67"/>
        <v>82.05</v>
      </c>
      <c r="I160" s="92">
        <f t="shared" si="62"/>
        <v>24.78</v>
      </c>
      <c r="J160" s="92">
        <f t="shared" si="68"/>
        <v>106.83</v>
      </c>
      <c r="K160" s="93"/>
      <c r="L160" s="92"/>
      <c r="M160" s="92"/>
      <c r="N160" s="92"/>
      <c r="O160" s="92"/>
      <c r="P160" s="92">
        <f t="shared" si="69"/>
        <v>106.83</v>
      </c>
      <c r="Q160" s="92">
        <f t="shared" si="63"/>
        <v>81.510000000000005</v>
      </c>
      <c r="R160" s="148">
        <f t="shared" si="66"/>
        <v>207.5</v>
      </c>
      <c r="S160" s="115">
        <f t="shared" si="64"/>
        <v>41.5</v>
      </c>
      <c r="T160" s="148">
        <f t="shared" si="65"/>
        <v>249</v>
      </c>
      <c r="U160" s="148">
        <v>207</v>
      </c>
      <c r="V160" s="78">
        <f t="shared" si="70"/>
        <v>20.289855072463766</v>
      </c>
    </row>
    <row r="161" spans="1:22" hidden="1" x14ac:dyDescent="0.25">
      <c r="A161" s="88" t="s">
        <v>490</v>
      </c>
      <c r="B161" s="88" t="s">
        <v>255</v>
      </c>
      <c r="C161" s="90" t="s">
        <v>79</v>
      </c>
      <c r="D161" s="92" t="s">
        <v>186</v>
      </c>
      <c r="E161" s="91" t="s">
        <v>162</v>
      </c>
      <c r="F161" s="92">
        <f>VLOOKUP(E161,'условия, ФОТ'!$A$14:$I$32,9, FALSE)</f>
        <v>164.09</v>
      </c>
      <c r="G161" s="94">
        <v>0.33</v>
      </c>
      <c r="H161" s="92">
        <f t="shared" si="67"/>
        <v>54.15</v>
      </c>
      <c r="I161" s="92">
        <f t="shared" si="62"/>
        <v>16.350000000000001</v>
      </c>
      <c r="J161" s="92">
        <f t="shared" si="68"/>
        <v>70.5</v>
      </c>
      <c r="K161" s="93"/>
      <c r="L161" s="92"/>
      <c r="M161" s="92"/>
      <c r="N161" s="92"/>
      <c r="O161" s="92"/>
      <c r="P161" s="92">
        <f t="shared" si="69"/>
        <v>70.5</v>
      </c>
      <c r="Q161" s="92">
        <f t="shared" si="63"/>
        <v>53.79</v>
      </c>
      <c r="R161" s="148">
        <f t="shared" si="66"/>
        <v>136.66999999999999</v>
      </c>
      <c r="S161" s="115">
        <f t="shared" si="64"/>
        <v>27.33</v>
      </c>
      <c r="T161" s="148">
        <f t="shared" si="65"/>
        <v>164</v>
      </c>
      <c r="U161" s="148">
        <v>136</v>
      </c>
      <c r="V161" s="78">
        <f t="shared" si="70"/>
        <v>20.588235294117638</v>
      </c>
    </row>
    <row r="162" spans="1:22" ht="25.5" hidden="1" x14ac:dyDescent="0.25">
      <c r="A162" s="88" t="s">
        <v>491</v>
      </c>
      <c r="B162" s="88" t="s">
        <v>256</v>
      </c>
      <c r="C162" s="90" t="s">
        <v>80</v>
      </c>
      <c r="D162" s="92" t="s">
        <v>186</v>
      </c>
      <c r="E162" s="91" t="s">
        <v>162</v>
      </c>
      <c r="F162" s="92">
        <f>VLOOKUP(E162,'условия, ФОТ'!$A$14:$I$32,9, FALSE)</f>
        <v>164.09</v>
      </c>
      <c r="G162" s="94">
        <v>1</v>
      </c>
      <c r="H162" s="92">
        <f t="shared" si="67"/>
        <v>164.09</v>
      </c>
      <c r="I162" s="92">
        <f t="shared" si="62"/>
        <v>49.56</v>
      </c>
      <c r="J162" s="92">
        <f t="shared" si="68"/>
        <v>213.65</v>
      </c>
      <c r="K162" s="93"/>
      <c r="L162" s="92"/>
      <c r="M162" s="92"/>
      <c r="N162" s="92"/>
      <c r="O162" s="92"/>
      <c r="P162" s="92">
        <f t="shared" si="69"/>
        <v>213.65</v>
      </c>
      <c r="Q162" s="92">
        <f t="shared" si="63"/>
        <v>163.01</v>
      </c>
      <c r="R162" s="148">
        <f t="shared" si="66"/>
        <v>414.17</v>
      </c>
      <c r="S162" s="115">
        <f t="shared" si="64"/>
        <v>82.83</v>
      </c>
      <c r="T162" s="148">
        <f t="shared" si="65"/>
        <v>497</v>
      </c>
      <c r="U162" s="148">
        <v>413</v>
      </c>
      <c r="V162" s="78">
        <f t="shared" si="70"/>
        <v>20.338983050847446</v>
      </c>
    </row>
    <row r="163" spans="1:22" hidden="1" x14ac:dyDescent="0.25">
      <c r="A163" s="88" t="s">
        <v>492</v>
      </c>
      <c r="B163" s="88" t="s">
        <v>257</v>
      </c>
      <c r="C163" s="90" t="s">
        <v>81</v>
      </c>
      <c r="D163" s="92" t="s">
        <v>258</v>
      </c>
      <c r="E163" s="91" t="s">
        <v>162</v>
      </c>
      <c r="F163" s="92">
        <f>VLOOKUP(E163,'условия, ФОТ'!$A$14:$I$32,9, FALSE)</f>
        <v>164.09</v>
      </c>
      <c r="G163" s="94">
        <v>0.25</v>
      </c>
      <c r="H163" s="92">
        <f t="shared" si="67"/>
        <v>41.02</v>
      </c>
      <c r="I163" s="92">
        <f t="shared" si="62"/>
        <v>12.39</v>
      </c>
      <c r="J163" s="92">
        <f t="shared" si="68"/>
        <v>53.410000000000004</v>
      </c>
      <c r="K163" s="93"/>
      <c r="L163" s="92"/>
      <c r="M163" s="92"/>
      <c r="N163" s="92"/>
      <c r="O163" s="92"/>
      <c r="P163" s="92">
        <f t="shared" si="69"/>
        <v>53.410000000000004</v>
      </c>
      <c r="Q163" s="92">
        <f t="shared" si="63"/>
        <v>40.75</v>
      </c>
      <c r="R163" s="148">
        <f t="shared" si="66"/>
        <v>103.33</v>
      </c>
      <c r="S163" s="115">
        <f t="shared" si="64"/>
        <v>20.67</v>
      </c>
      <c r="T163" s="148">
        <f t="shared" si="65"/>
        <v>124</v>
      </c>
      <c r="U163" s="148">
        <v>103</v>
      </c>
      <c r="V163" s="78">
        <f t="shared" si="70"/>
        <v>20.388349514563103</v>
      </c>
    </row>
    <row r="164" spans="1:22" hidden="1" x14ac:dyDescent="0.25">
      <c r="A164" s="88" t="s">
        <v>493</v>
      </c>
      <c r="B164" s="88" t="s">
        <v>259</v>
      </c>
      <c r="C164" s="90" t="s">
        <v>82</v>
      </c>
      <c r="D164" s="92" t="s">
        <v>260</v>
      </c>
      <c r="E164" s="91" t="s">
        <v>162</v>
      </c>
      <c r="F164" s="92">
        <f>VLOOKUP(E164,'условия, ФОТ'!$A$14:$I$32,9, FALSE)</f>
        <v>164.09</v>
      </c>
      <c r="G164" s="94">
        <v>0.1</v>
      </c>
      <c r="H164" s="92">
        <f t="shared" si="67"/>
        <v>16.41</v>
      </c>
      <c r="I164" s="92">
        <f t="shared" si="62"/>
        <v>4.96</v>
      </c>
      <c r="J164" s="92">
        <f t="shared" si="68"/>
        <v>21.37</v>
      </c>
      <c r="K164" s="93"/>
      <c r="L164" s="92"/>
      <c r="M164" s="92"/>
      <c r="N164" s="92"/>
      <c r="O164" s="92"/>
      <c r="P164" s="92">
        <f t="shared" si="69"/>
        <v>21.37</v>
      </c>
      <c r="Q164" s="92">
        <f t="shared" si="63"/>
        <v>16.309999999999999</v>
      </c>
      <c r="R164" s="148">
        <f t="shared" si="66"/>
        <v>41.67</v>
      </c>
      <c r="S164" s="115">
        <f t="shared" si="64"/>
        <v>8.33</v>
      </c>
      <c r="T164" s="148">
        <f t="shared" si="65"/>
        <v>50</v>
      </c>
      <c r="U164" s="148">
        <v>41</v>
      </c>
      <c r="V164" s="78">
        <f t="shared" si="70"/>
        <v>21.951219512195124</v>
      </c>
    </row>
    <row r="165" spans="1:22" hidden="1" x14ac:dyDescent="0.25">
      <c r="A165" s="88" t="s">
        <v>494</v>
      </c>
      <c r="B165" s="88" t="s">
        <v>262</v>
      </c>
      <c r="C165" s="90" t="s">
        <v>83</v>
      </c>
      <c r="D165" s="92" t="s">
        <v>261</v>
      </c>
      <c r="E165" s="91" t="s">
        <v>162</v>
      </c>
      <c r="F165" s="92">
        <f>VLOOKUP(E165,'условия, ФОТ'!$A$14:$I$32,9, FALSE)</f>
        <v>164.09</v>
      </c>
      <c r="G165" s="94">
        <v>0.52</v>
      </c>
      <c r="H165" s="92">
        <f t="shared" si="67"/>
        <v>85.33</v>
      </c>
      <c r="I165" s="92">
        <f t="shared" si="62"/>
        <v>25.77</v>
      </c>
      <c r="J165" s="92">
        <f t="shared" si="68"/>
        <v>111.1</v>
      </c>
      <c r="K165" s="93"/>
      <c r="L165" s="92"/>
      <c r="M165" s="92"/>
      <c r="N165" s="92"/>
      <c r="O165" s="92"/>
      <c r="P165" s="92">
        <f t="shared" si="69"/>
        <v>111.1</v>
      </c>
      <c r="Q165" s="92">
        <f t="shared" si="63"/>
        <v>84.77</v>
      </c>
      <c r="R165" s="148">
        <f t="shared" si="66"/>
        <v>215.83</v>
      </c>
      <c r="S165" s="115">
        <f t="shared" si="64"/>
        <v>43.17</v>
      </c>
      <c r="T165" s="148">
        <f t="shared" si="65"/>
        <v>259</v>
      </c>
      <c r="U165" s="148">
        <v>215</v>
      </c>
      <c r="V165" s="78">
        <f t="shared" si="70"/>
        <v>20.465116279069775</v>
      </c>
    </row>
    <row r="166" spans="1:22" hidden="1" x14ac:dyDescent="0.25">
      <c r="A166" s="88" t="s">
        <v>495</v>
      </c>
      <c r="B166" s="88" t="s">
        <v>263</v>
      </c>
      <c r="C166" s="90" t="s">
        <v>84</v>
      </c>
      <c r="D166" s="92" t="s">
        <v>261</v>
      </c>
      <c r="E166" s="91" t="s">
        <v>162</v>
      </c>
      <c r="F166" s="92">
        <f>VLOOKUP(E166,'условия, ФОТ'!$A$14:$I$32,9, FALSE)</f>
        <v>164.09</v>
      </c>
      <c r="G166" s="94">
        <v>0.32</v>
      </c>
      <c r="H166" s="92">
        <f t="shared" si="67"/>
        <v>52.51</v>
      </c>
      <c r="I166" s="92">
        <f t="shared" si="62"/>
        <v>15.86</v>
      </c>
      <c r="J166" s="92">
        <f t="shared" si="68"/>
        <v>68.37</v>
      </c>
      <c r="K166" s="93"/>
      <c r="L166" s="92"/>
      <c r="M166" s="92"/>
      <c r="N166" s="92"/>
      <c r="O166" s="92"/>
      <c r="P166" s="92">
        <f t="shared" si="69"/>
        <v>68.37</v>
      </c>
      <c r="Q166" s="92">
        <f t="shared" si="63"/>
        <v>52.17</v>
      </c>
      <c r="R166" s="148">
        <f t="shared" si="66"/>
        <v>132.5</v>
      </c>
      <c r="S166" s="115">
        <f t="shared" si="64"/>
        <v>26.5</v>
      </c>
      <c r="T166" s="148">
        <f t="shared" si="65"/>
        <v>159</v>
      </c>
      <c r="U166" s="148">
        <v>132</v>
      </c>
      <c r="V166" s="78">
        <f t="shared" si="70"/>
        <v>20.454545454545453</v>
      </c>
    </row>
    <row r="167" spans="1:22" hidden="1" x14ac:dyDescent="0.25">
      <c r="A167" s="88" t="s">
        <v>496</v>
      </c>
      <c r="B167" s="88" t="s">
        <v>264</v>
      </c>
      <c r="C167" s="90" t="s">
        <v>85</v>
      </c>
      <c r="D167" s="92" t="s">
        <v>198</v>
      </c>
      <c r="E167" s="91" t="s">
        <v>162</v>
      </c>
      <c r="F167" s="92">
        <f>VLOOKUP(E167,'условия, ФОТ'!$A$14:$I$32,9, FALSE)</f>
        <v>164.09</v>
      </c>
      <c r="G167" s="94">
        <v>0.4</v>
      </c>
      <c r="H167" s="92">
        <f t="shared" si="67"/>
        <v>65.64</v>
      </c>
      <c r="I167" s="92">
        <f t="shared" si="62"/>
        <v>19.82</v>
      </c>
      <c r="J167" s="92">
        <f t="shared" si="68"/>
        <v>85.460000000000008</v>
      </c>
      <c r="K167" s="93"/>
      <c r="L167" s="92"/>
      <c r="M167" s="92"/>
      <c r="N167" s="92"/>
      <c r="O167" s="92"/>
      <c r="P167" s="92">
        <f t="shared" si="69"/>
        <v>85.460000000000008</v>
      </c>
      <c r="Q167" s="92">
        <f t="shared" si="63"/>
        <v>65.209999999999994</v>
      </c>
      <c r="R167" s="148">
        <f t="shared" si="66"/>
        <v>165.83</v>
      </c>
      <c r="S167" s="115">
        <f t="shared" si="64"/>
        <v>33.17</v>
      </c>
      <c r="T167" s="148">
        <f t="shared" si="65"/>
        <v>199</v>
      </c>
      <c r="U167" s="148">
        <v>165</v>
      </c>
      <c r="V167" s="78">
        <f t="shared" si="70"/>
        <v>20.606060606060609</v>
      </c>
    </row>
    <row r="168" spans="1:22" hidden="1" x14ac:dyDescent="0.25">
      <c r="A168" s="88" t="s">
        <v>497</v>
      </c>
      <c r="B168" s="88" t="s">
        <v>265</v>
      </c>
      <c r="C168" s="90" t="s">
        <v>86</v>
      </c>
      <c r="D168" s="92" t="s">
        <v>198</v>
      </c>
      <c r="E168" s="91" t="s">
        <v>162</v>
      </c>
      <c r="F168" s="92">
        <f>VLOOKUP(E168,'условия, ФОТ'!$A$14:$I$32,9, FALSE)</f>
        <v>164.09</v>
      </c>
      <c r="G168" s="94">
        <v>0.55000000000000004</v>
      </c>
      <c r="H168" s="92">
        <f t="shared" si="67"/>
        <v>90.25</v>
      </c>
      <c r="I168" s="92">
        <f t="shared" si="62"/>
        <v>27.26</v>
      </c>
      <c r="J168" s="92">
        <f t="shared" si="68"/>
        <v>117.51</v>
      </c>
      <c r="K168" s="93"/>
      <c r="L168" s="92"/>
      <c r="M168" s="92"/>
      <c r="N168" s="92"/>
      <c r="O168" s="92"/>
      <c r="P168" s="92">
        <f t="shared" si="69"/>
        <v>117.51</v>
      </c>
      <c r="Q168" s="92">
        <f t="shared" si="63"/>
        <v>89.66</v>
      </c>
      <c r="R168" s="148">
        <f t="shared" si="66"/>
        <v>227.5</v>
      </c>
      <c r="S168" s="115">
        <f t="shared" si="64"/>
        <v>45.5</v>
      </c>
      <c r="T168" s="148">
        <f t="shared" si="65"/>
        <v>273</v>
      </c>
      <c r="U168" s="148">
        <v>227</v>
      </c>
      <c r="V168" s="78">
        <f t="shared" si="70"/>
        <v>20.264317180616743</v>
      </c>
    </row>
    <row r="169" spans="1:22" ht="25.5" hidden="1" x14ac:dyDescent="0.25">
      <c r="A169" s="88" t="s">
        <v>498</v>
      </c>
      <c r="B169" s="88" t="s">
        <v>266</v>
      </c>
      <c r="C169" s="90" t="s">
        <v>87</v>
      </c>
      <c r="D169" s="92" t="s">
        <v>198</v>
      </c>
      <c r="E169" s="91" t="s">
        <v>162</v>
      </c>
      <c r="F169" s="92">
        <f>VLOOKUP(E169,'условия, ФОТ'!$A$14:$I$32,9, FALSE)</f>
        <v>164.09</v>
      </c>
      <c r="G169" s="94">
        <v>0.75</v>
      </c>
      <c r="H169" s="92">
        <f t="shared" si="67"/>
        <v>123.07</v>
      </c>
      <c r="I169" s="92">
        <f t="shared" si="62"/>
        <v>37.17</v>
      </c>
      <c r="J169" s="92">
        <f t="shared" si="68"/>
        <v>160.24</v>
      </c>
      <c r="K169" s="93"/>
      <c r="L169" s="92"/>
      <c r="M169" s="92"/>
      <c r="N169" s="92"/>
      <c r="O169" s="92"/>
      <c r="P169" s="92">
        <f t="shared" si="69"/>
        <v>160.24</v>
      </c>
      <c r="Q169" s="92">
        <f t="shared" si="63"/>
        <v>122.26</v>
      </c>
      <c r="R169" s="148">
        <f t="shared" si="66"/>
        <v>310.83</v>
      </c>
      <c r="S169" s="115">
        <f t="shared" si="64"/>
        <v>62.17</v>
      </c>
      <c r="T169" s="148">
        <f t="shared" si="65"/>
        <v>373</v>
      </c>
      <c r="U169" s="148">
        <v>310</v>
      </c>
      <c r="V169" s="78">
        <f t="shared" si="70"/>
        <v>20.322580645161281</v>
      </c>
    </row>
    <row r="170" spans="1:22" ht="17.25" hidden="1" customHeight="1" x14ac:dyDescent="0.25">
      <c r="A170" s="88" t="s">
        <v>499</v>
      </c>
      <c r="B170" s="88" t="s">
        <v>267</v>
      </c>
      <c r="C170" s="90" t="s">
        <v>88</v>
      </c>
      <c r="D170" s="92" t="s">
        <v>177</v>
      </c>
      <c r="E170" s="91" t="s">
        <v>162</v>
      </c>
      <c r="F170" s="92">
        <f>VLOOKUP(E170,'условия, ФОТ'!$A$14:$I$32,9, FALSE)</f>
        <v>164.09</v>
      </c>
      <c r="G170" s="94">
        <v>0.8</v>
      </c>
      <c r="H170" s="92">
        <f t="shared" si="67"/>
        <v>131.27000000000001</v>
      </c>
      <c r="I170" s="92">
        <f t="shared" si="62"/>
        <v>39.64</v>
      </c>
      <c r="J170" s="92">
        <f t="shared" si="68"/>
        <v>170.91000000000003</v>
      </c>
      <c r="K170" s="93"/>
      <c r="L170" s="92"/>
      <c r="M170" s="92"/>
      <c r="N170" s="92"/>
      <c r="O170" s="92"/>
      <c r="P170" s="92">
        <f t="shared" si="69"/>
        <v>170.91000000000003</v>
      </c>
      <c r="Q170" s="92">
        <f t="shared" si="63"/>
        <v>130.4</v>
      </c>
      <c r="R170" s="148">
        <f t="shared" si="66"/>
        <v>331.67</v>
      </c>
      <c r="S170" s="115">
        <f t="shared" si="64"/>
        <v>66.33</v>
      </c>
      <c r="T170" s="148">
        <f t="shared" si="65"/>
        <v>398</v>
      </c>
      <c r="U170" s="148">
        <v>331</v>
      </c>
      <c r="V170" s="78">
        <f t="shared" si="70"/>
        <v>20.241691842900295</v>
      </c>
    </row>
    <row r="171" spans="1:22" ht="31.7" hidden="1" customHeight="1" x14ac:dyDescent="0.25">
      <c r="A171" s="88" t="s">
        <v>500</v>
      </c>
      <c r="B171" s="88" t="s">
        <v>268</v>
      </c>
      <c r="C171" s="90" t="s">
        <v>89</v>
      </c>
      <c r="D171" s="92" t="s">
        <v>198</v>
      </c>
      <c r="E171" s="91" t="s">
        <v>162</v>
      </c>
      <c r="F171" s="92">
        <f>VLOOKUP(E171,'условия, ФОТ'!$A$14:$I$32,9, FALSE)</f>
        <v>164.09</v>
      </c>
      <c r="G171" s="94">
        <v>1</v>
      </c>
      <c r="H171" s="92">
        <f t="shared" si="67"/>
        <v>164.09</v>
      </c>
      <c r="I171" s="92">
        <f t="shared" si="62"/>
        <v>49.56</v>
      </c>
      <c r="J171" s="92">
        <f t="shared" si="68"/>
        <v>213.65</v>
      </c>
      <c r="K171" s="93"/>
      <c r="L171" s="92"/>
      <c r="M171" s="92"/>
      <c r="N171" s="92"/>
      <c r="O171" s="92"/>
      <c r="P171" s="92">
        <f t="shared" si="69"/>
        <v>213.65</v>
      </c>
      <c r="Q171" s="92">
        <f t="shared" si="63"/>
        <v>163.01</v>
      </c>
      <c r="R171" s="148">
        <f t="shared" si="66"/>
        <v>414.17</v>
      </c>
      <c r="S171" s="115">
        <f t="shared" si="64"/>
        <v>82.83</v>
      </c>
      <c r="T171" s="148">
        <f t="shared" si="65"/>
        <v>497</v>
      </c>
      <c r="U171" s="148">
        <v>413</v>
      </c>
      <c r="V171" s="78">
        <f t="shared" si="70"/>
        <v>20.338983050847446</v>
      </c>
    </row>
    <row r="172" spans="1:22" ht="30.75" hidden="1" customHeight="1" x14ac:dyDescent="0.25">
      <c r="A172" s="88" t="s">
        <v>501</v>
      </c>
      <c r="B172" s="88" t="s">
        <v>269</v>
      </c>
      <c r="C172" s="90" t="s">
        <v>90</v>
      </c>
      <c r="D172" s="92" t="s">
        <v>198</v>
      </c>
      <c r="E172" s="91" t="s">
        <v>162</v>
      </c>
      <c r="F172" s="92">
        <f>VLOOKUP(E172,'условия, ФОТ'!$A$14:$I$32,9, FALSE)</f>
        <v>164.09</v>
      </c>
      <c r="G172" s="94">
        <v>0.25</v>
      </c>
      <c r="H172" s="92">
        <f t="shared" si="67"/>
        <v>41.02</v>
      </c>
      <c r="I172" s="92">
        <f t="shared" ref="I172:I190" si="74">ROUND(H172*$I$5,2)</f>
        <v>12.39</v>
      </c>
      <c r="J172" s="92">
        <f t="shared" si="68"/>
        <v>53.410000000000004</v>
      </c>
      <c r="K172" s="93"/>
      <c r="L172" s="92"/>
      <c r="M172" s="92"/>
      <c r="N172" s="92"/>
      <c r="O172" s="92"/>
      <c r="P172" s="92">
        <f t="shared" si="69"/>
        <v>53.410000000000004</v>
      </c>
      <c r="Q172" s="92">
        <f t="shared" ref="Q172:Q190" si="75">ROUND(P172*$Q$5,2)</f>
        <v>40.75</v>
      </c>
      <c r="R172" s="148">
        <f t="shared" si="66"/>
        <v>103.33</v>
      </c>
      <c r="S172" s="115">
        <f t="shared" ref="S172:S190" si="76">ROUND(R172*$S$5,2)</f>
        <v>20.67</v>
      </c>
      <c r="T172" s="148">
        <f t="shared" ref="T172:T190" si="77">ROUND((P172+Q172)*(1+$R$5)*1.2,0)</f>
        <v>124</v>
      </c>
      <c r="U172" s="148">
        <v>103</v>
      </c>
      <c r="V172" s="78">
        <f t="shared" si="70"/>
        <v>20.388349514563103</v>
      </c>
    </row>
    <row r="173" spans="1:22" ht="21.75" hidden="1" customHeight="1" x14ac:dyDescent="0.25">
      <c r="A173" s="88" t="s">
        <v>502</v>
      </c>
      <c r="B173" s="88" t="s">
        <v>270</v>
      </c>
      <c r="C173" s="90" t="s">
        <v>91</v>
      </c>
      <c r="D173" s="92" t="s">
        <v>198</v>
      </c>
      <c r="E173" s="91" t="s">
        <v>162</v>
      </c>
      <c r="F173" s="92">
        <f>VLOOKUP(E173,'условия, ФОТ'!$A$14:$I$32,9, FALSE)</f>
        <v>164.09</v>
      </c>
      <c r="G173" s="94">
        <v>0.25</v>
      </c>
      <c r="H173" s="92">
        <f t="shared" si="67"/>
        <v>41.02</v>
      </c>
      <c r="I173" s="92">
        <f t="shared" si="74"/>
        <v>12.39</v>
      </c>
      <c r="J173" s="92">
        <f t="shared" si="68"/>
        <v>53.410000000000004</v>
      </c>
      <c r="K173" s="93"/>
      <c r="L173" s="92"/>
      <c r="M173" s="92"/>
      <c r="N173" s="92"/>
      <c r="O173" s="92"/>
      <c r="P173" s="92">
        <f t="shared" si="69"/>
        <v>53.410000000000004</v>
      </c>
      <c r="Q173" s="92">
        <f t="shared" si="75"/>
        <v>40.75</v>
      </c>
      <c r="R173" s="148">
        <f t="shared" si="66"/>
        <v>103.33</v>
      </c>
      <c r="S173" s="115">
        <f t="shared" si="76"/>
        <v>20.67</v>
      </c>
      <c r="T173" s="148">
        <f t="shared" si="77"/>
        <v>124</v>
      </c>
      <c r="U173" s="148">
        <v>103</v>
      </c>
      <c r="V173" s="78">
        <f t="shared" si="70"/>
        <v>20.388349514563103</v>
      </c>
    </row>
    <row r="174" spans="1:22" ht="25.5" hidden="1" x14ac:dyDescent="0.25">
      <c r="A174" s="88" t="s">
        <v>503</v>
      </c>
      <c r="B174" s="88" t="s">
        <v>271</v>
      </c>
      <c r="C174" s="64" t="s">
        <v>92</v>
      </c>
      <c r="D174" s="92" t="s">
        <v>198</v>
      </c>
      <c r="E174" s="91" t="s">
        <v>162</v>
      </c>
      <c r="F174" s="92">
        <f>VLOOKUP(E174,'условия, ФОТ'!$A$14:$I$32,9, FALSE)</f>
        <v>164.09</v>
      </c>
      <c r="G174" s="94">
        <v>0.25</v>
      </c>
      <c r="H174" s="92">
        <f t="shared" si="67"/>
        <v>41.02</v>
      </c>
      <c r="I174" s="92">
        <f t="shared" si="74"/>
        <v>12.39</v>
      </c>
      <c r="J174" s="92">
        <f t="shared" si="68"/>
        <v>53.410000000000004</v>
      </c>
      <c r="K174" s="93"/>
      <c r="L174" s="92"/>
      <c r="M174" s="92"/>
      <c r="N174" s="92"/>
      <c r="O174" s="92"/>
      <c r="P174" s="92">
        <f t="shared" si="69"/>
        <v>53.410000000000004</v>
      </c>
      <c r="Q174" s="92">
        <f t="shared" si="75"/>
        <v>40.75</v>
      </c>
      <c r="R174" s="148">
        <f t="shared" si="66"/>
        <v>103.33</v>
      </c>
      <c r="S174" s="115">
        <f t="shared" si="76"/>
        <v>20.67</v>
      </c>
      <c r="T174" s="148">
        <f t="shared" si="77"/>
        <v>124</v>
      </c>
      <c r="U174" s="148">
        <v>103</v>
      </c>
      <c r="V174" s="78">
        <f t="shared" si="70"/>
        <v>20.388349514563103</v>
      </c>
    </row>
    <row r="175" spans="1:22" hidden="1" x14ac:dyDescent="0.25">
      <c r="A175" s="88" t="s">
        <v>504</v>
      </c>
      <c r="B175" s="88" t="s">
        <v>272</v>
      </c>
      <c r="C175" s="90" t="s">
        <v>93</v>
      </c>
      <c r="D175" s="92" t="s">
        <v>198</v>
      </c>
      <c r="E175" s="91" t="s">
        <v>162</v>
      </c>
      <c r="F175" s="92">
        <f>VLOOKUP(E175,'условия, ФОТ'!$A$14:$I$32,9, FALSE)</f>
        <v>164.09</v>
      </c>
      <c r="G175" s="94">
        <v>0.5</v>
      </c>
      <c r="H175" s="92">
        <f t="shared" si="67"/>
        <v>82.05</v>
      </c>
      <c r="I175" s="92">
        <f t="shared" si="74"/>
        <v>24.78</v>
      </c>
      <c r="J175" s="92">
        <f t="shared" si="68"/>
        <v>106.83</v>
      </c>
      <c r="K175" s="93"/>
      <c r="L175" s="92"/>
      <c r="M175" s="92"/>
      <c r="N175" s="92"/>
      <c r="O175" s="92"/>
      <c r="P175" s="92">
        <f t="shared" si="69"/>
        <v>106.83</v>
      </c>
      <c r="Q175" s="92">
        <f t="shared" si="75"/>
        <v>81.510000000000005</v>
      </c>
      <c r="R175" s="148">
        <f t="shared" si="66"/>
        <v>207.5</v>
      </c>
      <c r="S175" s="115">
        <f t="shared" si="76"/>
        <v>41.5</v>
      </c>
      <c r="T175" s="148">
        <f t="shared" si="77"/>
        <v>249</v>
      </c>
      <c r="U175" s="148">
        <v>207</v>
      </c>
      <c r="V175" s="78">
        <f t="shared" si="70"/>
        <v>20.289855072463766</v>
      </c>
    </row>
    <row r="176" spans="1:22" hidden="1" x14ac:dyDescent="0.25">
      <c r="A176" s="88" t="s">
        <v>505</v>
      </c>
      <c r="B176" s="88" t="s">
        <v>273</v>
      </c>
      <c r="C176" s="90" t="s">
        <v>94</v>
      </c>
      <c r="D176" s="92" t="s">
        <v>198</v>
      </c>
      <c r="E176" s="91" t="s">
        <v>162</v>
      </c>
      <c r="F176" s="92">
        <f>VLOOKUP(E176,'условия, ФОТ'!$A$14:$I$32,9, FALSE)</f>
        <v>164.09</v>
      </c>
      <c r="G176" s="94">
        <v>0.91</v>
      </c>
      <c r="H176" s="92">
        <f t="shared" si="67"/>
        <v>149.32</v>
      </c>
      <c r="I176" s="92">
        <f t="shared" si="74"/>
        <v>45.09</v>
      </c>
      <c r="J176" s="92">
        <f t="shared" si="68"/>
        <v>194.41</v>
      </c>
      <c r="K176" s="93"/>
      <c r="L176" s="92"/>
      <c r="M176" s="92"/>
      <c r="N176" s="92"/>
      <c r="O176" s="92"/>
      <c r="P176" s="92">
        <f t="shared" si="69"/>
        <v>194.41</v>
      </c>
      <c r="Q176" s="92">
        <f t="shared" si="75"/>
        <v>148.33000000000001</v>
      </c>
      <c r="R176" s="148">
        <f t="shared" si="66"/>
        <v>376.67</v>
      </c>
      <c r="S176" s="115">
        <f t="shared" si="76"/>
        <v>75.33</v>
      </c>
      <c r="T176" s="148">
        <f t="shared" si="77"/>
        <v>452</v>
      </c>
      <c r="U176" s="148">
        <v>376</v>
      </c>
      <c r="V176" s="78">
        <f t="shared" si="70"/>
        <v>20.212765957446805</v>
      </c>
    </row>
    <row r="177" spans="1:22" hidden="1" x14ac:dyDescent="0.25">
      <c r="A177" s="88" t="s">
        <v>506</v>
      </c>
      <c r="B177" s="88" t="s">
        <v>274</v>
      </c>
      <c r="C177" s="90" t="s">
        <v>95</v>
      </c>
      <c r="D177" s="92" t="s">
        <v>198</v>
      </c>
      <c r="E177" s="91" t="s">
        <v>162</v>
      </c>
      <c r="F177" s="92">
        <f>VLOOKUP(E177,'условия, ФОТ'!$A$14:$I$32,9, FALSE)</f>
        <v>164.09</v>
      </c>
      <c r="G177" s="94">
        <v>0.72</v>
      </c>
      <c r="H177" s="92">
        <f t="shared" si="67"/>
        <v>118.14</v>
      </c>
      <c r="I177" s="92">
        <f t="shared" si="74"/>
        <v>35.68</v>
      </c>
      <c r="J177" s="92">
        <f t="shared" si="68"/>
        <v>153.82</v>
      </c>
      <c r="K177" s="93"/>
      <c r="L177" s="92"/>
      <c r="M177" s="92"/>
      <c r="N177" s="92"/>
      <c r="O177" s="92"/>
      <c r="P177" s="92">
        <f t="shared" si="69"/>
        <v>153.82</v>
      </c>
      <c r="Q177" s="92">
        <f t="shared" si="75"/>
        <v>117.36</v>
      </c>
      <c r="R177" s="148">
        <f t="shared" si="66"/>
        <v>298.33</v>
      </c>
      <c r="S177" s="115">
        <f t="shared" si="76"/>
        <v>59.67</v>
      </c>
      <c r="T177" s="148">
        <f t="shared" si="77"/>
        <v>358</v>
      </c>
      <c r="U177" s="148">
        <v>298</v>
      </c>
      <c r="V177" s="78">
        <f t="shared" si="70"/>
        <v>20.134228187919462</v>
      </c>
    </row>
    <row r="178" spans="1:22" ht="25.5" hidden="1" x14ac:dyDescent="0.25">
      <c r="A178" s="88" t="s">
        <v>507</v>
      </c>
      <c r="B178" s="88" t="s">
        <v>275</v>
      </c>
      <c r="C178" s="90" t="s">
        <v>96</v>
      </c>
      <c r="D178" s="92" t="s">
        <v>198</v>
      </c>
      <c r="E178" s="91" t="s">
        <v>162</v>
      </c>
      <c r="F178" s="92">
        <f>VLOOKUP(E178,'условия, ФОТ'!$A$14:$I$32,9, FALSE)</f>
        <v>164.09</v>
      </c>
      <c r="G178" s="94">
        <v>0.42</v>
      </c>
      <c r="H178" s="92">
        <f t="shared" si="67"/>
        <v>68.92</v>
      </c>
      <c r="I178" s="92">
        <f t="shared" si="74"/>
        <v>20.81</v>
      </c>
      <c r="J178" s="92">
        <f t="shared" si="68"/>
        <v>89.73</v>
      </c>
      <c r="K178" s="93"/>
      <c r="L178" s="92"/>
      <c r="M178" s="92"/>
      <c r="N178" s="92"/>
      <c r="O178" s="92"/>
      <c r="P178" s="92">
        <f t="shared" si="69"/>
        <v>89.73</v>
      </c>
      <c r="Q178" s="92">
        <f t="shared" si="75"/>
        <v>68.459999999999994</v>
      </c>
      <c r="R178" s="148">
        <f t="shared" si="66"/>
        <v>174.17</v>
      </c>
      <c r="S178" s="115">
        <f t="shared" si="76"/>
        <v>34.83</v>
      </c>
      <c r="T178" s="148">
        <f t="shared" si="77"/>
        <v>209</v>
      </c>
      <c r="U178" s="148">
        <v>174</v>
      </c>
      <c r="V178" s="78">
        <f t="shared" si="70"/>
        <v>20.114942528735625</v>
      </c>
    </row>
    <row r="179" spans="1:22" hidden="1" x14ac:dyDescent="0.25">
      <c r="A179" s="88" t="s">
        <v>508</v>
      </c>
      <c r="B179" s="88" t="s">
        <v>276</v>
      </c>
      <c r="C179" s="90" t="s">
        <v>97</v>
      </c>
      <c r="D179" s="92" t="s">
        <v>198</v>
      </c>
      <c r="E179" s="91" t="s">
        <v>162</v>
      </c>
      <c r="F179" s="92">
        <f>VLOOKUP(E179,'условия, ФОТ'!$A$14:$I$32,9, FALSE)</f>
        <v>164.09</v>
      </c>
      <c r="G179" s="94">
        <v>2</v>
      </c>
      <c r="H179" s="92">
        <f t="shared" si="67"/>
        <v>328.18</v>
      </c>
      <c r="I179" s="92">
        <f t="shared" si="74"/>
        <v>99.11</v>
      </c>
      <c r="J179" s="92">
        <f t="shared" si="68"/>
        <v>427.29</v>
      </c>
      <c r="K179" s="93"/>
      <c r="L179" s="92"/>
      <c r="M179" s="92"/>
      <c r="N179" s="92"/>
      <c r="O179" s="92"/>
      <c r="P179" s="92">
        <f t="shared" si="69"/>
        <v>427.29</v>
      </c>
      <c r="Q179" s="92">
        <f t="shared" si="75"/>
        <v>326.02</v>
      </c>
      <c r="R179" s="148">
        <f t="shared" si="66"/>
        <v>828.33</v>
      </c>
      <c r="S179" s="115">
        <f t="shared" si="76"/>
        <v>165.67</v>
      </c>
      <c r="T179" s="148">
        <f t="shared" si="77"/>
        <v>994</v>
      </c>
      <c r="U179" s="148">
        <v>827</v>
      </c>
      <c r="V179" s="78">
        <f t="shared" si="70"/>
        <v>20.193470374848843</v>
      </c>
    </row>
    <row r="180" spans="1:22" hidden="1" x14ac:dyDescent="0.25">
      <c r="A180" s="88" t="s">
        <v>509</v>
      </c>
      <c r="B180" s="88" t="s">
        <v>277</v>
      </c>
      <c r="C180" s="90" t="s">
        <v>98</v>
      </c>
      <c r="D180" s="92" t="s">
        <v>198</v>
      </c>
      <c r="E180" s="91" t="s">
        <v>162</v>
      </c>
      <c r="F180" s="92">
        <f>VLOOKUP(E180,'условия, ФОТ'!$A$14:$I$32,9, FALSE)</f>
        <v>164.09</v>
      </c>
      <c r="G180" s="94">
        <v>0.35</v>
      </c>
      <c r="H180" s="92">
        <f t="shared" si="67"/>
        <v>57.43</v>
      </c>
      <c r="I180" s="92">
        <f t="shared" si="74"/>
        <v>17.34</v>
      </c>
      <c r="J180" s="92">
        <f t="shared" si="68"/>
        <v>74.77</v>
      </c>
      <c r="K180" s="93"/>
      <c r="L180" s="92"/>
      <c r="M180" s="92"/>
      <c r="N180" s="92"/>
      <c r="O180" s="92"/>
      <c r="P180" s="92">
        <f t="shared" si="69"/>
        <v>74.77</v>
      </c>
      <c r="Q180" s="92">
        <f t="shared" si="75"/>
        <v>57.05</v>
      </c>
      <c r="R180" s="148">
        <f t="shared" si="66"/>
        <v>145</v>
      </c>
      <c r="S180" s="115">
        <f t="shared" si="76"/>
        <v>29</v>
      </c>
      <c r="T180" s="148">
        <f t="shared" si="77"/>
        <v>174</v>
      </c>
      <c r="U180" s="148">
        <v>145</v>
      </c>
      <c r="V180" s="78">
        <f t="shared" si="70"/>
        <v>20</v>
      </c>
    </row>
    <row r="181" spans="1:22" hidden="1" x14ac:dyDescent="0.25">
      <c r="A181" s="88" t="s">
        <v>510</v>
      </c>
      <c r="B181" s="88" t="s">
        <v>278</v>
      </c>
      <c r="C181" s="90" t="s">
        <v>99</v>
      </c>
      <c r="D181" s="92" t="s">
        <v>198</v>
      </c>
      <c r="E181" s="91" t="s">
        <v>162</v>
      </c>
      <c r="F181" s="92">
        <f>VLOOKUP(E181,'условия, ФОТ'!$A$14:$I$32,9, FALSE)</f>
        <v>164.09</v>
      </c>
      <c r="G181" s="94">
        <v>0.65</v>
      </c>
      <c r="H181" s="92">
        <f t="shared" si="67"/>
        <v>106.66</v>
      </c>
      <c r="I181" s="92">
        <f t="shared" si="74"/>
        <v>32.21</v>
      </c>
      <c r="J181" s="92">
        <f t="shared" si="68"/>
        <v>138.87</v>
      </c>
      <c r="K181" s="93"/>
      <c r="L181" s="92"/>
      <c r="M181" s="92"/>
      <c r="N181" s="92"/>
      <c r="O181" s="92"/>
      <c r="P181" s="92">
        <f t="shared" si="69"/>
        <v>138.87</v>
      </c>
      <c r="Q181" s="92">
        <f t="shared" si="75"/>
        <v>105.96</v>
      </c>
      <c r="R181" s="148">
        <f t="shared" si="66"/>
        <v>269.17</v>
      </c>
      <c r="S181" s="115">
        <f t="shared" si="76"/>
        <v>53.83</v>
      </c>
      <c r="T181" s="148">
        <f t="shared" si="77"/>
        <v>323</v>
      </c>
      <c r="U181" s="148">
        <v>269</v>
      </c>
      <c r="V181" s="78">
        <f t="shared" si="70"/>
        <v>20.074349442379173</v>
      </c>
    </row>
    <row r="182" spans="1:22" hidden="1" x14ac:dyDescent="0.25">
      <c r="A182" s="88" t="s">
        <v>511</v>
      </c>
      <c r="B182" s="88" t="s">
        <v>279</v>
      </c>
      <c r="C182" s="64" t="s">
        <v>100</v>
      </c>
      <c r="D182" s="92" t="s">
        <v>198</v>
      </c>
      <c r="E182" s="91" t="s">
        <v>162</v>
      </c>
      <c r="F182" s="92">
        <f>VLOOKUP(E182,'условия, ФОТ'!$A$14:$I$32,9, FALSE)</f>
        <v>164.09</v>
      </c>
      <c r="G182" s="94">
        <v>1</v>
      </c>
      <c r="H182" s="92">
        <f t="shared" si="67"/>
        <v>164.09</v>
      </c>
      <c r="I182" s="92">
        <f t="shared" si="74"/>
        <v>49.56</v>
      </c>
      <c r="J182" s="92">
        <f t="shared" si="68"/>
        <v>213.65</v>
      </c>
      <c r="K182" s="93"/>
      <c r="L182" s="92"/>
      <c r="M182" s="92"/>
      <c r="N182" s="92"/>
      <c r="O182" s="92"/>
      <c r="P182" s="92">
        <f t="shared" si="69"/>
        <v>213.65</v>
      </c>
      <c r="Q182" s="92">
        <f t="shared" si="75"/>
        <v>163.01</v>
      </c>
      <c r="R182" s="148">
        <f t="shared" si="66"/>
        <v>414.17</v>
      </c>
      <c r="S182" s="115">
        <f t="shared" si="76"/>
        <v>82.83</v>
      </c>
      <c r="T182" s="148">
        <f t="shared" si="77"/>
        <v>497</v>
      </c>
      <c r="U182" s="148">
        <v>413</v>
      </c>
      <c r="V182" s="78">
        <f t="shared" si="70"/>
        <v>20.338983050847446</v>
      </c>
    </row>
    <row r="183" spans="1:22" hidden="1" x14ac:dyDescent="0.25">
      <c r="A183" s="88" t="s">
        <v>512</v>
      </c>
      <c r="B183" s="88" t="s">
        <v>280</v>
      </c>
      <c r="C183" s="64" t="s">
        <v>101</v>
      </c>
      <c r="D183" s="92" t="s">
        <v>198</v>
      </c>
      <c r="E183" s="91" t="s">
        <v>162</v>
      </c>
      <c r="F183" s="92">
        <f>VLOOKUP(E183,'условия, ФОТ'!$A$14:$I$32,9, FALSE)</f>
        <v>164.09</v>
      </c>
      <c r="G183" s="94">
        <v>0.66</v>
      </c>
      <c r="H183" s="92">
        <f t="shared" si="67"/>
        <v>108.3</v>
      </c>
      <c r="I183" s="92">
        <f t="shared" si="74"/>
        <v>32.71</v>
      </c>
      <c r="J183" s="92">
        <f t="shared" si="68"/>
        <v>141.01</v>
      </c>
      <c r="K183" s="93"/>
      <c r="L183" s="92"/>
      <c r="M183" s="92"/>
      <c r="N183" s="92"/>
      <c r="O183" s="92"/>
      <c r="P183" s="92">
        <f t="shared" si="69"/>
        <v>141.01</v>
      </c>
      <c r="Q183" s="92">
        <f t="shared" si="75"/>
        <v>107.59</v>
      </c>
      <c r="R183" s="148">
        <f t="shared" si="66"/>
        <v>273.33</v>
      </c>
      <c r="S183" s="115">
        <f t="shared" si="76"/>
        <v>54.67</v>
      </c>
      <c r="T183" s="148">
        <f t="shared" si="77"/>
        <v>328</v>
      </c>
      <c r="U183" s="148">
        <v>273</v>
      </c>
      <c r="V183" s="78">
        <f t="shared" si="70"/>
        <v>20.146520146520146</v>
      </c>
    </row>
    <row r="184" spans="1:22" hidden="1" x14ac:dyDescent="0.25">
      <c r="A184" s="88" t="s">
        <v>513</v>
      </c>
      <c r="B184" s="88" t="s">
        <v>27</v>
      </c>
      <c r="C184" s="90" t="s">
        <v>102</v>
      </c>
      <c r="D184" s="92" t="s">
        <v>198</v>
      </c>
      <c r="E184" s="91" t="s">
        <v>162</v>
      </c>
      <c r="F184" s="92">
        <f>VLOOKUP(E184,'условия, ФОТ'!$A$14:$I$32,9, FALSE)</f>
        <v>164.09</v>
      </c>
      <c r="G184" s="94">
        <v>0.1</v>
      </c>
      <c r="H184" s="92">
        <f t="shared" si="67"/>
        <v>16.41</v>
      </c>
      <c r="I184" s="92">
        <f t="shared" si="74"/>
        <v>4.96</v>
      </c>
      <c r="J184" s="92">
        <f t="shared" si="68"/>
        <v>21.37</v>
      </c>
      <c r="K184" s="93"/>
      <c r="L184" s="92"/>
      <c r="M184" s="92"/>
      <c r="N184" s="92"/>
      <c r="O184" s="92"/>
      <c r="P184" s="92">
        <f t="shared" si="69"/>
        <v>21.37</v>
      </c>
      <c r="Q184" s="92">
        <f t="shared" si="75"/>
        <v>16.309999999999999</v>
      </c>
      <c r="R184" s="148">
        <f t="shared" si="66"/>
        <v>41.67</v>
      </c>
      <c r="S184" s="115">
        <f t="shared" si="76"/>
        <v>8.33</v>
      </c>
      <c r="T184" s="148">
        <f t="shared" si="77"/>
        <v>50</v>
      </c>
      <c r="U184" s="148">
        <v>41</v>
      </c>
      <c r="V184" s="78">
        <f t="shared" si="70"/>
        <v>21.951219512195124</v>
      </c>
    </row>
    <row r="185" spans="1:22" hidden="1" x14ac:dyDescent="0.25">
      <c r="A185" s="88" t="s">
        <v>514</v>
      </c>
      <c r="B185" s="88" t="s">
        <v>27</v>
      </c>
      <c r="C185" s="90" t="s">
        <v>103</v>
      </c>
      <c r="D185" s="92" t="s">
        <v>198</v>
      </c>
      <c r="E185" s="91" t="s">
        <v>283</v>
      </c>
      <c r="F185" s="92">
        <f>VLOOKUP(E185,'условия, ФОТ'!$A$14:$I$32,9, FALSE)</f>
        <v>142.96</v>
      </c>
      <c r="G185" s="94">
        <v>0.25</v>
      </c>
      <c r="H185" s="92">
        <f t="shared" si="67"/>
        <v>35.74</v>
      </c>
      <c r="I185" s="92">
        <f t="shared" si="74"/>
        <v>10.79</v>
      </c>
      <c r="J185" s="92">
        <f t="shared" si="68"/>
        <v>46.53</v>
      </c>
      <c r="K185" s="93"/>
      <c r="L185" s="92"/>
      <c r="M185" s="92"/>
      <c r="N185" s="92"/>
      <c r="O185" s="92"/>
      <c r="P185" s="92">
        <f t="shared" si="69"/>
        <v>46.53</v>
      </c>
      <c r="Q185" s="92">
        <f t="shared" si="75"/>
        <v>35.5</v>
      </c>
      <c r="R185" s="148">
        <f t="shared" si="66"/>
        <v>90</v>
      </c>
      <c r="S185" s="115">
        <f t="shared" si="76"/>
        <v>18</v>
      </c>
      <c r="T185" s="148">
        <f t="shared" si="77"/>
        <v>108</v>
      </c>
      <c r="U185" s="148">
        <v>117</v>
      </c>
      <c r="V185" s="78">
        <f t="shared" si="70"/>
        <v>-7.6923076923076934</v>
      </c>
    </row>
    <row r="186" spans="1:22" hidden="1" x14ac:dyDescent="0.25">
      <c r="A186" s="88" t="s">
        <v>515</v>
      </c>
      <c r="B186" s="88" t="s">
        <v>27</v>
      </c>
      <c r="C186" s="90" t="s">
        <v>104</v>
      </c>
      <c r="D186" s="92" t="s">
        <v>198</v>
      </c>
      <c r="E186" s="91" t="s">
        <v>283</v>
      </c>
      <c r="F186" s="92">
        <f>VLOOKUP(E186,'условия, ФОТ'!$A$14:$I$32,9, FALSE)</f>
        <v>142.96</v>
      </c>
      <c r="G186" s="94">
        <v>0.25</v>
      </c>
      <c r="H186" s="92">
        <f t="shared" si="67"/>
        <v>35.74</v>
      </c>
      <c r="I186" s="92">
        <f t="shared" si="74"/>
        <v>10.79</v>
      </c>
      <c r="J186" s="92">
        <f t="shared" si="68"/>
        <v>46.53</v>
      </c>
      <c r="K186" s="93"/>
      <c r="L186" s="92"/>
      <c r="M186" s="92"/>
      <c r="N186" s="92"/>
      <c r="O186" s="92"/>
      <c r="P186" s="92">
        <f t="shared" si="69"/>
        <v>46.53</v>
      </c>
      <c r="Q186" s="92">
        <f t="shared" si="75"/>
        <v>35.5</v>
      </c>
      <c r="R186" s="148">
        <f t="shared" si="66"/>
        <v>90</v>
      </c>
      <c r="S186" s="115">
        <f t="shared" si="76"/>
        <v>18</v>
      </c>
      <c r="T186" s="148">
        <f t="shared" si="77"/>
        <v>108</v>
      </c>
      <c r="U186" s="148">
        <v>117</v>
      </c>
      <c r="V186" s="78">
        <f t="shared" si="70"/>
        <v>-7.6923076923076934</v>
      </c>
    </row>
    <row r="187" spans="1:22" ht="25.5" hidden="1" x14ac:dyDescent="0.25">
      <c r="A187" s="88" t="s">
        <v>516</v>
      </c>
      <c r="B187" s="88" t="s">
        <v>27</v>
      </c>
      <c r="C187" s="90" t="s">
        <v>105</v>
      </c>
      <c r="D187" s="92" t="s">
        <v>198</v>
      </c>
      <c r="E187" s="91" t="s">
        <v>283</v>
      </c>
      <c r="F187" s="92">
        <f>VLOOKUP(E187,'условия, ФОТ'!$A$14:$I$32,9, FALSE)</f>
        <v>142.96</v>
      </c>
      <c r="G187" s="94">
        <v>0.33</v>
      </c>
      <c r="H187" s="92">
        <f t="shared" si="67"/>
        <v>47.18</v>
      </c>
      <c r="I187" s="92">
        <f t="shared" si="74"/>
        <v>14.25</v>
      </c>
      <c r="J187" s="92">
        <f t="shared" si="68"/>
        <v>61.43</v>
      </c>
      <c r="K187" s="93"/>
      <c r="L187" s="92"/>
      <c r="M187" s="92"/>
      <c r="N187" s="92"/>
      <c r="O187" s="92"/>
      <c r="P187" s="92">
        <f t="shared" si="69"/>
        <v>61.43</v>
      </c>
      <c r="Q187" s="92">
        <f t="shared" si="75"/>
        <v>46.87</v>
      </c>
      <c r="R187" s="148">
        <f t="shared" si="66"/>
        <v>119.17</v>
      </c>
      <c r="S187" s="115">
        <f t="shared" si="76"/>
        <v>23.83</v>
      </c>
      <c r="T187" s="148">
        <f t="shared" si="77"/>
        <v>143</v>
      </c>
      <c r="U187" s="148">
        <v>154</v>
      </c>
      <c r="V187" s="78">
        <f t="shared" si="70"/>
        <v>-7.1428571428571388</v>
      </c>
    </row>
    <row r="188" spans="1:22" ht="22.7" hidden="1" customHeight="1" x14ac:dyDescent="0.25">
      <c r="A188" s="88" t="s">
        <v>517</v>
      </c>
      <c r="B188" s="88" t="s">
        <v>27</v>
      </c>
      <c r="C188" s="90" t="s">
        <v>106</v>
      </c>
      <c r="D188" s="92" t="s">
        <v>198</v>
      </c>
      <c r="E188" s="91" t="s">
        <v>283</v>
      </c>
      <c r="F188" s="92">
        <f>VLOOKUP(E188,'условия, ФОТ'!$A$14:$I$32,9, FALSE)</f>
        <v>142.96</v>
      </c>
      <c r="G188" s="94">
        <v>0.33</v>
      </c>
      <c r="H188" s="92">
        <f t="shared" si="67"/>
        <v>47.18</v>
      </c>
      <c r="I188" s="92">
        <f t="shared" si="74"/>
        <v>14.25</v>
      </c>
      <c r="J188" s="92">
        <f t="shared" si="68"/>
        <v>61.43</v>
      </c>
      <c r="K188" s="93"/>
      <c r="L188" s="92"/>
      <c r="M188" s="92"/>
      <c r="N188" s="92"/>
      <c r="O188" s="92"/>
      <c r="P188" s="92">
        <f t="shared" si="69"/>
        <v>61.43</v>
      </c>
      <c r="Q188" s="92">
        <f t="shared" si="75"/>
        <v>46.87</v>
      </c>
      <c r="R188" s="148">
        <f t="shared" si="66"/>
        <v>119.17</v>
      </c>
      <c r="S188" s="115">
        <f t="shared" si="76"/>
        <v>23.83</v>
      </c>
      <c r="T188" s="148">
        <f t="shared" si="77"/>
        <v>143</v>
      </c>
      <c r="U188" s="148">
        <v>154</v>
      </c>
      <c r="V188" s="78">
        <f t="shared" si="70"/>
        <v>-7.1428571428571388</v>
      </c>
    </row>
    <row r="189" spans="1:22" ht="31.7" hidden="1" customHeight="1" x14ac:dyDescent="0.25">
      <c r="A189" s="88" t="s">
        <v>518</v>
      </c>
      <c r="B189" s="88" t="s">
        <v>27</v>
      </c>
      <c r="C189" s="90" t="s">
        <v>107</v>
      </c>
      <c r="D189" s="92" t="s">
        <v>198</v>
      </c>
      <c r="E189" s="91" t="s">
        <v>283</v>
      </c>
      <c r="F189" s="92">
        <f>VLOOKUP(E189,'условия, ФОТ'!$A$14:$I$32,9, FALSE)</f>
        <v>142.96</v>
      </c>
      <c r="G189" s="94">
        <v>0.33</v>
      </c>
      <c r="H189" s="92">
        <f t="shared" si="67"/>
        <v>47.18</v>
      </c>
      <c r="I189" s="92">
        <f t="shared" si="74"/>
        <v>14.25</v>
      </c>
      <c r="J189" s="92">
        <f t="shared" si="68"/>
        <v>61.43</v>
      </c>
      <c r="K189" s="93"/>
      <c r="L189" s="92"/>
      <c r="M189" s="92"/>
      <c r="N189" s="92"/>
      <c r="O189" s="92"/>
      <c r="P189" s="92">
        <f t="shared" si="69"/>
        <v>61.43</v>
      </c>
      <c r="Q189" s="92">
        <f t="shared" si="75"/>
        <v>46.87</v>
      </c>
      <c r="R189" s="148">
        <f t="shared" si="66"/>
        <v>119.17</v>
      </c>
      <c r="S189" s="115">
        <f t="shared" si="76"/>
        <v>23.83</v>
      </c>
      <c r="T189" s="148">
        <f t="shared" si="77"/>
        <v>143</v>
      </c>
      <c r="U189" s="148">
        <v>154</v>
      </c>
      <c r="V189" s="78">
        <f t="shared" si="70"/>
        <v>-7.1428571428571388</v>
      </c>
    </row>
    <row r="190" spans="1:22" ht="18" hidden="1" customHeight="1" x14ac:dyDescent="0.25">
      <c r="A190" s="88" t="s">
        <v>519</v>
      </c>
      <c r="B190" s="88" t="s">
        <v>27</v>
      </c>
      <c r="C190" s="90" t="s">
        <v>108</v>
      </c>
      <c r="D190" s="92" t="s">
        <v>198</v>
      </c>
      <c r="E190" s="91" t="s">
        <v>283</v>
      </c>
      <c r="F190" s="92">
        <f>VLOOKUP(E190,'условия, ФОТ'!$A$14:$I$32,9, FALSE)</f>
        <v>142.96</v>
      </c>
      <c r="G190" s="94">
        <v>0.5</v>
      </c>
      <c r="H190" s="92">
        <f t="shared" si="67"/>
        <v>71.48</v>
      </c>
      <c r="I190" s="92">
        <f t="shared" si="74"/>
        <v>21.59</v>
      </c>
      <c r="J190" s="92">
        <f t="shared" si="68"/>
        <v>93.070000000000007</v>
      </c>
      <c r="K190" s="93"/>
      <c r="L190" s="92"/>
      <c r="M190" s="92"/>
      <c r="N190" s="92"/>
      <c r="O190" s="92"/>
      <c r="P190" s="92">
        <f t="shared" si="69"/>
        <v>93.070000000000007</v>
      </c>
      <c r="Q190" s="92">
        <f t="shared" si="75"/>
        <v>71.010000000000005</v>
      </c>
      <c r="R190" s="148">
        <f>ROUND(T190/1.2,2)</f>
        <v>180.83</v>
      </c>
      <c r="S190" s="115">
        <f t="shared" si="76"/>
        <v>36.17</v>
      </c>
      <c r="T190" s="148">
        <f t="shared" si="77"/>
        <v>217</v>
      </c>
      <c r="U190" s="148">
        <v>234</v>
      </c>
      <c r="V190" s="78">
        <f t="shared" si="70"/>
        <v>-7.2649572649572605</v>
      </c>
    </row>
    <row r="191" spans="1:22" ht="18" hidden="1" customHeight="1" x14ac:dyDescent="0.25">
      <c r="A191" s="597" t="s">
        <v>281</v>
      </c>
      <c r="B191" s="597"/>
      <c r="C191" s="597"/>
      <c r="D191" s="597"/>
      <c r="E191" s="597"/>
      <c r="F191" s="597"/>
      <c r="G191" s="597"/>
      <c r="H191" s="597"/>
      <c r="I191" s="597"/>
      <c r="J191" s="597"/>
      <c r="K191" s="597"/>
      <c r="L191" s="597"/>
      <c r="M191" s="597"/>
      <c r="N191" s="597"/>
      <c r="O191" s="597"/>
      <c r="P191" s="597"/>
      <c r="Q191" s="597"/>
      <c r="R191" s="597"/>
      <c r="S191" s="597"/>
      <c r="T191" s="597"/>
      <c r="U191" s="597"/>
      <c r="V191" s="78"/>
    </row>
    <row r="192" spans="1:22" ht="30.75" hidden="1" customHeight="1" x14ac:dyDescent="0.25">
      <c r="A192" s="88" t="s">
        <v>520</v>
      </c>
      <c r="B192" s="88" t="s">
        <v>282</v>
      </c>
      <c r="C192" s="90" t="s">
        <v>109</v>
      </c>
      <c r="D192" s="92" t="s">
        <v>26</v>
      </c>
      <c r="E192" s="91" t="s">
        <v>161</v>
      </c>
      <c r="F192" s="92">
        <f>VLOOKUP(E192,'условия, ФОТ'!$A$14:$I$32,9, FALSE)</f>
        <v>111.79</v>
      </c>
      <c r="G192" s="94">
        <v>0.9</v>
      </c>
      <c r="H192" s="92">
        <f>ROUND(F192*G192,2)</f>
        <v>100.61</v>
      </c>
      <c r="I192" s="92">
        <f>ROUND(H192*$I$5,2)</f>
        <v>30.38</v>
      </c>
      <c r="J192" s="92">
        <f t="shared" si="68"/>
        <v>130.99</v>
      </c>
      <c r="K192" s="93"/>
      <c r="L192" s="92"/>
      <c r="M192" s="92"/>
      <c r="N192" s="92"/>
      <c r="O192" s="92">
        <f>SUM(O193:O195)</f>
        <v>4.03</v>
      </c>
      <c r="P192" s="92">
        <f>J192+O192</f>
        <v>135.02000000000001</v>
      </c>
      <c r="Q192" s="92">
        <f>ROUND(P192*$Q$5,2)</f>
        <v>103.02</v>
      </c>
      <c r="R192" s="115">
        <f>ROUND(T192/1.2,2)</f>
        <v>261.67</v>
      </c>
      <c r="S192" s="115">
        <f>ROUND(R192*$S$5,2)</f>
        <v>52.33</v>
      </c>
      <c r="T192" s="115">
        <f>ROUND((P192+Q192)*(1+$R$5)*1.2,0)</f>
        <v>314</v>
      </c>
      <c r="U192" s="148">
        <v>339</v>
      </c>
      <c r="V192" s="78">
        <f t="shared" si="70"/>
        <v>-7.3746312684365876</v>
      </c>
    </row>
    <row r="193" spans="1:22" ht="26.25" hidden="1" customHeight="1" outlineLevel="1" x14ac:dyDescent="0.25">
      <c r="A193" s="88"/>
      <c r="B193" s="88"/>
      <c r="C193" s="90"/>
      <c r="D193" s="92"/>
      <c r="E193" s="91"/>
      <c r="F193" s="92"/>
      <c r="G193" s="94"/>
      <c r="H193" s="92"/>
      <c r="I193" s="92"/>
      <c r="J193" s="96" t="s">
        <v>366</v>
      </c>
      <c r="K193" s="104" t="s">
        <v>335</v>
      </c>
      <c r="L193" s="98" t="str">
        <f>VLOOKUP(K193,материалы!$A$5:$G$31,5, FALSE)</f>
        <v>кг</v>
      </c>
      <c r="M193" s="92">
        <f>VLOOKUP(K193,материалы!$A$5:$G$31,7, FALSE)</f>
        <v>712.76</v>
      </c>
      <c r="N193" s="92">
        <v>5.0000000000000001E-3</v>
      </c>
      <c r="O193" s="92">
        <f>ROUND(M193*N193,2)</f>
        <v>3.56</v>
      </c>
      <c r="P193" s="92"/>
      <c r="Q193" s="92"/>
      <c r="R193" s="115"/>
      <c r="S193" s="115"/>
      <c r="T193" s="115"/>
      <c r="U193" s="148"/>
      <c r="V193" s="78"/>
    </row>
    <row r="194" spans="1:22" hidden="1" outlineLevel="1" x14ac:dyDescent="0.25">
      <c r="A194" s="88"/>
      <c r="B194" s="88"/>
      <c r="C194" s="90"/>
      <c r="D194" s="92"/>
      <c r="E194" s="91"/>
      <c r="F194" s="92"/>
      <c r="G194" s="94"/>
      <c r="H194" s="92"/>
      <c r="I194" s="92"/>
      <c r="J194" s="92"/>
      <c r="K194" s="97" t="s">
        <v>329</v>
      </c>
      <c r="L194" s="98" t="str">
        <f>VLOOKUP(K194,материалы!$A$5:$G$31,5, FALSE)</f>
        <v>кг</v>
      </c>
      <c r="M194" s="92">
        <f>VLOOKUP(K194,материалы!$A$5:$G$31,7, FALSE)</f>
        <v>65.599999999999994</v>
      </c>
      <c r="N194" s="100">
        <v>1E-3</v>
      </c>
      <c r="O194" s="92">
        <f>ROUND(M194*N194,2)</f>
        <v>7.0000000000000007E-2</v>
      </c>
      <c r="P194" s="92"/>
      <c r="Q194" s="92"/>
      <c r="R194" s="115"/>
      <c r="S194" s="115"/>
      <c r="T194" s="115"/>
      <c r="U194" s="148"/>
      <c r="V194" s="78"/>
    </row>
    <row r="195" spans="1:22" hidden="1" outlineLevel="1" x14ac:dyDescent="0.25">
      <c r="A195" s="88"/>
      <c r="B195" s="88"/>
      <c r="C195" s="90"/>
      <c r="D195" s="92"/>
      <c r="E195" s="91"/>
      <c r="F195" s="92"/>
      <c r="G195" s="94"/>
      <c r="H195" s="92"/>
      <c r="I195" s="92"/>
      <c r="J195" s="92"/>
      <c r="K195" s="97" t="s">
        <v>330</v>
      </c>
      <c r="L195" s="98" t="str">
        <f>VLOOKUP(K195,материалы!$A$5:$G$31,5, FALSE)</f>
        <v>кг</v>
      </c>
      <c r="M195" s="92">
        <f>VLOOKUP(K195,материалы!$A$5:$G$31,7, FALSE)</f>
        <v>39.82</v>
      </c>
      <c r="N195" s="98">
        <v>0.01</v>
      </c>
      <c r="O195" s="92">
        <f>ROUND(M195*N195,2)</f>
        <v>0.4</v>
      </c>
      <c r="P195" s="92"/>
      <c r="Q195" s="92"/>
      <c r="R195" s="115"/>
      <c r="S195" s="115"/>
      <c r="T195" s="115"/>
      <c r="U195" s="148"/>
      <c r="V195" s="78"/>
    </row>
    <row r="196" spans="1:22" ht="19.5" hidden="1" customHeight="1" x14ac:dyDescent="0.25">
      <c r="A196" s="590" t="s">
        <v>521</v>
      </c>
      <c r="B196" s="590" t="s">
        <v>284</v>
      </c>
      <c r="C196" s="589" t="s">
        <v>373</v>
      </c>
      <c r="D196" s="592" t="s">
        <v>285</v>
      </c>
      <c r="E196" s="91" t="s">
        <v>161</v>
      </c>
      <c r="F196" s="92">
        <f>VLOOKUP(E196,'условия, ФОТ'!$A$14:$I$32,9, FALSE)</f>
        <v>111.79</v>
      </c>
      <c r="G196" s="608">
        <v>2.84</v>
      </c>
      <c r="H196" s="608">
        <f>ROUND((F196+F197)/2*G196,2)</f>
        <v>422.58</v>
      </c>
      <c r="I196" s="608">
        <f>ROUND(H196*$I$5,2)</f>
        <v>127.62</v>
      </c>
      <c r="J196" s="608">
        <f t="shared" si="68"/>
        <v>550.20000000000005</v>
      </c>
      <c r="K196" s="591"/>
      <c r="L196" s="592"/>
      <c r="M196" s="592"/>
      <c r="N196" s="592"/>
      <c r="O196" s="592">
        <f>SUM(O198:O203)</f>
        <v>114.72000000000001</v>
      </c>
      <c r="P196" s="608">
        <f>J196+O196</f>
        <v>664.92000000000007</v>
      </c>
      <c r="Q196" s="608">
        <f>ROUND(P196*$Q$5,2)</f>
        <v>507.33</v>
      </c>
      <c r="R196" s="596">
        <f>ROUND(T196/1.2,2)</f>
        <v>1289.17</v>
      </c>
      <c r="S196" s="596">
        <f>ROUND(R196*$S$5,2)</f>
        <v>257.83</v>
      </c>
      <c r="T196" s="596">
        <f>ROUND((P196+Q196)*(1+$R$5)*1.2,0)</f>
        <v>1547</v>
      </c>
      <c r="U196" s="596">
        <v>1669</v>
      </c>
      <c r="V196" s="601">
        <f t="shared" si="70"/>
        <v>-7.3097663271420004</v>
      </c>
    </row>
    <row r="197" spans="1:22" ht="20.25" hidden="1" customHeight="1" x14ac:dyDescent="0.25">
      <c r="A197" s="590"/>
      <c r="B197" s="590"/>
      <c r="C197" s="589"/>
      <c r="D197" s="592"/>
      <c r="E197" s="91" t="s">
        <v>166</v>
      </c>
      <c r="F197" s="92">
        <f>VLOOKUP(E197,'условия, ФОТ'!$A$14:$I$32,9, FALSE)</f>
        <v>185.8</v>
      </c>
      <c r="G197" s="608"/>
      <c r="H197" s="608"/>
      <c r="I197" s="608"/>
      <c r="J197" s="608"/>
      <c r="K197" s="591"/>
      <c r="L197" s="592"/>
      <c r="M197" s="592"/>
      <c r="N197" s="592"/>
      <c r="O197" s="592"/>
      <c r="P197" s="608"/>
      <c r="Q197" s="608"/>
      <c r="R197" s="596"/>
      <c r="S197" s="596"/>
      <c r="T197" s="596"/>
      <c r="U197" s="596"/>
      <c r="V197" s="601"/>
    </row>
    <row r="198" spans="1:22" ht="15.75" hidden="1" customHeight="1" outlineLevel="1" x14ac:dyDescent="0.25">
      <c r="A198" s="88"/>
      <c r="B198" s="88"/>
      <c r="C198" s="90"/>
      <c r="D198" s="92"/>
      <c r="E198" s="91"/>
      <c r="F198" s="92"/>
      <c r="G198" s="94"/>
      <c r="H198" s="94"/>
      <c r="I198" s="94"/>
      <c r="J198" s="96" t="s">
        <v>366</v>
      </c>
      <c r="K198" s="122" t="s">
        <v>323</v>
      </c>
      <c r="L198" s="98" t="str">
        <f>VLOOKUP(K198,материалы!$A$5:$G$31,5, FALSE)</f>
        <v>м3</v>
      </c>
      <c r="M198" s="92">
        <f>VLOOKUP(K198,материалы!$A$5:$G$31,7, FALSE)</f>
        <v>379.24</v>
      </c>
      <c r="N198" s="92">
        <v>0.17499999999999999</v>
      </c>
      <c r="O198" s="92">
        <f>ROUND(M198*N198,2)</f>
        <v>66.37</v>
      </c>
      <c r="P198" s="94"/>
      <c r="Q198" s="94"/>
      <c r="R198" s="115"/>
      <c r="S198" s="115"/>
      <c r="T198" s="115"/>
      <c r="U198" s="148"/>
      <c r="V198" s="149"/>
    </row>
    <row r="199" spans="1:22" ht="15.75" hidden="1" customHeight="1" outlineLevel="1" x14ac:dyDescent="0.25">
      <c r="A199" s="88"/>
      <c r="B199" s="88"/>
      <c r="C199" s="90"/>
      <c r="D199" s="92"/>
      <c r="E199" s="91"/>
      <c r="F199" s="92"/>
      <c r="G199" s="94"/>
      <c r="H199" s="94"/>
      <c r="I199" s="94"/>
      <c r="J199" s="94"/>
      <c r="K199" s="122" t="s">
        <v>324</v>
      </c>
      <c r="L199" s="98" t="str">
        <f>VLOOKUP(K199,материалы!$A$5:$G$31,5, FALSE)</f>
        <v>м3</v>
      </c>
      <c r="M199" s="92">
        <f>VLOOKUP(K199,материалы!$A$5:$G$31,7, FALSE)</f>
        <v>54.61</v>
      </c>
      <c r="N199" s="92">
        <v>0.05</v>
      </c>
      <c r="O199" s="92">
        <f t="shared" ref="O199:O200" si="78">ROUND(M199*N199,2)</f>
        <v>2.73</v>
      </c>
      <c r="P199" s="94"/>
      <c r="Q199" s="94"/>
      <c r="R199" s="115"/>
      <c r="S199" s="115"/>
      <c r="T199" s="115"/>
      <c r="U199" s="148"/>
      <c r="V199" s="149"/>
    </row>
    <row r="200" spans="1:22" ht="36" hidden="1" customHeight="1" outlineLevel="1" x14ac:dyDescent="0.25">
      <c r="A200" s="88"/>
      <c r="B200" s="88"/>
      <c r="C200" s="90"/>
      <c r="D200" s="92"/>
      <c r="E200" s="91"/>
      <c r="F200" s="92"/>
      <c r="G200" s="94"/>
      <c r="H200" s="94"/>
      <c r="I200" s="94"/>
      <c r="J200" s="94"/>
      <c r="K200" s="104" t="s">
        <v>341</v>
      </c>
      <c r="L200" s="98" t="str">
        <f>VLOOKUP(K200,материалы!$A$5:$G$31,5, FALSE)</f>
        <v>кг</v>
      </c>
      <c r="M200" s="92">
        <f>VLOOKUP(K200,материалы!$A$5:$G$31,7, FALSE)</f>
        <v>44.94</v>
      </c>
      <c r="N200" s="92">
        <v>1.7000000000000001E-2</v>
      </c>
      <c r="O200" s="92">
        <f t="shared" si="78"/>
        <v>0.76</v>
      </c>
      <c r="P200" s="94"/>
      <c r="Q200" s="94"/>
      <c r="R200" s="115"/>
      <c r="S200" s="115"/>
      <c r="T200" s="115"/>
      <c r="U200" s="148"/>
      <c r="V200" s="149"/>
    </row>
    <row r="201" spans="1:22" hidden="1" outlineLevel="1" x14ac:dyDescent="0.25">
      <c r="A201" s="88"/>
      <c r="B201" s="88"/>
      <c r="C201" s="90"/>
      <c r="D201" s="92"/>
      <c r="E201" s="91"/>
      <c r="F201" s="92"/>
      <c r="G201" s="94"/>
      <c r="H201" s="94"/>
      <c r="I201" s="94"/>
      <c r="J201" s="94"/>
      <c r="K201" s="97" t="s">
        <v>329</v>
      </c>
      <c r="L201" s="98" t="str">
        <f>VLOOKUP(K201,материалы!$A$5:$G$31,5, FALSE)</f>
        <v>кг</v>
      </c>
      <c r="M201" s="92">
        <f>VLOOKUP(K201,материалы!$A$5:$G$31,7, FALSE)</f>
        <v>65.599999999999994</v>
      </c>
      <c r="N201" s="100">
        <v>1E-3</v>
      </c>
      <c r="O201" s="92">
        <f>ROUND(M201*N201,2)</f>
        <v>7.0000000000000007E-2</v>
      </c>
      <c r="P201" s="94"/>
      <c r="Q201" s="94"/>
      <c r="R201" s="115"/>
      <c r="S201" s="115"/>
      <c r="T201" s="115"/>
      <c r="U201" s="148"/>
      <c r="V201" s="149"/>
    </row>
    <row r="202" spans="1:22" hidden="1" outlineLevel="1" x14ac:dyDescent="0.25">
      <c r="A202" s="88"/>
      <c r="B202" s="88"/>
      <c r="C202" s="90"/>
      <c r="D202" s="92"/>
      <c r="E202" s="91"/>
      <c r="F202" s="92"/>
      <c r="G202" s="94"/>
      <c r="H202" s="94"/>
      <c r="I202" s="94"/>
      <c r="J202" s="94"/>
      <c r="K202" s="97" t="s">
        <v>330</v>
      </c>
      <c r="L202" s="98" t="str">
        <f>VLOOKUP(K202,материалы!$A$5:$G$31,5, FALSE)</f>
        <v>кг</v>
      </c>
      <c r="M202" s="92">
        <f>VLOOKUP(K202,материалы!$A$5:$G$31,7, FALSE)</f>
        <v>39.82</v>
      </c>
      <c r="N202" s="98">
        <v>0.01</v>
      </c>
      <c r="O202" s="92">
        <f>ROUND(M202*N202,2)</f>
        <v>0.4</v>
      </c>
      <c r="P202" s="94"/>
      <c r="Q202" s="94"/>
      <c r="R202" s="115"/>
      <c r="S202" s="115"/>
      <c r="T202" s="115"/>
      <c r="U202" s="148"/>
      <c r="V202" s="149"/>
    </row>
    <row r="203" spans="1:22" ht="25.5" hidden="1" outlineLevel="1" x14ac:dyDescent="0.25">
      <c r="A203" s="88"/>
      <c r="B203" s="88"/>
      <c r="C203" s="90"/>
      <c r="D203" s="92"/>
      <c r="E203" s="91"/>
      <c r="F203" s="92"/>
      <c r="G203" s="94"/>
      <c r="H203" s="94"/>
      <c r="I203" s="94"/>
      <c r="J203" s="94"/>
      <c r="K203" s="97" t="s">
        <v>369</v>
      </c>
      <c r="L203" s="98" t="str">
        <f>VLOOKUP(K203,материалы!$A$5:$G$31,5, FALSE)</f>
        <v>м</v>
      </c>
      <c r="M203" s="92">
        <f>VLOOKUP(K203,материалы!$A$5:$G$31,7, FALSE)</f>
        <v>44.39</v>
      </c>
      <c r="N203" s="98">
        <v>1</v>
      </c>
      <c r="O203" s="92">
        <f t="shared" ref="O203" si="79">ROUND(M203*N203,2)</f>
        <v>44.39</v>
      </c>
      <c r="P203" s="94"/>
      <c r="Q203" s="94"/>
      <c r="R203" s="115"/>
      <c r="S203" s="115"/>
      <c r="T203" s="115"/>
      <c r="U203" s="148"/>
      <c r="V203" s="149"/>
    </row>
    <row r="204" spans="1:22" ht="21" hidden="1" customHeight="1" x14ac:dyDescent="0.25">
      <c r="A204" s="590" t="s">
        <v>522</v>
      </c>
      <c r="B204" s="590" t="s">
        <v>284</v>
      </c>
      <c r="C204" s="589" t="s">
        <v>574</v>
      </c>
      <c r="D204" s="592" t="s">
        <v>285</v>
      </c>
      <c r="E204" s="91" t="s">
        <v>161</v>
      </c>
      <c r="F204" s="92">
        <f>VLOOKUP(E204,'условия, ФОТ'!$A$14:$I$32,9, FALSE)</f>
        <v>111.79</v>
      </c>
      <c r="G204" s="608">
        <v>3.38</v>
      </c>
      <c r="H204" s="608">
        <f>ROUND((F204+F205)/2*G204,2)</f>
        <v>502.93</v>
      </c>
      <c r="I204" s="592">
        <f>ROUND(H204*$I$5,2)</f>
        <v>151.88</v>
      </c>
      <c r="J204" s="592">
        <f t="shared" si="68"/>
        <v>654.80999999999995</v>
      </c>
      <c r="K204" s="591"/>
      <c r="L204" s="592"/>
      <c r="M204" s="592"/>
      <c r="N204" s="592"/>
      <c r="O204" s="592">
        <f>SUM(O206:O211)</f>
        <v>151.71</v>
      </c>
      <c r="P204" s="608">
        <f t="shared" si="69"/>
        <v>806.52</v>
      </c>
      <c r="Q204" s="608">
        <f>ROUND(P204*$Q$5,2)</f>
        <v>615.37</v>
      </c>
      <c r="R204" s="596">
        <f>ROUND(T204/1.2,2)</f>
        <v>1564.17</v>
      </c>
      <c r="S204" s="596">
        <f>ROUND(R204*$S$5,2)</f>
        <v>312.83</v>
      </c>
      <c r="T204" s="596">
        <f>ROUND((P204+Q204)*(1+$R$5)*1.2,0)</f>
        <v>1877</v>
      </c>
      <c r="U204" s="596">
        <v>2025</v>
      </c>
      <c r="V204" s="601">
        <f t="shared" si="70"/>
        <v>-7.3086419753086318</v>
      </c>
    </row>
    <row r="205" spans="1:22" ht="25.5" hidden="1" customHeight="1" x14ac:dyDescent="0.25">
      <c r="A205" s="590"/>
      <c r="B205" s="590"/>
      <c r="C205" s="589"/>
      <c r="D205" s="592"/>
      <c r="E205" s="91" t="s">
        <v>166</v>
      </c>
      <c r="F205" s="92">
        <f>VLOOKUP(E205,'условия, ФОТ'!$A$14:$I$32,9, FALSE)</f>
        <v>185.8</v>
      </c>
      <c r="G205" s="608"/>
      <c r="H205" s="608"/>
      <c r="I205" s="592"/>
      <c r="J205" s="592"/>
      <c r="K205" s="591"/>
      <c r="L205" s="592"/>
      <c r="M205" s="592"/>
      <c r="N205" s="592"/>
      <c r="O205" s="592"/>
      <c r="P205" s="608"/>
      <c r="Q205" s="608"/>
      <c r="R205" s="596"/>
      <c r="S205" s="596"/>
      <c r="T205" s="596"/>
      <c r="U205" s="596"/>
      <c r="V205" s="601"/>
    </row>
    <row r="206" spans="1:22" ht="17.25" hidden="1" customHeight="1" outlineLevel="1" x14ac:dyDescent="0.25">
      <c r="A206" s="88"/>
      <c r="B206" s="88"/>
      <c r="C206" s="90"/>
      <c r="D206" s="92"/>
      <c r="E206" s="91"/>
      <c r="F206" s="92"/>
      <c r="G206" s="94"/>
      <c r="H206" s="94"/>
      <c r="I206" s="92"/>
      <c r="J206" s="96" t="s">
        <v>366</v>
      </c>
      <c r="K206" s="122" t="s">
        <v>323</v>
      </c>
      <c r="L206" s="98" t="str">
        <f>VLOOKUP(K206,материалы!$A$5:$G$31,5, FALSE)</f>
        <v>м3</v>
      </c>
      <c r="M206" s="92">
        <f>VLOOKUP(K206,материалы!$A$5:$G$31,7, FALSE)</f>
        <v>379.24</v>
      </c>
      <c r="N206" s="92">
        <v>0.17499999999999999</v>
      </c>
      <c r="O206" s="92">
        <f>ROUND(M206*N206,2)</f>
        <v>66.37</v>
      </c>
      <c r="P206" s="94"/>
      <c r="Q206" s="94"/>
      <c r="R206" s="115"/>
      <c r="S206" s="115"/>
      <c r="T206" s="115"/>
      <c r="U206" s="148"/>
      <c r="V206" s="149"/>
    </row>
    <row r="207" spans="1:22" ht="17.25" hidden="1" customHeight="1" outlineLevel="1" x14ac:dyDescent="0.25">
      <c r="A207" s="88"/>
      <c r="B207" s="88"/>
      <c r="C207" s="90"/>
      <c r="D207" s="92"/>
      <c r="E207" s="91"/>
      <c r="F207" s="92"/>
      <c r="G207" s="94"/>
      <c r="H207" s="94"/>
      <c r="I207" s="92"/>
      <c r="J207" s="92"/>
      <c r="K207" s="122" t="s">
        <v>324</v>
      </c>
      <c r="L207" s="98" t="str">
        <f>VLOOKUP(K207,материалы!$A$5:$G$31,5, FALSE)</f>
        <v>м3</v>
      </c>
      <c r="M207" s="92">
        <f>VLOOKUP(K207,материалы!$A$5:$G$31,7, FALSE)</f>
        <v>54.61</v>
      </c>
      <c r="N207" s="92">
        <v>0.05</v>
      </c>
      <c r="O207" s="92">
        <f t="shared" ref="O207:O208" si="80">ROUND(M207*N207,2)</f>
        <v>2.73</v>
      </c>
      <c r="P207" s="94"/>
      <c r="Q207" s="94"/>
      <c r="R207" s="115"/>
      <c r="S207" s="115"/>
      <c r="T207" s="115"/>
      <c r="U207" s="148"/>
      <c r="V207" s="149"/>
    </row>
    <row r="208" spans="1:22" ht="39" hidden="1" customHeight="1" outlineLevel="1" x14ac:dyDescent="0.25">
      <c r="A208" s="88"/>
      <c r="B208" s="88"/>
      <c r="C208" s="90"/>
      <c r="D208" s="92"/>
      <c r="E208" s="91"/>
      <c r="F208" s="92"/>
      <c r="G208" s="94"/>
      <c r="H208" s="94"/>
      <c r="I208" s="92"/>
      <c r="J208" s="92"/>
      <c r="K208" s="104" t="s">
        <v>341</v>
      </c>
      <c r="L208" s="98" t="str">
        <f>VLOOKUP(K208,материалы!$A$5:$G$31,5, FALSE)</f>
        <v>кг</v>
      </c>
      <c r="M208" s="92">
        <f>VLOOKUP(K208,материалы!$A$5:$G$31,7, FALSE)</f>
        <v>44.94</v>
      </c>
      <c r="N208" s="92">
        <v>1.7000000000000001E-2</v>
      </c>
      <c r="O208" s="92">
        <f t="shared" si="80"/>
        <v>0.76</v>
      </c>
      <c r="P208" s="94"/>
      <c r="Q208" s="94"/>
      <c r="R208" s="115"/>
      <c r="S208" s="115"/>
      <c r="T208" s="115"/>
      <c r="U208" s="148"/>
      <c r="V208" s="149"/>
    </row>
    <row r="209" spans="1:22" hidden="1" outlineLevel="1" x14ac:dyDescent="0.25">
      <c r="A209" s="88"/>
      <c r="B209" s="88"/>
      <c r="C209" s="90"/>
      <c r="D209" s="92"/>
      <c r="E209" s="91"/>
      <c r="F209" s="92"/>
      <c r="G209" s="94"/>
      <c r="H209" s="94"/>
      <c r="I209" s="92"/>
      <c r="J209" s="92"/>
      <c r="K209" s="97" t="s">
        <v>329</v>
      </c>
      <c r="L209" s="98" t="str">
        <f>VLOOKUP(K209,материалы!$A$5:$G$31,5, FALSE)</f>
        <v>кг</v>
      </c>
      <c r="M209" s="92">
        <f>VLOOKUP(K209,материалы!$A$5:$G$31,7, FALSE)</f>
        <v>65.599999999999994</v>
      </c>
      <c r="N209" s="100">
        <v>1E-3</v>
      </c>
      <c r="O209" s="92">
        <f>ROUND(M209*N209,2)</f>
        <v>7.0000000000000007E-2</v>
      </c>
      <c r="P209" s="94"/>
      <c r="Q209" s="94"/>
      <c r="R209" s="115"/>
      <c r="S209" s="115"/>
      <c r="T209" s="115"/>
      <c r="U209" s="148"/>
      <c r="V209" s="149"/>
    </row>
    <row r="210" spans="1:22" hidden="1" outlineLevel="1" x14ac:dyDescent="0.25">
      <c r="A210" s="88"/>
      <c r="B210" s="88"/>
      <c r="C210" s="90"/>
      <c r="D210" s="92"/>
      <c r="E210" s="91"/>
      <c r="F210" s="92"/>
      <c r="G210" s="94"/>
      <c r="H210" s="94"/>
      <c r="I210" s="92"/>
      <c r="J210" s="92"/>
      <c r="K210" s="97" t="s">
        <v>330</v>
      </c>
      <c r="L210" s="98" t="str">
        <f>VLOOKUP(K210,материалы!$A$5:$G$31,5, FALSE)</f>
        <v>кг</v>
      </c>
      <c r="M210" s="92">
        <f>VLOOKUP(K210,материалы!$A$5:$G$31,7, FALSE)</f>
        <v>39.82</v>
      </c>
      <c r="N210" s="98">
        <v>0.01</v>
      </c>
      <c r="O210" s="92">
        <f>ROUND(M210*N210,2)</f>
        <v>0.4</v>
      </c>
      <c r="P210" s="94"/>
      <c r="Q210" s="94"/>
      <c r="R210" s="115"/>
      <c r="S210" s="115"/>
      <c r="T210" s="115"/>
      <c r="U210" s="148"/>
      <c r="V210" s="149"/>
    </row>
    <row r="211" spans="1:22" ht="25.5" hidden="1" outlineLevel="1" x14ac:dyDescent="0.25">
      <c r="A211" s="88"/>
      <c r="B211" s="88"/>
      <c r="C211" s="90"/>
      <c r="D211" s="92"/>
      <c r="E211" s="91"/>
      <c r="F211" s="92"/>
      <c r="G211" s="94"/>
      <c r="H211" s="94"/>
      <c r="I211" s="92"/>
      <c r="J211" s="92"/>
      <c r="K211" s="97" t="s">
        <v>374</v>
      </c>
      <c r="L211" s="98" t="str">
        <f>VLOOKUP(K211,материалы!$A$5:$G$31,5, FALSE)</f>
        <v>м</v>
      </c>
      <c r="M211" s="92">
        <f>VLOOKUP(K211,материалы!$A$5:$G$31,7, FALSE)</f>
        <v>81.38</v>
      </c>
      <c r="N211" s="98">
        <v>1</v>
      </c>
      <c r="O211" s="92">
        <f>ROUND(M211*N211,2)</f>
        <v>81.38</v>
      </c>
      <c r="P211" s="94"/>
      <c r="Q211" s="94"/>
      <c r="R211" s="115"/>
      <c r="S211" s="115"/>
      <c r="T211" s="115"/>
      <c r="U211" s="148"/>
      <c r="V211" s="149"/>
    </row>
    <row r="212" spans="1:22" hidden="1" x14ac:dyDescent="0.25">
      <c r="A212" s="590" t="s">
        <v>523</v>
      </c>
      <c r="B212" s="590" t="s">
        <v>286</v>
      </c>
      <c r="C212" s="589" t="s">
        <v>375</v>
      </c>
      <c r="D212" s="592" t="s">
        <v>28</v>
      </c>
      <c r="E212" s="91" t="s">
        <v>161</v>
      </c>
      <c r="F212" s="92">
        <f>VLOOKUP(E212,'условия, ФОТ'!$A$14:$I$32,9, FALSE)</f>
        <v>111.79</v>
      </c>
      <c r="G212" s="592">
        <v>0.86</v>
      </c>
      <c r="H212" s="608">
        <f>ROUND((F212+F213)/2*G212,2)</f>
        <v>127.96</v>
      </c>
      <c r="I212" s="592">
        <f>ROUND(H212*$I$5,2)</f>
        <v>38.64</v>
      </c>
      <c r="J212" s="592">
        <f t="shared" si="68"/>
        <v>166.6</v>
      </c>
      <c r="K212" s="591"/>
      <c r="L212" s="592"/>
      <c r="M212" s="592"/>
      <c r="N212" s="592"/>
      <c r="O212" s="592">
        <f>O214</f>
        <v>44.39</v>
      </c>
      <c r="P212" s="608">
        <f t="shared" si="69"/>
        <v>210.99</v>
      </c>
      <c r="Q212" s="608">
        <f>ROUND(P212*$Q$5,2)</f>
        <v>160.99</v>
      </c>
      <c r="R212" s="596">
        <f>ROUND(T212/1.2,2)</f>
        <v>409.17</v>
      </c>
      <c r="S212" s="596">
        <f>ROUND(R212*$S$5,2)</f>
        <v>81.83</v>
      </c>
      <c r="T212" s="596">
        <f>ROUND((P212+Q212)*(1+$R$5)*1.2,0)</f>
        <v>491</v>
      </c>
      <c r="U212" s="596">
        <v>530</v>
      </c>
      <c r="V212" s="601">
        <f t="shared" si="70"/>
        <v>-7.3584905660377302</v>
      </c>
    </row>
    <row r="213" spans="1:22" ht="23.25" hidden="1" customHeight="1" x14ac:dyDescent="0.25">
      <c r="A213" s="590"/>
      <c r="B213" s="590"/>
      <c r="C213" s="589"/>
      <c r="D213" s="592"/>
      <c r="E213" s="91" t="s">
        <v>166</v>
      </c>
      <c r="F213" s="92">
        <f>VLOOKUP(E213,'условия, ФОТ'!$A$14:$I$32,9, FALSE)</f>
        <v>185.8</v>
      </c>
      <c r="G213" s="592"/>
      <c r="H213" s="608"/>
      <c r="I213" s="592"/>
      <c r="J213" s="592"/>
      <c r="K213" s="591"/>
      <c r="L213" s="592"/>
      <c r="M213" s="592"/>
      <c r="N213" s="592"/>
      <c r="O213" s="592"/>
      <c r="P213" s="608"/>
      <c r="Q213" s="608"/>
      <c r="R213" s="596"/>
      <c r="S213" s="596"/>
      <c r="T213" s="596"/>
      <c r="U213" s="596"/>
      <c r="V213" s="601"/>
    </row>
    <row r="214" spans="1:22" ht="27.95" hidden="1" customHeight="1" outlineLevel="1" x14ac:dyDescent="0.25">
      <c r="A214" s="88"/>
      <c r="B214" s="88"/>
      <c r="C214" s="90"/>
      <c r="D214" s="92"/>
      <c r="E214" s="91"/>
      <c r="F214" s="92"/>
      <c r="G214" s="92"/>
      <c r="H214" s="94"/>
      <c r="I214" s="92"/>
      <c r="J214" s="96" t="s">
        <v>366</v>
      </c>
      <c r="K214" s="97" t="s">
        <v>369</v>
      </c>
      <c r="L214" s="98" t="str">
        <f>VLOOKUP(K214,материалы!$A$5:$G$31,5, FALSE)</f>
        <v>м</v>
      </c>
      <c r="M214" s="92">
        <f>VLOOKUP(K214,материалы!$A$5:$G$31,7, FALSE)</f>
        <v>44.39</v>
      </c>
      <c r="N214" s="98">
        <v>1</v>
      </c>
      <c r="O214" s="92">
        <f t="shared" ref="O214" si="81">ROUND(M214*N214,2)</f>
        <v>44.39</v>
      </c>
      <c r="P214" s="94"/>
      <c r="Q214" s="94"/>
      <c r="R214" s="115"/>
      <c r="S214" s="115"/>
      <c r="T214" s="115"/>
      <c r="U214" s="148"/>
      <c r="V214" s="149"/>
    </row>
    <row r="215" spans="1:22" ht="16.5" hidden="1" customHeight="1" x14ac:dyDescent="0.25">
      <c r="A215" s="590" t="s">
        <v>524</v>
      </c>
      <c r="B215" s="590" t="s">
        <v>286</v>
      </c>
      <c r="C215" s="589" t="s">
        <v>376</v>
      </c>
      <c r="D215" s="592" t="s">
        <v>28</v>
      </c>
      <c r="E215" s="91" t="s">
        <v>161</v>
      </c>
      <c r="F215" s="92">
        <f>VLOOKUP(E215,'условия, ФОТ'!$A$14:$I$32,9, FALSE)</f>
        <v>111.79</v>
      </c>
      <c r="G215" s="592">
        <v>1.02</v>
      </c>
      <c r="H215" s="608">
        <f>ROUND((F215+F216)/2*G215,2)</f>
        <v>151.77000000000001</v>
      </c>
      <c r="I215" s="592">
        <f>ROUND(H215*$I$5,2)</f>
        <v>45.83</v>
      </c>
      <c r="J215" s="592">
        <f t="shared" si="68"/>
        <v>197.60000000000002</v>
      </c>
      <c r="K215" s="591"/>
      <c r="L215" s="592"/>
      <c r="M215" s="592"/>
      <c r="N215" s="592"/>
      <c r="O215" s="592">
        <f>O217</f>
        <v>81.38</v>
      </c>
      <c r="P215" s="608">
        <f t="shared" si="69"/>
        <v>278.98</v>
      </c>
      <c r="Q215" s="608">
        <f>ROUND(P215*$Q$5,2)</f>
        <v>212.86</v>
      </c>
      <c r="R215" s="596">
        <f>ROUND(T215/1.2,2)</f>
        <v>540.83000000000004</v>
      </c>
      <c r="S215" s="596">
        <f>ROUND(R215*$S$5,2)</f>
        <v>108.17</v>
      </c>
      <c r="T215" s="596">
        <f>ROUND((P215+Q215)*(1+$R$5)*1.2,0)</f>
        <v>649</v>
      </c>
      <c r="U215" s="596">
        <v>700</v>
      </c>
      <c r="V215" s="601">
        <f t="shared" si="70"/>
        <v>-7.2857142857142776</v>
      </c>
    </row>
    <row r="216" spans="1:22" ht="16.5" hidden="1" customHeight="1" x14ac:dyDescent="0.25">
      <c r="A216" s="590"/>
      <c r="B216" s="590"/>
      <c r="C216" s="589"/>
      <c r="D216" s="592"/>
      <c r="E216" s="91" t="s">
        <v>166</v>
      </c>
      <c r="F216" s="92">
        <f>VLOOKUP(E216,'условия, ФОТ'!$A$14:$I$32,9, FALSE)</f>
        <v>185.8</v>
      </c>
      <c r="G216" s="592"/>
      <c r="H216" s="608"/>
      <c r="I216" s="592"/>
      <c r="J216" s="592"/>
      <c r="K216" s="591"/>
      <c r="L216" s="592"/>
      <c r="M216" s="592"/>
      <c r="N216" s="592"/>
      <c r="O216" s="592"/>
      <c r="P216" s="608"/>
      <c r="Q216" s="608"/>
      <c r="R216" s="596"/>
      <c r="S216" s="596"/>
      <c r="T216" s="596"/>
      <c r="U216" s="596"/>
      <c r="V216" s="601"/>
    </row>
    <row r="217" spans="1:22" ht="27" hidden="1" customHeight="1" outlineLevel="1" x14ac:dyDescent="0.25">
      <c r="A217" s="88"/>
      <c r="B217" s="88"/>
      <c r="C217" s="90"/>
      <c r="D217" s="92"/>
      <c r="E217" s="91"/>
      <c r="F217" s="92"/>
      <c r="G217" s="92"/>
      <c r="H217" s="94"/>
      <c r="I217" s="92"/>
      <c r="J217" s="96" t="s">
        <v>366</v>
      </c>
      <c r="K217" s="97" t="s">
        <v>374</v>
      </c>
      <c r="L217" s="98" t="str">
        <f>VLOOKUP(K217,материалы!$A$5:$G$31,5, FALSE)</f>
        <v>м</v>
      </c>
      <c r="M217" s="92">
        <f>VLOOKUP(K217,материалы!$A$5:$G$31,7, FALSE)</f>
        <v>81.38</v>
      </c>
      <c r="N217" s="98">
        <v>1</v>
      </c>
      <c r="O217" s="92">
        <f>ROUND(M217*N217,2)</f>
        <v>81.38</v>
      </c>
      <c r="P217" s="94"/>
      <c r="Q217" s="94"/>
      <c r="R217" s="115"/>
      <c r="S217" s="115"/>
      <c r="T217" s="115"/>
      <c r="U217" s="148"/>
      <c r="V217" s="149"/>
    </row>
    <row r="218" spans="1:22" ht="35.25" hidden="1" customHeight="1" x14ac:dyDescent="0.25">
      <c r="A218" s="88" t="s">
        <v>525</v>
      </c>
      <c r="B218" s="88" t="s">
        <v>287</v>
      </c>
      <c r="C218" s="90" t="s">
        <v>378</v>
      </c>
      <c r="D218" s="92" t="s">
        <v>288</v>
      </c>
      <c r="E218" s="91" t="s">
        <v>161</v>
      </c>
      <c r="F218" s="92">
        <f>VLOOKUP(E218,'условия, ФОТ'!$A$14:$I$32,9, FALSE)</f>
        <v>111.79</v>
      </c>
      <c r="G218" s="92">
        <v>0.94</v>
      </c>
      <c r="H218" s="92">
        <f t="shared" si="67"/>
        <v>105.08</v>
      </c>
      <c r="I218" s="92">
        <f>ROUND(H218*$I$5,2)</f>
        <v>31.73</v>
      </c>
      <c r="J218" s="92">
        <f t="shared" si="68"/>
        <v>136.81</v>
      </c>
      <c r="K218" s="93"/>
      <c r="L218" s="92"/>
      <c r="M218" s="92"/>
      <c r="N218" s="92"/>
      <c r="O218" s="92">
        <f>SUM(O219:O222)</f>
        <v>35.57</v>
      </c>
      <c r="P218" s="92">
        <f>J218+O218</f>
        <v>172.38</v>
      </c>
      <c r="Q218" s="92">
        <f>ROUND(P218*$Q$5,2)</f>
        <v>131.53</v>
      </c>
      <c r="R218" s="115">
        <f>ROUND(T218/1.2,2)</f>
        <v>334.17</v>
      </c>
      <c r="S218" s="115">
        <f>ROUND(R218*$S$5,2)</f>
        <v>66.83</v>
      </c>
      <c r="T218" s="115">
        <f>ROUND((P218+Q218)*(1+$R$5)*1.2,0)</f>
        <v>401</v>
      </c>
      <c r="U218" s="148">
        <v>433</v>
      </c>
      <c r="V218" s="78">
        <f t="shared" si="70"/>
        <v>-7.3903002309468775</v>
      </c>
    </row>
    <row r="219" spans="1:22" ht="25.5" hidden="1" outlineLevel="1" x14ac:dyDescent="0.25">
      <c r="A219" s="88"/>
      <c r="B219" s="88"/>
      <c r="C219" s="90"/>
      <c r="D219" s="92"/>
      <c r="E219" s="91"/>
      <c r="F219" s="92"/>
      <c r="G219" s="92"/>
      <c r="H219" s="92"/>
      <c r="I219" s="92"/>
      <c r="J219" s="96" t="s">
        <v>366</v>
      </c>
      <c r="K219" s="104" t="s">
        <v>335</v>
      </c>
      <c r="L219" s="98" t="str">
        <f>VLOOKUP(K219,материалы!$A$5:$G$31,5, FALSE)</f>
        <v>кг</v>
      </c>
      <c r="M219" s="92">
        <f>VLOOKUP(K219,материалы!$A$5:$G$31,7, FALSE)</f>
        <v>712.76</v>
      </c>
      <c r="N219" s="92">
        <v>5.0000000000000001E-3</v>
      </c>
      <c r="O219" s="92">
        <f>ROUND(M219*N219,2)</f>
        <v>3.56</v>
      </c>
      <c r="P219" s="92"/>
      <c r="Q219" s="92"/>
      <c r="R219" s="115"/>
      <c r="S219" s="115"/>
      <c r="T219" s="115"/>
      <c r="U219" s="148"/>
      <c r="V219" s="78"/>
    </row>
    <row r="220" spans="1:22" hidden="1" outlineLevel="1" x14ac:dyDescent="0.25">
      <c r="A220" s="88"/>
      <c r="B220" s="88"/>
      <c r="C220" s="90"/>
      <c r="D220" s="92"/>
      <c r="E220" s="91"/>
      <c r="F220" s="92"/>
      <c r="G220" s="92"/>
      <c r="H220" s="92"/>
      <c r="I220" s="92"/>
      <c r="J220" s="92"/>
      <c r="K220" s="97" t="s">
        <v>329</v>
      </c>
      <c r="L220" s="98" t="str">
        <f>VLOOKUP(K220,материалы!$A$5:$G$31,5, FALSE)</f>
        <v>кг</v>
      </c>
      <c r="M220" s="92">
        <f>VLOOKUP(K220,материалы!$A$5:$G$31,7, FALSE)</f>
        <v>65.599999999999994</v>
      </c>
      <c r="N220" s="100">
        <v>1E-3</v>
      </c>
      <c r="O220" s="92">
        <f>ROUND(M220*N220,2)</f>
        <v>7.0000000000000007E-2</v>
      </c>
      <c r="P220" s="92"/>
      <c r="Q220" s="92"/>
      <c r="R220" s="115"/>
      <c r="S220" s="115"/>
      <c r="T220" s="115"/>
      <c r="U220" s="148"/>
      <c r="V220" s="78"/>
    </row>
    <row r="221" spans="1:22" hidden="1" outlineLevel="1" x14ac:dyDescent="0.25">
      <c r="A221" s="88"/>
      <c r="B221" s="88"/>
      <c r="C221" s="90"/>
      <c r="D221" s="92"/>
      <c r="E221" s="91"/>
      <c r="F221" s="92"/>
      <c r="G221" s="92"/>
      <c r="H221" s="92"/>
      <c r="I221" s="92"/>
      <c r="J221" s="92"/>
      <c r="K221" s="97" t="s">
        <v>330</v>
      </c>
      <c r="L221" s="98" t="str">
        <f>VLOOKUP(K221,материалы!$A$5:$G$31,5, FALSE)</f>
        <v>кг</v>
      </c>
      <c r="M221" s="92">
        <f>VLOOKUP(K221,материалы!$A$5:$G$31,7, FALSE)</f>
        <v>39.82</v>
      </c>
      <c r="N221" s="98">
        <v>0.01</v>
      </c>
      <c r="O221" s="92">
        <f>ROUND(M221*N221,2)</f>
        <v>0.4</v>
      </c>
      <c r="P221" s="92"/>
      <c r="Q221" s="92"/>
      <c r="R221" s="115"/>
      <c r="S221" s="115"/>
      <c r="T221" s="115"/>
      <c r="U221" s="148"/>
      <c r="V221" s="78"/>
    </row>
    <row r="222" spans="1:22" hidden="1" outlineLevel="1" x14ac:dyDescent="0.25">
      <c r="A222" s="88"/>
      <c r="B222" s="88"/>
      <c r="C222" s="90"/>
      <c r="D222" s="92"/>
      <c r="E222" s="91"/>
      <c r="F222" s="92"/>
      <c r="G222" s="92"/>
      <c r="H222" s="92"/>
      <c r="I222" s="92"/>
      <c r="J222" s="92"/>
      <c r="K222" s="97" t="s">
        <v>377</v>
      </c>
      <c r="L222" s="98" t="str">
        <f>VLOOKUP(K222,материалы!$A$5:$G$31,5, FALSE)</f>
        <v>шт.</v>
      </c>
      <c r="M222" s="92">
        <f>VLOOKUP(K222,материалы!$A$5:$G$31,7, FALSE)</f>
        <v>31.54</v>
      </c>
      <c r="N222" s="98">
        <v>1</v>
      </c>
      <c r="O222" s="92">
        <f>ROUND(M222*N222,2)</f>
        <v>31.54</v>
      </c>
      <c r="P222" s="92"/>
      <c r="Q222" s="92"/>
      <c r="R222" s="115"/>
      <c r="S222" s="115"/>
      <c r="T222" s="115"/>
      <c r="U222" s="148"/>
      <c r="V222" s="78"/>
    </row>
    <row r="223" spans="1:22" ht="45" hidden="1" customHeight="1" x14ac:dyDescent="0.25">
      <c r="A223" s="88" t="s">
        <v>526</v>
      </c>
      <c r="B223" s="88" t="s">
        <v>289</v>
      </c>
      <c r="C223" s="90" t="s">
        <v>110</v>
      </c>
      <c r="D223" s="92" t="s">
        <v>290</v>
      </c>
      <c r="E223" s="91" t="s">
        <v>161</v>
      </c>
      <c r="F223" s="92">
        <f>VLOOKUP(E223,'условия, ФОТ'!$A$14:$I$32,9, FALSE)</f>
        <v>111.79</v>
      </c>
      <c r="G223" s="92">
        <v>0.65</v>
      </c>
      <c r="H223" s="92">
        <f t="shared" si="67"/>
        <v>72.66</v>
      </c>
      <c r="I223" s="92">
        <f>ROUND(H223*$I$5,2)</f>
        <v>21.94</v>
      </c>
      <c r="J223" s="92">
        <f t="shared" si="68"/>
        <v>94.6</v>
      </c>
      <c r="K223" s="93"/>
      <c r="L223" s="92"/>
      <c r="M223" s="92"/>
      <c r="N223" s="92"/>
      <c r="O223" s="92"/>
      <c r="P223" s="92">
        <f t="shared" si="69"/>
        <v>94.6</v>
      </c>
      <c r="Q223" s="92">
        <f>ROUND(P223*$Q$5,2)</f>
        <v>72.180000000000007</v>
      </c>
      <c r="R223" s="115">
        <f>ROUND(T223/1.2,2)</f>
        <v>183.33</v>
      </c>
      <c r="S223" s="115">
        <f>ROUND(R223*$S$5,2)</f>
        <v>36.67</v>
      </c>
      <c r="T223" s="115">
        <f>ROUND((P223+Q223)*(1+$R$5)*1.2,0)</f>
        <v>220</v>
      </c>
      <c r="U223" s="148">
        <v>237</v>
      </c>
      <c r="V223" s="78">
        <f t="shared" si="70"/>
        <v>-7.1729957805907247</v>
      </c>
    </row>
    <row r="224" spans="1:22" ht="33" hidden="1" customHeight="1" x14ac:dyDescent="0.25">
      <c r="A224" s="88" t="s">
        <v>527</v>
      </c>
      <c r="B224" s="88" t="s">
        <v>291</v>
      </c>
      <c r="C224" s="90" t="s">
        <v>111</v>
      </c>
      <c r="D224" s="92" t="s">
        <v>220</v>
      </c>
      <c r="E224" s="91" t="s">
        <v>161</v>
      </c>
      <c r="F224" s="92">
        <f>VLOOKUP(E224,'условия, ФОТ'!$A$14:$I$32,9, FALSE)</f>
        <v>111.79</v>
      </c>
      <c r="G224" s="92">
        <v>0.39</v>
      </c>
      <c r="H224" s="92">
        <f t="shared" si="67"/>
        <v>43.6</v>
      </c>
      <c r="I224" s="92">
        <f>ROUND(H224*$I$5,2)</f>
        <v>13.17</v>
      </c>
      <c r="J224" s="92">
        <f t="shared" si="68"/>
        <v>56.77</v>
      </c>
      <c r="K224" s="93"/>
      <c r="L224" s="92"/>
      <c r="M224" s="92"/>
      <c r="N224" s="92"/>
      <c r="O224" s="92">
        <f>O225</f>
        <v>3.56</v>
      </c>
      <c r="P224" s="92">
        <f t="shared" si="69"/>
        <v>60.330000000000005</v>
      </c>
      <c r="Q224" s="92">
        <f>ROUND(P224*$Q$5,2)</f>
        <v>46.03</v>
      </c>
      <c r="R224" s="115">
        <f>ROUND(T224/1.2,2)</f>
        <v>116.67</v>
      </c>
      <c r="S224" s="115">
        <f>ROUND(R224*$S$5,2)</f>
        <v>23.33</v>
      </c>
      <c r="T224" s="115">
        <f>ROUND((P224+Q224)*(1+$R$5)*1.2,0)</f>
        <v>140</v>
      </c>
      <c r="U224" s="148">
        <v>151</v>
      </c>
      <c r="V224" s="78">
        <f t="shared" si="70"/>
        <v>-7.2847682119205359</v>
      </c>
    </row>
    <row r="225" spans="1:22" ht="25.5" hidden="1" outlineLevel="1" x14ac:dyDescent="0.25">
      <c r="A225" s="88"/>
      <c r="B225" s="88"/>
      <c r="C225" s="90"/>
      <c r="D225" s="92"/>
      <c r="E225" s="91"/>
      <c r="F225" s="92"/>
      <c r="G225" s="92"/>
      <c r="H225" s="92"/>
      <c r="I225" s="92"/>
      <c r="J225" s="96" t="s">
        <v>366</v>
      </c>
      <c r="K225" s="104" t="s">
        <v>335</v>
      </c>
      <c r="L225" s="98" t="str">
        <f>VLOOKUP(K225,материалы!$A$5:$G$31,5, FALSE)</f>
        <v>кг</v>
      </c>
      <c r="M225" s="92">
        <f>VLOOKUP(K225,материалы!$A$5:$G$31,7, FALSE)</f>
        <v>712.76</v>
      </c>
      <c r="N225" s="92">
        <v>5.0000000000000001E-3</v>
      </c>
      <c r="O225" s="92">
        <f>ROUND(M225*N225,2)</f>
        <v>3.56</v>
      </c>
      <c r="P225" s="92"/>
      <c r="Q225" s="92"/>
      <c r="R225" s="115"/>
      <c r="S225" s="115"/>
      <c r="T225" s="115"/>
      <c r="U225" s="148"/>
      <c r="V225" s="78"/>
    </row>
    <row r="226" spans="1:22" ht="33" hidden="1" customHeight="1" x14ac:dyDescent="0.25">
      <c r="A226" s="88" t="s">
        <v>528</v>
      </c>
      <c r="B226" s="88" t="s">
        <v>292</v>
      </c>
      <c r="C226" s="90" t="s">
        <v>112</v>
      </c>
      <c r="D226" s="92" t="s">
        <v>220</v>
      </c>
      <c r="E226" s="91" t="s">
        <v>161</v>
      </c>
      <c r="F226" s="92">
        <f>VLOOKUP(E226,'условия, ФОТ'!$A$14:$I$32,9, FALSE)</f>
        <v>111.79</v>
      </c>
      <c r="G226" s="92">
        <v>0.52</v>
      </c>
      <c r="H226" s="92">
        <f t="shared" si="67"/>
        <v>58.13</v>
      </c>
      <c r="I226" s="92">
        <f>ROUND(H226*$I$5,2)</f>
        <v>17.559999999999999</v>
      </c>
      <c r="J226" s="92">
        <f t="shared" si="68"/>
        <v>75.69</v>
      </c>
      <c r="K226" s="93"/>
      <c r="L226" s="92"/>
      <c r="M226" s="92"/>
      <c r="N226" s="92"/>
      <c r="O226" s="92">
        <f>O227</f>
        <v>3.56</v>
      </c>
      <c r="P226" s="92">
        <f t="shared" si="69"/>
        <v>79.25</v>
      </c>
      <c r="Q226" s="92">
        <f>ROUND(P226*$Q$5,2)</f>
        <v>60.47</v>
      </c>
      <c r="R226" s="115">
        <f>ROUND(T226/1.2,2)</f>
        <v>153.33000000000001</v>
      </c>
      <c r="S226" s="115">
        <f>ROUND(R226*$S$5,2)</f>
        <v>30.67</v>
      </c>
      <c r="T226" s="115">
        <f>ROUND((P226+Q226)*(1+$R$5)*1.2,0)</f>
        <v>184</v>
      </c>
      <c r="U226" s="148">
        <v>199</v>
      </c>
      <c r="V226" s="78">
        <f>T226/U226*100-100</f>
        <v>-7.5376884422110493</v>
      </c>
    </row>
    <row r="227" spans="1:22" ht="25.5" hidden="1" outlineLevel="1" x14ac:dyDescent="0.25">
      <c r="A227" s="88"/>
      <c r="B227" s="88"/>
      <c r="C227" s="90"/>
      <c r="D227" s="92"/>
      <c r="E227" s="91"/>
      <c r="F227" s="92"/>
      <c r="G227" s="92"/>
      <c r="H227" s="92"/>
      <c r="I227" s="92"/>
      <c r="J227" s="96" t="s">
        <v>366</v>
      </c>
      <c r="K227" s="104" t="s">
        <v>335</v>
      </c>
      <c r="L227" s="98" t="str">
        <f>VLOOKUP(K227,материалы!$A$5:$G$31,5, FALSE)</f>
        <v>кг</v>
      </c>
      <c r="M227" s="92">
        <f>VLOOKUP(K227,материалы!$A$5:$G$31,7, FALSE)</f>
        <v>712.76</v>
      </c>
      <c r="N227" s="92">
        <v>5.0000000000000001E-3</v>
      </c>
      <c r="O227" s="92">
        <f>ROUND(M227*N227,2)</f>
        <v>3.56</v>
      </c>
      <c r="P227" s="92"/>
      <c r="Q227" s="92"/>
      <c r="R227" s="115"/>
      <c r="S227" s="115"/>
      <c r="T227" s="115"/>
      <c r="U227" s="148"/>
      <c r="V227" s="78"/>
    </row>
    <row r="228" spans="1:22" ht="36" hidden="1" customHeight="1" x14ac:dyDescent="0.25">
      <c r="A228" s="88" t="s">
        <v>529</v>
      </c>
      <c r="B228" s="88" t="s">
        <v>359</v>
      </c>
      <c r="C228" s="90" t="s">
        <v>358</v>
      </c>
      <c r="D228" s="92" t="s">
        <v>18</v>
      </c>
      <c r="E228" s="91" t="s">
        <v>161</v>
      </c>
      <c r="F228" s="92">
        <f>VLOOKUP(E228,'условия, ФОТ'!$A$14:$I$32,9, FALSE)</f>
        <v>111.79</v>
      </c>
      <c r="G228" s="92">
        <v>0.32</v>
      </c>
      <c r="H228" s="92">
        <f t="shared" ref="H228" si="82">ROUND(F228*G228,2)</f>
        <v>35.770000000000003</v>
      </c>
      <c r="I228" s="92">
        <f>ROUND(H228*$I$5,2)</f>
        <v>10.8</v>
      </c>
      <c r="J228" s="92">
        <f t="shared" ref="J228" si="83">H228+I228</f>
        <v>46.570000000000007</v>
      </c>
      <c r="K228" s="101"/>
      <c r="L228" s="98"/>
      <c r="M228" s="92"/>
      <c r="N228" s="92"/>
      <c r="O228" s="92"/>
      <c r="P228" s="92">
        <f t="shared" ref="P228" si="84">J228+O228</f>
        <v>46.570000000000007</v>
      </c>
      <c r="Q228" s="92">
        <f>ROUND(P228*$Q$5,2)</f>
        <v>35.53</v>
      </c>
      <c r="R228" s="115">
        <f>ROUND(T228/1.2,2)</f>
        <v>90</v>
      </c>
      <c r="S228" s="115">
        <f>ROUND(R228*$S$5,2)</f>
        <v>18</v>
      </c>
      <c r="T228" s="115">
        <f>ROUND((P228+Q228)*(1+$R$5)*1.2,0)</f>
        <v>108</v>
      </c>
      <c r="U228" s="148">
        <v>117</v>
      </c>
      <c r="V228" s="78">
        <f>T228/U228*100-100</f>
        <v>-7.6923076923076934</v>
      </c>
    </row>
    <row r="229" spans="1:22" ht="78.75" hidden="1" customHeight="1" x14ac:dyDescent="0.25">
      <c r="A229" s="92" t="s">
        <v>530</v>
      </c>
      <c r="B229" s="88" t="s">
        <v>293</v>
      </c>
      <c r="C229" s="90" t="s">
        <v>113</v>
      </c>
      <c r="D229" s="92" t="s">
        <v>220</v>
      </c>
      <c r="E229" s="91" t="s">
        <v>161</v>
      </c>
      <c r="F229" s="92">
        <f>VLOOKUP(E229,'условия, ФОТ'!$A$14:$I$32,9, FALSE)</f>
        <v>111.79</v>
      </c>
      <c r="G229" s="92">
        <v>0.2</v>
      </c>
      <c r="H229" s="92">
        <f>ROUND(F229*G229,2)</f>
        <v>22.36</v>
      </c>
      <c r="I229" s="92">
        <f>ROUND(H229*$I$5,2)</f>
        <v>6.75</v>
      </c>
      <c r="J229" s="92">
        <f>H229+I229</f>
        <v>29.11</v>
      </c>
      <c r="K229" s="93"/>
      <c r="L229" s="92"/>
      <c r="M229" s="92"/>
      <c r="N229" s="92"/>
      <c r="O229" s="92"/>
      <c r="P229" s="92">
        <f>J229+O229</f>
        <v>29.11</v>
      </c>
      <c r="Q229" s="92">
        <f>ROUND(P229*$Q$5,2)</f>
        <v>22.21</v>
      </c>
      <c r="R229" s="115">
        <f>ROUND(T229/1.2,2)</f>
        <v>56.67</v>
      </c>
      <c r="S229" s="115">
        <f>ROUND(R229*$S$5,2)</f>
        <v>11.33</v>
      </c>
      <c r="T229" s="115">
        <f>ROUND((P229+Q229)*(1+$R$5)*1.2,0)</f>
        <v>68</v>
      </c>
      <c r="U229" s="148">
        <v>73</v>
      </c>
      <c r="V229" s="78">
        <f>T229/U229*100-100</f>
        <v>-6.849315068493155</v>
      </c>
    </row>
    <row r="230" spans="1:22" s="86" customFormat="1" ht="24" hidden="1" customHeight="1" x14ac:dyDescent="0.25">
      <c r="A230" s="606" t="s">
        <v>410</v>
      </c>
      <c r="B230" s="606"/>
      <c r="C230" s="606"/>
      <c r="D230" s="606"/>
      <c r="E230" s="606"/>
      <c r="F230" s="606"/>
      <c r="G230" s="606"/>
      <c r="H230" s="606"/>
      <c r="I230" s="606"/>
      <c r="J230" s="606"/>
      <c r="K230" s="606"/>
      <c r="L230" s="606"/>
      <c r="M230" s="606"/>
      <c r="N230" s="606"/>
      <c r="O230" s="606"/>
      <c r="P230" s="606"/>
      <c r="Q230" s="606"/>
      <c r="R230" s="606"/>
      <c r="S230" s="606"/>
      <c r="T230" s="606"/>
      <c r="U230" s="148"/>
      <c r="V230" s="85"/>
    </row>
    <row r="231" spans="1:22" hidden="1" x14ac:dyDescent="0.25">
      <c r="A231" s="88" t="s">
        <v>531</v>
      </c>
      <c r="B231" s="88" t="s">
        <v>298</v>
      </c>
      <c r="C231" s="90" t="s">
        <v>299</v>
      </c>
      <c r="D231" s="92" t="s">
        <v>198</v>
      </c>
      <c r="E231" s="91" t="s">
        <v>162</v>
      </c>
      <c r="F231" s="92">
        <f>VLOOKUP(E231,'условия, ФОТ'!$A$14:$I$32,9, FALSE)</f>
        <v>164.09</v>
      </c>
      <c r="G231" s="92">
        <v>0.5</v>
      </c>
      <c r="H231" s="92">
        <f t="shared" ref="H231:H235" si="85">ROUND(F231*G231,2)</f>
        <v>82.05</v>
      </c>
      <c r="I231" s="92">
        <f>ROUND(H231*$I$5,2)</f>
        <v>24.78</v>
      </c>
      <c r="J231" s="92">
        <f t="shared" ref="J231:J235" si="86">H231+I231</f>
        <v>106.83</v>
      </c>
      <c r="K231" s="93"/>
      <c r="L231" s="92"/>
      <c r="M231" s="92"/>
      <c r="N231" s="92"/>
      <c r="O231" s="92"/>
      <c r="P231" s="92">
        <f t="shared" ref="P231:P235" si="87">J231+O231</f>
        <v>106.83</v>
      </c>
      <c r="Q231" s="92">
        <f>ROUND(P231*$Q$5,2)</f>
        <v>81.510000000000005</v>
      </c>
      <c r="R231" s="115">
        <f>ROUND(T231/1.2,2)</f>
        <v>207.5</v>
      </c>
      <c r="S231" s="115">
        <f>ROUND(R231*$S$5,2)</f>
        <v>41.5</v>
      </c>
      <c r="T231" s="115">
        <f>ROUND((P231+Q231)*(1+$R$5)*1.2,0)</f>
        <v>249</v>
      </c>
      <c r="U231" s="148">
        <v>207</v>
      </c>
      <c r="V231" s="78">
        <f t="shared" ref="V231:V270" si="88">T231/U231*100-100</f>
        <v>20.289855072463766</v>
      </c>
    </row>
    <row r="232" spans="1:22" hidden="1" x14ac:dyDescent="0.25">
      <c r="A232" s="88" t="s">
        <v>532</v>
      </c>
      <c r="B232" s="88" t="s">
        <v>298</v>
      </c>
      <c r="C232" s="90" t="s">
        <v>300</v>
      </c>
      <c r="D232" s="92" t="s">
        <v>198</v>
      </c>
      <c r="E232" s="91" t="s">
        <v>162</v>
      </c>
      <c r="F232" s="92">
        <f>VLOOKUP(E232,'условия, ФОТ'!$A$14:$I$32,9, FALSE)</f>
        <v>164.09</v>
      </c>
      <c r="G232" s="92">
        <v>0.2</v>
      </c>
      <c r="H232" s="92">
        <f t="shared" si="85"/>
        <v>32.82</v>
      </c>
      <c r="I232" s="92">
        <f>ROUND(H232*$I$5,2)</f>
        <v>9.91</v>
      </c>
      <c r="J232" s="92">
        <f t="shared" si="86"/>
        <v>42.730000000000004</v>
      </c>
      <c r="K232" s="93"/>
      <c r="L232" s="92"/>
      <c r="M232" s="92"/>
      <c r="N232" s="92"/>
      <c r="O232" s="92"/>
      <c r="P232" s="92">
        <f t="shared" si="87"/>
        <v>42.730000000000004</v>
      </c>
      <c r="Q232" s="92">
        <f>ROUND(P232*$Q$5,2)</f>
        <v>32.6</v>
      </c>
      <c r="R232" s="115">
        <f>ROUND(T232/1.2,2)</f>
        <v>82.5</v>
      </c>
      <c r="S232" s="115">
        <f>ROUND(R232*$S$5,2)</f>
        <v>16.5</v>
      </c>
      <c r="T232" s="115">
        <f>ROUND((P232+Q232)*(1+$R$5)*1.2,0)</f>
        <v>99</v>
      </c>
      <c r="U232" s="148">
        <v>83</v>
      </c>
      <c r="V232" s="78">
        <f t="shared" si="88"/>
        <v>19.277108433734938</v>
      </c>
    </row>
    <row r="233" spans="1:22" ht="15.75" hidden="1" customHeight="1" x14ac:dyDescent="0.25">
      <c r="A233" s="590" t="s">
        <v>533</v>
      </c>
      <c r="B233" s="590" t="s">
        <v>301</v>
      </c>
      <c r="C233" s="607" t="s">
        <v>120</v>
      </c>
      <c r="D233" s="592" t="s">
        <v>198</v>
      </c>
      <c r="E233" s="91" t="s">
        <v>162</v>
      </c>
      <c r="F233" s="92">
        <f>VLOOKUP(E233,'условия, ФОТ'!$A$14:$I$32,9, FALSE)</f>
        <v>164.09</v>
      </c>
      <c r="G233" s="92">
        <v>0.3</v>
      </c>
      <c r="H233" s="592">
        <f>ROUND((F233*G233+F234*G234),2)</f>
        <v>104.97</v>
      </c>
      <c r="I233" s="592">
        <f>ROUND(H233*$I$5,2)</f>
        <v>31.7</v>
      </c>
      <c r="J233" s="592">
        <f>H233+I233</f>
        <v>136.66999999999999</v>
      </c>
      <c r="K233" s="93"/>
      <c r="L233" s="92"/>
      <c r="M233" s="92"/>
      <c r="N233" s="92"/>
      <c r="O233" s="92"/>
      <c r="P233" s="592">
        <f>J233+O233</f>
        <v>136.66999999999999</v>
      </c>
      <c r="Q233" s="592">
        <f>ROUND(P233*$Q$5,2)</f>
        <v>104.28</v>
      </c>
      <c r="R233" s="596">
        <f>ROUND(T233/1.2,2)</f>
        <v>265</v>
      </c>
      <c r="S233" s="596">
        <f>ROUND(R233*$S$5,2)</f>
        <v>53</v>
      </c>
      <c r="T233" s="596">
        <f>ROUND((P233+Q233)*(1+$R$5)*1.2,0)</f>
        <v>318</v>
      </c>
      <c r="U233" s="596">
        <v>306</v>
      </c>
      <c r="V233" s="601">
        <f t="shared" si="88"/>
        <v>3.9215686274509949</v>
      </c>
    </row>
    <row r="234" spans="1:22" hidden="1" x14ac:dyDescent="0.25">
      <c r="A234" s="590"/>
      <c r="B234" s="590"/>
      <c r="C234" s="607"/>
      <c r="D234" s="592"/>
      <c r="E234" s="91" t="s">
        <v>166</v>
      </c>
      <c r="F234" s="92">
        <f>VLOOKUP(E234,'условия, ФОТ'!$A$14:$I$32,9, FALSE)</f>
        <v>185.8</v>
      </c>
      <c r="G234" s="92">
        <v>0.3</v>
      </c>
      <c r="H234" s="592">
        <f t="shared" ref="H234" si="89">ROUND(F234*G234,2)</f>
        <v>55.74</v>
      </c>
      <c r="I234" s="592">
        <f>ROUND(H234*$I$5,2)</f>
        <v>16.829999999999998</v>
      </c>
      <c r="J234" s="592">
        <f t="shared" ref="J234" si="90">H234+I234</f>
        <v>72.569999999999993</v>
      </c>
      <c r="K234" s="93"/>
      <c r="L234" s="92"/>
      <c r="M234" s="92"/>
      <c r="N234" s="92"/>
      <c r="O234" s="92"/>
      <c r="P234" s="592"/>
      <c r="Q234" s="592"/>
      <c r="R234" s="596">
        <f t="shared" ref="R234" si="91">ROUND(T234/1.18,2)</f>
        <v>0</v>
      </c>
      <c r="S234" s="596">
        <f>ROUND(R234*$S$5,2)</f>
        <v>0</v>
      </c>
      <c r="T234" s="596">
        <f>ROUND((P234+Q234)*(1+$R$5)*1.18,0)</f>
        <v>0</v>
      </c>
      <c r="U234" s="596"/>
      <c r="V234" s="601"/>
    </row>
    <row r="235" spans="1:22" ht="31.7" hidden="1" customHeight="1" x14ac:dyDescent="0.25">
      <c r="A235" s="88" t="s">
        <v>534</v>
      </c>
      <c r="B235" s="88" t="s">
        <v>302</v>
      </c>
      <c r="C235" s="90" t="s">
        <v>121</v>
      </c>
      <c r="D235" s="92" t="s">
        <v>198</v>
      </c>
      <c r="E235" s="91" t="s">
        <v>166</v>
      </c>
      <c r="F235" s="92">
        <f>VLOOKUP(E235,'условия, ФОТ'!$A$14:$I$32,9, FALSE)</f>
        <v>185.8</v>
      </c>
      <c r="G235" s="92">
        <v>1.1000000000000001</v>
      </c>
      <c r="H235" s="92">
        <f t="shared" si="85"/>
        <v>204.38</v>
      </c>
      <c r="I235" s="92">
        <f>ROUND(H235*$I$5,2)</f>
        <v>61.72</v>
      </c>
      <c r="J235" s="92">
        <f t="shared" si="86"/>
        <v>266.10000000000002</v>
      </c>
      <c r="K235" s="93"/>
      <c r="L235" s="92"/>
      <c r="M235" s="92"/>
      <c r="N235" s="92"/>
      <c r="O235" s="92">
        <f>SUM(O236:O238)</f>
        <v>110.42000000000002</v>
      </c>
      <c r="P235" s="92">
        <f t="shared" si="87"/>
        <v>376.52000000000004</v>
      </c>
      <c r="Q235" s="92">
        <f>ROUND(P235*$Q$5,2)</f>
        <v>287.27999999999997</v>
      </c>
      <c r="R235" s="115">
        <f>ROUND(T235/1.2,2)</f>
        <v>730</v>
      </c>
      <c r="S235" s="115">
        <f>ROUND(R235*$S$5,2)</f>
        <v>146</v>
      </c>
      <c r="T235" s="115">
        <f>ROUND((P235+Q235)*(1+$R$5)*1.2,0)</f>
        <v>876</v>
      </c>
      <c r="U235" s="148">
        <v>945</v>
      </c>
      <c r="V235" s="78">
        <f t="shared" si="88"/>
        <v>-7.3015873015873041</v>
      </c>
    </row>
    <row r="236" spans="1:22" hidden="1" outlineLevel="1" x14ac:dyDescent="0.25">
      <c r="A236" s="88"/>
      <c r="B236" s="88"/>
      <c r="C236" s="90"/>
      <c r="D236" s="92"/>
      <c r="E236" s="91"/>
      <c r="F236" s="92"/>
      <c r="G236" s="92"/>
      <c r="H236" s="92"/>
      <c r="I236" s="92"/>
      <c r="J236" s="96" t="s">
        <v>366</v>
      </c>
      <c r="K236" s="122" t="s">
        <v>380</v>
      </c>
      <c r="L236" s="98" t="str">
        <f>VLOOKUP(K236,материалы!$A$5:$G$31,5, FALSE)</f>
        <v>кг</v>
      </c>
      <c r="M236" s="92">
        <f>VLOOKUP(K236,материалы!$A$5:$G$31,7, FALSE)</f>
        <v>728.13</v>
      </c>
      <c r="N236" s="92">
        <v>0.1</v>
      </c>
      <c r="O236" s="92">
        <f>ROUND(M236*N236,2)</f>
        <v>72.81</v>
      </c>
      <c r="P236" s="92"/>
      <c r="Q236" s="92"/>
      <c r="R236" s="115"/>
      <c r="S236" s="115"/>
      <c r="T236" s="115"/>
      <c r="U236" s="148"/>
      <c r="V236" s="78"/>
    </row>
    <row r="237" spans="1:22" hidden="1" outlineLevel="1" x14ac:dyDescent="0.25">
      <c r="A237" s="88"/>
      <c r="B237" s="88"/>
      <c r="C237" s="90"/>
      <c r="D237" s="92"/>
      <c r="E237" s="91"/>
      <c r="F237" s="92"/>
      <c r="G237" s="92"/>
      <c r="H237" s="92"/>
      <c r="I237" s="92"/>
      <c r="J237" s="92"/>
      <c r="K237" s="122" t="s">
        <v>379</v>
      </c>
      <c r="L237" s="98" t="str">
        <f>VLOOKUP(K237,материалы!$A$5:$G$31,5, FALSE)</f>
        <v>кг</v>
      </c>
      <c r="M237" s="92">
        <f>VLOOKUP(K237,материалы!$A$5:$G$31,7, FALSE)</f>
        <v>681.26</v>
      </c>
      <c r="N237" s="92">
        <v>5.1999999999999998E-2</v>
      </c>
      <c r="O237" s="92">
        <f t="shared" ref="O237:O238" si="92">ROUND(M237*N237,2)</f>
        <v>35.43</v>
      </c>
      <c r="P237" s="92"/>
      <c r="Q237" s="92"/>
      <c r="R237" s="115"/>
      <c r="S237" s="115"/>
      <c r="T237" s="115"/>
      <c r="U237" s="148"/>
      <c r="V237" s="78"/>
    </row>
    <row r="238" spans="1:22" hidden="1" outlineLevel="1" x14ac:dyDescent="0.25">
      <c r="A238" s="88"/>
      <c r="B238" s="88"/>
      <c r="C238" s="90"/>
      <c r="D238" s="92"/>
      <c r="E238" s="91"/>
      <c r="F238" s="92"/>
      <c r="G238" s="92"/>
      <c r="H238" s="92"/>
      <c r="I238" s="92"/>
      <c r="J238" s="92"/>
      <c r="K238" s="122" t="s">
        <v>324</v>
      </c>
      <c r="L238" s="98" t="str">
        <f>VLOOKUP(K238,материалы!$A$5:$G$31,5, FALSE)</f>
        <v>м3</v>
      </c>
      <c r="M238" s="92">
        <f>VLOOKUP(K238,материалы!$A$5:$G$31,7, FALSE)</f>
        <v>54.61</v>
      </c>
      <c r="N238" s="92">
        <v>0.04</v>
      </c>
      <c r="O238" s="92">
        <f t="shared" si="92"/>
        <v>2.1800000000000002</v>
      </c>
      <c r="P238" s="92"/>
      <c r="Q238" s="92"/>
      <c r="R238" s="115"/>
      <c r="S238" s="115"/>
      <c r="T238" s="115"/>
      <c r="U238" s="148"/>
      <c r="V238" s="78"/>
    </row>
    <row r="239" spans="1:22" s="86" customFormat="1" ht="24" hidden="1" customHeight="1" x14ac:dyDescent="0.25">
      <c r="A239" s="606" t="s">
        <v>313</v>
      </c>
      <c r="B239" s="606"/>
      <c r="C239" s="606"/>
      <c r="D239" s="606"/>
      <c r="E239" s="606"/>
      <c r="F239" s="606"/>
      <c r="G239" s="606"/>
      <c r="H239" s="606"/>
      <c r="I239" s="606"/>
      <c r="J239" s="606"/>
      <c r="K239" s="606"/>
      <c r="L239" s="606"/>
      <c r="M239" s="606"/>
      <c r="N239" s="606"/>
      <c r="O239" s="606"/>
      <c r="P239" s="606"/>
      <c r="Q239" s="606"/>
      <c r="R239" s="606"/>
      <c r="S239" s="606"/>
      <c r="T239" s="606"/>
      <c r="U239" s="148"/>
      <c r="V239" s="85"/>
    </row>
    <row r="240" spans="1:22" ht="38.25" hidden="1" x14ac:dyDescent="0.25">
      <c r="A240" s="88" t="s">
        <v>535</v>
      </c>
      <c r="B240" s="88" t="s">
        <v>304</v>
      </c>
      <c r="C240" s="90" t="s">
        <v>568</v>
      </c>
      <c r="D240" s="146" t="s">
        <v>303</v>
      </c>
      <c r="E240" s="147" t="s">
        <v>587</v>
      </c>
      <c r="F240" s="92">
        <f>VLOOKUP(E240,'условия, ФОТ'!$A$14:$I$32,9, FALSE)</f>
        <v>152.12</v>
      </c>
      <c r="G240" s="92">
        <v>0.26</v>
      </c>
      <c r="H240" s="92">
        <f t="shared" ref="H240:H248" si="93">ROUND(F240*G240,2)</f>
        <v>39.549999999999997</v>
      </c>
      <c r="I240" s="92">
        <f t="shared" ref="I240:I248" si="94">ROUND(H240*$I$5,2)</f>
        <v>11.94</v>
      </c>
      <c r="J240" s="92">
        <f t="shared" ref="J240:J248" si="95">H240+I240</f>
        <v>51.489999999999995</v>
      </c>
      <c r="K240" s="93"/>
      <c r="L240" s="92"/>
      <c r="M240" s="92"/>
      <c r="N240" s="92"/>
      <c r="O240" s="92"/>
      <c r="P240" s="92">
        <f t="shared" ref="P240:P248" si="96">J240+O240</f>
        <v>51.489999999999995</v>
      </c>
      <c r="Q240" s="92">
        <f t="shared" ref="Q240:Q248" si="97">ROUND(P240*$Q$5,2)</f>
        <v>39.29</v>
      </c>
      <c r="R240" s="115">
        <f>ROUND(T240/1.2,2)</f>
        <v>100</v>
      </c>
      <c r="S240" s="115">
        <f t="shared" ref="S240:S248" si="98">ROUND(R240*$S$5,2)</f>
        <v>20</v>
      </c>
      <c r="T240" s="115">
        <f t="shared" ref="T240:T248" si="99">ROUND((P240+Q240)*(1+$R$5)*1.2,0)</f>
        <v>120</v>
      </c>
      <c r="U240" s="148">
        <v>129</v>
      </c>
      <c r="V240" s="78">
        <f t="shared" si="88"/>
        <v>-6.9767441860465169</v>
      </c>
    </row>
    <row r="241" spans="1:22" ht="38.25" hidden="1" x14ac:dyDescent="0.25">
      <c r="A241" s="88" t="s">
        <v>536</v>
      </c>
      <c r="B241" s="88" t="s">
        <v>305</v>
      </c>
      <c r="C241" s="90" t="s">
        <v>569</v>
      </c>
      <c r="D241" s="146" t="s">
        <v>303</v>
      </c>
      <c r="E241" s="147" t="s">
        <v>587</v>
      </c>
      <c r="F241" s="92">
        <f>VLOOKUP(E241,'условия, ФОТ'!$A$14:$I$32,9, FALSE)</f>
        <v>152.12</v>
      </c>
      <c r="G241" s="92">
        <v>0.43</v>
      </c>
      <c r="H241" s="92">
        <f t="shared" si="93"/>
        <v>65.41</v>
      </c>
      <c r="I241" s="92">
        <f t="shared" si="94"/>
        <v>19.75</v>
      </c>
      <c r="J241" s="92">
        <f t="shared" si="95"/>
        <v>85.16</v>
      </c>
      <c r="K241" s="93"/>
      <c r="L241" s="92"/>
      <c r="M241" s="92"/>
      <c r="N241" s="92"/>
      <c r="O241" s="92"/>
      <c r="P241" s="92">
        <f t="shared" si="96"/>
        <v>85.16</v>
      </c>
      <c r="Q241" s="92">
        <f t="shared" si="97"/>
        <v>64.98</v>
      </c>
      <c r="R241" s="148">
        <f t="shared" ref="R241:R248" si="100">ROUND(T241/1.2,2)</f>
        <v>165</v>
      </c>
      <c r="S241" s="115">
        <f t="shared" si="98"/>
        <v>33</v>
      </c>
      <c r="T241" s="148">
        <f t="shared" si="99"/>
        <v>198</v>
      </c>
      <c r="U241" s="148">
        <v>214</v>
      </c>
      <c r="V241" s="78">
        <f t="shared" si="88"/>
        <v>-7.476635514018696</v>
      </c>
    </row>
    <row r="242" spans="1:22" ht="55.5" hidden="1" customHeight="1" x14ac:dyDescent="0.25">
      <c r="A242" s="88" t="s">
        <v>538</v>
      </c>
      <c r="B242" s="88" t="s">
        <v>306</v>
      </c>
      <c r="C242" s="90" t="s">
        <v>570</v>
      </c>
      <c r="D242" s="146" t="s">
        <v>303</v>
      </c>
      <c r="E242" s="147" t="s">
        <v>587</v>
      </c>
      <c r="F242" s="92">
        <f>VLOOKUP(E242,'условия, ФОТ'!$A$14:$I$32,9, FALSE)</f>
        <v>152.12</v>
      </c>
      <c r="G242" s="92">
        <v>0.18</v>
      </c>
      <c r="H242" s="92">
        <f t="shared" si="93"/>
        <v>27.38</v>
      </c>
      <c r="I242" s="92">
        <f t="shared" si="94"/>
        <v>8.27</v>
      </c>
      <c r="J242" s="92">
        <f t="shared" si="95"/>
        <v>35.65</v>
      </c>
      <c r="K242" s="93"/>
      <c r="L242" s="92"/>
      <c r="M242" s="92"/>
      <c r="N242" s="92"/>
      <c r="O242" s="92"/>
      <c r="P242" s="92">
        <f t="shared" si="96"/>
        <v>35.65</v>
      </c>
      <c r="Q242" s="92">
        <f t="shared" si="97"/>
        <v>27.2</v>
      </c>
      <c r="R242" s="148">
        <f t="shared" si="100"/>
        <v>69.17</v>
      </c>
      <c r="S242" s="115">
        <f t="shared" si="98"/>
        <v>13.83</v>
      </c>
      <c r="T242" s="148">
        <f t="shared" si="99"/>
        <v>83</v>
      </c>
      <c r="U242" s="148">
        <v>89</v>
      </c>
      <c r="V242" s="78">
        <f t="shared" si="88"/>
        <v>-6.7415730337078656</v>
      </c>
    </row>
    <row r="243" spans="1:22" ht="33" hidden="1" customHeight="1" x14ac:dyDescent="0.25">
      <c r="A243" s="88" t="s">
        <v>540</v>
      </c>
      <c r="B243" s="88" t="s">
        <v>307</v>
      </c>
      <c r="C243" s="90" t="s">
        <v>571</v>
      </c>
      <c r="D243" s="146" t="s">
        <v>303</v>
      </c>
      <c r="E243" s="147" t="s">
        <v>587</v>
      </c>
      <c r="F243" s="92">
        <f>VLOOKUP(E243,'условия, ФОТ'!$A$14:$I$32,9, FALSE)</f>
        <v>152.12</v>
      </c>
      <c r="G243" s="92">
        <v>0.3</v>
      </c>
      <c r="H243" s="92">
        <f t="shared" si="93"/>
        <v>45.64</v>
      </c>
      <c r="I243" s="92">
        <f t="shared" si="94"/>
        <v>13.78</v>
      </c>
      <c r="J243" s="92">
        <f t="shared" si="95"/>
        <v>59.42</v>
      </c>
      <c r="K243" s="93"/>
      <c r="L243" s="92"/>
      <c r="M243" s="92"/>
      <c r="N243" s="92"/>
      <c r="O243" s="92"/>
      <c r="P243" s="92">
        <f t="shared" si="96"/>
        <v>59.42</v>
      </c>
      <c r="Q243" s="92">
        <f t="shared" si="97"/>
        <v>45.34</v>
      </c>
      <c r="R243" s="148">
        <f t="shared" si="100"/>
        <v>115</v>
      </c>
      <c r="S243" s="115">
        <f t="shared" si="98"/>
        <v>23</v>
      </c>
      <c r="T243" s="148">
        <f t="shared" si="99"/>
        <v>138</v>
      </c>
      <c r="U243" s="148">
        <v>149</v>
      </c>
      <c r="V243" s="78">
        <f t="shared" si="88"/>
        <v>-7.3825503355704711</v>
      </c>
    </row>
    <row r="244" spans="1:22" ht="33.75" hidden="1" customHeight="1" x14ac:dyDescent="0.25">
      <c r="A244" s="88" t="s">
        <v>541</v>
      </c>
      <c r="B244" s="88" t="s">
        <v>27</v>
      </c>
      <c r="C244" s="64" t="s">
        <v>122</v>
      </c>
      <c r="D244" s="146" t="s">
        <v>303</v>
      </c>
      <c r="E244" s="147" t="s">
        <v>587</v>
      </c>
      <c r="F244" s="92">
        <f>VLOOKUP(E244,'условия, ФОТ'!$A$14:$I$32,9, FALSE)</f>
        <v>152.12</v>
      </c>
      <c r="G244" s="92">
        <v>0.5</v>
      </c>
      <c r="H244" s="92">
        <f t="shared" si="93"/>
        <v>76.06</v>
      </c>
      <c r="I244" s="92">
        <f t="shared" si="94"/>
        <v>22.97</v>
      </c>
      <c r="J244" s="92">
        <f t="shared" si="95"/>
        <v>99.03</v>
      </c>
      <c r="K244" s="93"/>
      <c r="L244" s="92"/>
      <c r="M244" s="92"/>
      <c r="N244" s="92"/>
      <c r="O244" s="92"/>
      <c r="P244" s="92">
        <f t="shared" si="96"/>
        <v>99.03</v>
      </c>
      <c r="Q244" s="92">
        <f t="shared" si="97"/>
        <v>75.56</v>
      </c>
      <c r="R244" s="148">
        <f t="shared" si="100"/>
        <v>191.67</v>
      </c>
      <c r="S244" s="115">
        <f t="shared" si="98"/>
        <v>38.33</v>
      </c>
      <c r="T244" s="148">
        <f t="shared" si="99"/>
        <v>230</v>
      </c>
      <c r="U244" s="148">
        <v>249</v>
      </c>
      <c r="V244" s="78">
        <f t="shared" si="88"/>
        <v>-7.630522088353402</v>
      </c>
    </row>
    <row r="245" spans="1:22" ht="33" hidden="1" customHeight="1" x14ac:dyDescent="0.25">
      <c r="A245" s="88" t="s">
        <v>542</v>
      </c>
      <c r="B245" s="88" t="s">
        <v>27</v>
      </c>
      <c r="C245" s="90" t="s">
        <v>123</v>
      </c>
      <c r="D245" s="146" t="s">
        <v>303</v>
      </c>
      <c r="E245" s="147" t="s">
        <v>587</v>
      </c>
      <c r="F245" s="92">
        <f>VLOOKUP(E245,'условия, ФОТ'!$A$14:$I$32,9, FALSE)</f>
        <v>152.12</v>
      </c>
      <c r="G245" s="92">
        <v>0.4</v>
      </c>
      <c r="H245" s="92">
        <f t="shared" si="93"/>
        <v>60.85</v>
      </c>
      <c r="I245" s="92">
        <f t="shared" si="94"/>
        <v>18.38</v>
      </c>
      <c r="J245" s="92">
        <f t="shared" si="95"/>
        <v>79.23</v>
      </c>
      <c r="K245" s="93"/>
      <c r="L245" s="92"/>
      <c r="M245" s="92"/>
      <c r="N245" s="92"/>
      <c r="O245" s="92"/>
      <c r="P245" s="92">
        <f t="shared" si="96"/>
        <v>79.23</v>
      </c>
      <c r="Q245" s="92">
        <f t="shared" si="97"/>
        <v>60.45</v>
      </c>
      <c r="R245" s="148">
        <f t="shared" si="100"/>
        <v>153.33000000000001</v>
      </c>
      <c r="S245" s="115">
        <f t="shared" si="98"/>
        <v>30.67</v>
      </c>
      <c r="T245" s="148">
        <f t="shared" si="99"/>
        <v>184</v>
      </c>
      <c r="U245" s="148">
        <v>199</v>
      </c>
      <c r="V245" s="78">
        <f t="shared" si="88"/>
        <v>-7.5376884422110493</v>
      </c>
    </row>
    <row r="246" spans="1:22" ht="32.25" hidden="1" customHeight="1" x14ac:dyDescent="0.25">
      <c r="A246" s="88" t="s">
        <v>543</v>
      </c>
      <c r="B246" s="88" t="s">
        <v>27</v>
      </c>
      <c r="C246" s="90" t="s">
        <v>124</v>
      </c>
      <c r="D246" s="146" t="s">
        <v>303</v>
      </c>
      <c r="E246" s="147" t="s">
        <v>587</v>
      </c>
      <c r="F246" s="92">
        <f>VLOOKUP(E246,'условия, ФОТ'!$A$14:$I$32,9, FALSE)</f>
        <v>152.12</v>
      </c>
      <c r="G246" s="92">
        <v>0.6</v>
      </c>
      <c r="H246" s="92">
        <f t="shared" si="93"/>
        <v>91.27</v>
      </c>
      <c r="I246" s="92">
        <f t="shared" si="94"/>
        <v>27.56</v>
      </c>
      <c r="J246" s="92">
        <f t="shared" si="95"/>
        <v>118.83</v>
      </c>
      <c r="K246" s="93"/>
      <c r="L246" s="92"/>
      <c r="M246" s="92"/>
      <c r="N246" s="92"/>
      <c r="O246" s="92"/>
      <c r="P246" s="92">
        <f t="shared" si="96"/>
        <v>118.83</v>
      </c>
      <c r="Q246" s="92">
        <f t="shared" si="97"/>
        <v>90.67</v>
      </c>
      <c r="R246" s="148">
        <f t="shared" si="100"/>
        <v>230.83</v>
      </c>
      <c r="S246" s="115">
        <f t="shared" si="98"/>
        <v>46.17</v>
      </c>
      <c r="T246" s="148">
        <f t="shared" si="99"/>
        <v>277</v>
      </c>
      <c r="U246" s="148">
        <v>298</v>
      </c>
      <c r="V246" s="78">
        <f t="shared" si="88"/>
        <v>-7.046979865771803</v>
      </c>
    </row>
    <row r="247" spans="1:22" ht="45.95" hidden="1" customHeight="1" x14ac:dyDescent="0.25">
      <c r="A247" s="88" t="s">
        <v>537</v>
      </c>
      <c r="B247" s="88" t="s">
        <v>27</v>
      </c>
      <c r="C247" s="90" t="s">
        <v>125</v>
      </c>
      <c r="D247" s="146" t="s">
        <v>303</v>
      </c>
      <c r="E247" s="147" t="s">
        <v>587</v>
      </c>
      <c r="F247" s="92">
        <f>VLOOKUP(E247,'условия, ФОТ'!$A$14:$I$32,9, FALSE)</f>
        <v>152.12</v>
      </c>
      <c r="G247" s="92">
        <v>0.8</v>
      </c>
      <c r="H247" s="92">
        <f t="shared" si="93"/>
        <v>121.7</v>
      </c>
      <c r="I247" s="92">
        <f t="shared" si="94"/>
        <v>36.75</v>
      </c>
      <c r="J247" s="92">
        <f t="shared" si="95"/>
        <v>158.44999999999999</v>
      </c>
      <c r="K247" s="93"/>
      <c r="L247" s="92"/>
      <c r="M247" s="92"/>
      <c r="N247" s="92"/>
      <c r="O247" s="92"/>
      <c r="P247" s="92">
        <f t="shared" si="96"/>
        <v>158.44999999999999</v>
      </c>
      <c r="Q247" s="92">
        <f t="shared" si="97"/>
        <v>120.9</v>
      </c>
      <c r="R247" s="148">
        <f t="shared" si="100"/>
        <v>307.5</v>
      </c>
      <c r="S247" s="115">
        <f t="shared" si="98"/>
        <v>61.5</v>
      </c>
      <c r="T247" s="148">
        <f t="shared" si="99"/>
        <v>369</v>
      </c>
      <c r="U247" s="148">
        <v>398</v>
      </c>
      <c r="V247" s="78">
        <f t="shared" si="88"/>
        <v>-7.2864321608040257</v>
      </c>
    </row>
    <row r="248" spans="1:22" ht="54" hidden="1" customHeight="1" x14ac:dyDescent="0.25">
      <c r="A248" s="88" t="s">
        <v>557</v>
      </c>
      <c r="B248" s="88" t="s">
        <v>27</v>
      </c>
      <c r="C248" s="90" t="s">
        <v>558</v>
      </c>
      <c r="D248" s="92" t="s">
        <v>316</v>
      </c>
      <c r="E248" s="147" t="s">
        <v>587</v>
      </c>
      <c r="F248" s="92">
        <f>VLOOKUP(E248,'условия, ФОТ'!$A$14:$I$32,9, FALSE)</f>
        <v>152.12</v>
      </c>
      <c r="G248" s="92">
        <v>0.12</v>
      </c>
      <c r="H248" s="92">
        <f t="shared" si="93"/>
        <v>18.25</v>
      </c>
      <c r="I248" s="92">
        <f t="shared" si="94"/>
        <v>5.51</v>
      </c>
      <c r="J248" s="92">
        <f t="shared" si="95"/>
        <v>23.759999999999998</v>
      </c>
      <c r="K248" s="93"/>
      <c r="L248" s="92"/>
      <c r="M248" s="92"/>
      <c r="N248" s="92"/>
      <c r="O248" s="92"/>
      <c r="P248" s="92">
        <f t="shared" si="96"/>
        <v>23.759999999999998</v>
      </c>
      <c r="Q248" s="92">
        <f t="shared" si="97"/>
        <v>18.13</v>
      </c>
      <c r="R248" s="148">
        <f t="shared" si="100"/>
        <v>45.83</v>
      </c>
      <c r="S248" s="115">
        <f t="shared" si="98"/>
        <v>9.17</v>
      </c>
      <c r="T248" s="148">
        <f t="shared" si="99"/>
        <v>55</v>
      </c>
      <c r="U248" s="148">
        <v>60</v>
      </c>
      <c r="V248" s="78">
        <f t="shared" si="88"/>
        <v>-8.3333333333333428</v>
      </c>
    </row>
    <row r="249" spans="1:22" s="86" customFormat="1" ht="25.5" hidden="1" customHeight="1" x14ac:dyDescent="0.25">
      <c r="A249" s="606" t="s">
        <v>317</v>
      </c>
      <c r="B249" s="606"/>
      <c r="C249" s="606"/>
      <c r="D249" s="606"/>
      <c r="E249" s="606"/>
      <c r="F249" s="606"/>
      <c r="G249" s="606"/>
      <c r="H249" s="606"/>
      <c r="I249" s="606"/>
      <c r="J249" s="606"/>
      <c r="K249" s="606"/>
      <c r="L249" s="606"/>
      <c r="M249" s="606"/>
      <c r="N249" s="606"/>
      <c r="O249" s="606"/>
      <c r="P249" s="606"/>
      <c r="Q249" s="606"/>
      <c r="R249" s="606"/>
      <c r="S249" s="606"/>
      <c r="T249" s="606"/>
      <c r="U249" s="95"/>
      <c r="V249" s="85"/>
    </row>
    <row r="250" spans="1:22" ht="25.5" hidden="1" x14ac:dyDescent="0.25">
      <c r="A250" s="88" t="s">
        <v>544</v>
      </c>
      <c r="B250" s="88" t="s">
        <v>27</v>
      </c>
      <c r="C250" s="90" t="s">
        <v>129</v>
      </c>
      <c r="D250" s="92" t="s">
        <v>308</v>
      </c>
      <c r="E250" s="91" t="s">
        <v>318</v>
      </c>
      <c r="F250" s="92">
        <f>VLOOKUP(E250,'условия, ФОТ'!$A$14:$I$32,9, FALSE)</f>
        <v>161.96</v>
      </c>
      <c r="G250" s="123">
        <v>1</v>
      </c>
      <c r="H250" s="92">
        <f t="shared" ref="H250" si="101">ROUND(F250*G250,2)</f>
        <v>161.96</v>
      </c>
      <c r="I250" s="92">
        <f t="shared" ref="I250:I263" si="102">ROUND(H250*$I$5,2)</f>
        <v>48.91</v>
      </c>
      <c r="J250" s="92">
        <f t="shared" ref="J250" si="103">H250+I250</f>
        <v>210.87</v>
      </c>
      <c r="K250" s="93"/>
      <c r="L250" s="92"/>
      <c r="M250" s="92"/>
      <c r="N250" s="92"/>
      <c r="O250" s="92">
        <f>'расход ГСМ'!J6</f>
        <v>80.03</v>
      </c>
      <c r="P250" s="92">
        <f>J250+O250</f>
        <v>290.89999999999998</v>
      </c>
      <c r="Q250" s="92">
        <f t="shared" ref="Q250:Q266" si="104">ROUND(P250*$Q$5,2)</f>
        <v>221.96</v>
      </c>
      <c r="R250" s="115">
        <f>ROUND(T250/1.2,2)</f>
        <v>564.16999999999996</v>
      </c>
      <c r="S250" s="115">
        <f t="shared" ref="S250:S266" si="105">ROUND(R250*$S$5,2)</f>
        <v>112.83</v>
      </c>
      <c r="T250" s="115">
        <f t="shared" ref="T250:T263" si="106">ROUND((P250+Q250)*(1+$R$5)*1.2,0)</f>
        <v>677</v>
      </c>
      <c r="U250" s="148">
        <v>730</v>
      </c>
      <c r="V250" s="78">
        <f t="shared" si="88"/>
        <v>-7.2602739726027323</v>
      </c>
    </row>
    <row r="251" spans="1:22" ht="25.5" hidden="1" x14ac:dyDescent="0.25">
      <c r="A251" s="88" t="s">
        <v>539</v>
      </c>
      <c r="B251" s="88" t="s">
        <v>27</v>
      </c>
      <c r="C251" s="90" t="s">
        <v>129</v>
      </c>
      <c r="D251" s="92" t="s">
        <v>309</v>
      </c>
      <c r="E251" s="91" t="s">
        <v>318</v>
      </c>
      <c r="F251" s="92">
        <f>VLOOKUP(E251,'условия, ФОТ'!$A$14:$I$32,9, FALSE)</f>
        <v>161.96</v>
      </c>
      <c r="G251" s="92">
        <v>0.02</v>
      </c>
      <c r="H251" s="92">
        <f t="shared" ref="H251:H270" si="107">ROUND(F251*G251,2)</f>
        <v>3.24</v>
      </c>
      <c r="I251" s="92">
        <f t="shared" si="102"/>
        <v>0.98</v>
      </c>
      <c r="J251" s="92">
        <f t="shared" ref="J251:J270" si="108">H251+I251</f>
        <v>4.2200000000000006</v>
      </c>
      <c r="K251" s="93"/>
      <c r="L251" s="92"/>
      <c r="M251" s="92"/>
      <c r="N251" s="92"/>
      <c r="O251" s="92">
        <f>'расход ГСМ'!K6</f>
        <v>1.63</v>
      </c>
      <c r="P251" s="92">
        <f>J251+O251</f>
        <v>5.8500000000000005</v>
      </c>
      <c r="Q251" s="92">
        <f t="shared" si="104"/>
        <v>4.46</v>
      </c>
      <c r="R251" s="148">
        <f t="shared" ref="R251:R261" si="109">ROUND(T251/1.2,2)</f>
        <v>11.67</v>
      </c>
      <c r="S251" s="115">
        <f t="shared" si="105"/>
        <v>2.33</v>
      </c>
      <c r="T251" s="148">
        <f t="shared" si="106"/>
        <v>14</v>
      </c>
      <c r="U251" s="148">
        <v>15</v>
      </c>
      <c r="V251" s="78">
        <f t="shared" si="88"/>
        <v>-6.6666666666666714</v>
      </c>
    </row>
    <row r="252" spans="1:22" ht="25.5" hidden="1" x14ac:dyDescent="0.25">
      <c r="A252" s="88"/>
      <c r="B252" s="88" t="s">
        <v>27</v>
      </c>
      <c r="C252" s="90" t="s">
        <v>126</v>
      </c>
      <c r="D252" s="92" t="s">
        <v>308</v>
      </c>
      <c r="E252" s="91" t="s">
        <v>320</v>
      </c>
      <c r="F252" s="92">
        <f>VLOOKUP(E252,'условия, ФОТ'!$A$14:$I$32,9, FALSE)</f>
        <v>141.72</v>
      </c>
      <c r="G252" s="123"/>
      <c r="H252" s="92">
        <f t="shared" si="107"/>
        <v>0</v>
      </c>
      <c r="I252" s="92">
        <f t="shared" si="102"/>
        <v>0</v>
      </c>
      <c r="J252" s="92">
        <f t="shared" si="108"/>
        <v>0</v>
      </c>
      <c r="K252" s="93"/>
      <c r="L252" s="92"/>
      <c r="M252" s="92"/>
      <c r="N252" s="92"/>
      <c r="O252" s="92"/>
      <c r="P252" s="92">
        <f>J252+O252</f>
        <v>0</v>
      </c>
      <c r="Q252" s="92">
        <f t="shared" si="104"/>
        <v>0</v>
      </c>
      <c r="R252" s="148">
        <f t="shared" si="109"/>
        <v>0</v>
      </c>
      <c r="S252" s="115">
        <f t="shared" si="105"/>
        <v>0</v>
      </c>
      <c r="T252" s="148">
        <f t="shared" si="106"/>
        <v>0</v>
      </c>
      <c r="U252" s="148">
        <v>632</v>
      </c>
      <c r="V252" s="78">
        <f t="shared" si="88"/>
        <v>-100</v>
      </c>
    </row>
    <row r="253" spans="1:22" ht="25.5" hidden="1" x14ac:dyDescent="0.25">
      <c r="A253" s="88"/>
      <c r="B253" s="88" t="s">
        <v>27</v>
      </c>
      <c r="C253" s="90" t="s">
        <v>126</v>
      </c>
      <c r="D253" s="92" t="s">
        <v>309</v>
      </c>
      <c r="E253" s="91" t="s">
        <v>320</v>
      </c>
      <c r="F253" s="92">
        <f>VLOOKUP(E253,'условия, ФОТ'!$A$14:$I$32,9, FALSE)</f>
        <v>141.72</v>
      </c>
      <c r="G253" s="92"/>
      <c r="H253" s="92">
        <f t="shared" si="107"/>
        <v>0</v>
      </c>
      <c r="I253" s="92">
        <f t="shared" si="102"/>
        <v>0</v>
      </c>
      <c r="J253" s="92">
        <f t="shared" si="108"/>
        <v>0</v>
      </c>
      <c r="K253" s="93"/>
      <c r="L253" s="92"/>
      <c r="M253" s="92"/>
      <c r="N253" s="92"/>
      <c r="O253" s="92"/>
      <c r="P253" s="92">
        <f>J253+O253</f>
        <v>0</v>
      </c>
      <c r="Q253" s="92">
        <f t="shared" si="104"/>
        <v>0</v>
      </c>
      <c r="R253" s="148">
        <f t="shared" si="109"/>
        <v>0</v>
      </c>
      <c r="S253" s="115">
        <f t="shared" si="105"/>
        <v>0</v>
      </c>
      <c r="T253" s="148">
        <f t="shared" si="106"/>
        <v>0</v>
      </c>
      <c r="U253" s="148">
        <v>13</v>
      </c>
      <c r="V253" s="78">
        <f t="shared" si="88"/>
        <v>-100</v>
      </c>
    </row>
    <row r="254" spans="1:22" ht="25.5" hidden="1" x14ac:dyDescent="0.25">
      <c r="A254" s="153" t="s">
        <v>545</v>
      </c>
      <c r="B254" s="88" t="s">
        <v>27</v>
      </c>
      <c r="C254" s="90" t="s">
        <v>127</v>
      </c>
      <c r="D254" s="92" t="s">
        <v>308</v>
      </c>
      <c r="E254" s="91" t="s">
        <v>319</v>
      </c>
      <c r="F254" s="92">
        <f>VLOOKUP(E254,'условия, ФОТ'!$A$14:$I$32,9, FALSE)</f>
        <v>161.96</v>
      </c>
      <c r="G254" s="123">
        <v>1</v>
      </c>
      <c r="H254" s="92">
        <f t="shared" si="107"/>
        <v>161.96</v>
      </c>
      <c r="I254" s="92">
        <f t="shared" si="102"/>
        <v>48.91</v>
      </c>
      <c r="J254" s="92">
        <f t="shared" si="108"/>
        <v>210.87</v>
      </c>
      <c r="K254" s="93"/>
      <c r="L254" s="92"/>
      <c r="M254" s="92"/>
      <c r="N254" s="92"/>
      <c r="O254" s="92">
        <f>'расход ГСМ'!J8</f>
        <v>118.52</v>
      </c>
      <c r="P254" s="92">
        <f t="shared" ref="P254:P270" si="110">J254+O254</f>
        <v>329.39</v>
      </c>
      <c r="Q254" s="92">
        <f t="shared" si="104"/>
        <v>251.32</v>
      </c>
      <c r="R254" s="148">
        <f t="shared" si="109"/>
        <v>639.16999999999996</v>
      </c>
      <c r="S254" s="115">
        <f t="shared" si="105"/>
        <v>127.83</v>
      </c>
      <c r="T254" s="148">
        <f t="shared" si="106"/>
        <v>767</v>
      </c>
      <c r="U254" s="148">
        <v>827</v>
      </c>
      <c r="V254" s="78">
        <f t="shared" si="88"/>
        <v>-7.2551390568319221</v>
      </c>
    </row>
    <row r="255" spans="1:22" ht="25.5" hidden="1" x14ac:dyDescent="0.25">
      <c r="A255" s="153" t="s">
        <v>546</v>
      </c>
      <c r="B255" s="88" t="s">
        <v>27</v>
      </c>
      <c r="C255" s="90" t="s">
        <v>127</v>
      </c>
      <c r="D255" s="92" t="s">
        <v>309</v>
      </c>
      <c r="E255" s="91" t="s">
        <v>319</v>
      </c>
      <c r="F255" s="92">
        <f>VLOOKUP(E255,'условия, ФОТ'!$A$14:$I$32,9, FALSE)</f>
        <v>161.96</v>
      </c>
      <c r="G255" s="92">
        <v>0.02</v>
      </c>
      <c r="H255" s="92">
        <f t="shared" si="107"/>
        <v>3.24</v>
      </c>
      <c r="I255" s="92">
        <f t="shared" si="102"/>
        <v>0.98</v>
      </c>
      <c r="J255" s="92">
        <f t="shared" si="108"/>
        <v>4.2200000000000006</v>
      </c>
      <c r="K255" s="93"/>
      <c r="L255" s="92"/>
      <c r="M255" s="92"/>
      <c r="N255" s="92"/>
      <c r="O255" s="92">
        <f>'расход ГСМ'!K8</f>
        <v>2.42</v>
      </c>
      <c r="P255" s="92">
        <f t="shared" si="110"/>
        <v>6.6400000000000006</v>
      </c>
      <c r="Q255" s="92">
        <f t="shared" si="104"/>
        <v>5.07</v>
      </c>
      <c r="R255" s="148">
        <f t="shared" si="109"/>
        <v>12.5</v>
      </c>
      <c r="S255" s="115">
        <f t="shared" si="105"/>
        <v>2.5</v>
      </c>
      <c r="T255" s="148">
        <f t="shared" si="106"/>
        <v>15</v>
      </c>
      <c r="U255" s="148">
        <v>17</v>
      </c>
      <c r="V255" s="78">
        <f t="shared" si="88"/>
        <v>-11.764705882352942</v>
      </c>
    </row>
    <row r="256" spans="1:22" ht="25.5" hidden="1" customHeight="1" x14ac:dyDescent="0.25">
      <c r="A256" s="153" t="s">
        <v>547</v>
      </c>
      <c r="B256" s="88" t="s">
        <v>27</v>
      </c>
      <c r="C256" s="90" t="s">
        <v>128</v>
      </c>
      <c r="D256" s="92" t="s">
        <v>308</v>
      </c>
      <c r="E256" s="91" t="s">
        <v>321</v>
      </c>
      <c r="F256" s="92">
        <f>VLOOKUP(E256,'условия, ФОТ'!$A$14:$I$32,9, FALSE)</f>
        <v>141.72</v>
      </c>
      <c r="G256" s="123"/>
      <c r="H256" s="92">
        <f t="shared" si="107"/>
        <v>0</v>
      </c>
      <c r="I256" s="92">
        <f t="shared" si="102"/>
        <v>0</v>
      </c>
      <c r="J256" s="92">
        <f t="shared" si="108"/>
        <v>0</v>
      </c>
      <c r="K256" s="93"/>
      <c r="L256" s="92"/>
      <c r="M256" s="92"/>
      <c r="N256" s="92"/>
      <c r="O256" s="92"/>
      <c r="P256" s="92">
        <f t="shared" si="110"/>
        <v>0</v>
      </c>
      <c r="Q256" s="92">
        <f t="shared" si="104"/>
        <v>0</v>
      </c>
      <c r="R256" s="148">
        <f t="shared" si="109"/>
        <v>0</v>
      </c>
      <c r="S256" s="115">
        <f t="shared" si="105"/>
        <v>0</v>
      </c>
      <c r="T256" s="148">
        <f t="shared" si="106"/>
        <v>0</v>
      </c>
      <c r="U256" s="148">
        <v>617</v>
      </c>
      <c r="V256" s="78">
        <f t="shared" si="88"/>
        <v>-100</v>
      </c>
    </row>
    <row r="257" spans="1:22" ht="25.5" hidden="1" customHeight="1" x14ac:dyDescent="0.25">
      <c r="A257" s="153" t="s">
        <v>548</v>
      </c>
      <c r="B257" s="88" t="s">
        <v>27</v>
      </c>
      <c r="C257" s="90" t="s">
        <v>128</v>
      </c>
      <c r="D257" s="92" t="s">
        <v>309</v>
      </c>
      <c r="E257" s="91" t="s">
        <v>321</v>
      </c>
      <c r="F257" s="92">
        <f>VLOOKUP(E257,'условия, ФОТ'!$A$14:$I$32,9, FALSE)</f>
        <v>141.72</v>
      </c>
      <c r="G257" s="92"/>
      <c r="H257" s="92">
        <f t="shared" si="107"/>
        <v>0</v>
      </c>
      <c r="I257" s="92">
        <f t="shared" si="102"/>
        <v>0</v>
      </c>
      <c r="J257" s="92">
        <f t="shared" si="108"/>
        <v>0</v>
      </c>
      <c r="K257" s="93"/>
      <c r="L257" s="92"/>
      <c r="M257" s="92"/>
      <c r="N257" s="92"/>
      <c r="O257" s="92"/>
      <c r="P257" s="92">
        <f t="shared" si="110"/>
        <v>0</v>
      </c>
      <c r="Q257" s="92">
        <f t="shared" si="104"/>
        <v>0</v>
      </c>
      <c r="R257" s="148">
        <f>ROUND(T257/1.2,2)</f>
        <v>0</v>
      </c>
      <c r="S257" s="115">
        <f t="shared" si="105"/>
        <v>0</v>
      </c>
      <c r="T257" s="148">
        <f t="shared" si="106"/>
        <v>0</v>
      </c>
      <c r="U257" s="148">
        <v>12</v>
      </c>
      <c r="V257" s="78">
        <f t="shared" si="88"/>
        <v>-100</v>
      </c>
    </row>
    <row r="258" spans="1:22" ht="29.25" hidden="1" customHeight="1" x14ac:dyDescent="0.25">
      <c r="A258" s="153" t="s">
        <v>547</v>
      </c>
      <c r="B258" s="88" t="s">
        <v>310</v>
      </c>
      <c r="C258" s="90" t="s">
        <v>130</v>
      </c>
      <c r="D258" s="92" t="s">
        <v>18</v>
      </c>
      <c r="E258" s="92" t="s">
        <v>29</v>
      </c>
      <c r="F258" s="92">
        <f>VLOOKUP(E258,'условия, ФОТ'!$A$14:$I$32,9, FALSE)</f>
        <v>146.63</v>
      </c>
      <c r="G258" s="92">
        <v>0.4</v>
      </c>
      <c r="H258" s="92">
        <f t="shared" si="107"/>
        <v>58.65</v>
      </c>
      <c r="I258" s="92">
        <f t="shared" si="102"/>
        <v>17.71</v>
      </c>
      <c r="J258" s="92">
        <f t="shared" si="108"/>
        <v>76.36</v>
      </c>
      <c r="K258" s="93"/>
      <c r="L258" s="92"/>
      <c r="M258" s="92"/>
      <c r="N258" s="92"/>
      <c r="O258" s="92"/>
      <c r="P258" s="92">
        <f t="shared" si="110"/>
        <v>76.36</v>
      </c>
      <c r="Q258" s="92">
        <f t="shared" si="104"/>
        <v>58.26</v>
      </c>
      <c r="R258" s="148">
        <f t="shared" si="109"/>
        <v>148.33000000000001</v>
      </c>
      <c r="S258" s="115">
        <f t="shared" si="105"/>
        <v>29.67</v>
      </c>
      <c r="T258" s="148">
        <f t="shared" si="106"/>
        <v>178</v>
      </c>
      <c r="U258" s="148">
        <v>192</v>
      </c>
      <c r="V258" s="78">
        <f t="shared" si="88"/>
        <v>-7.2916666666666572</v>
      </c>
    </row>
    <row r="259" spans="1:22" ht="29.25" hidden="1" customHeight="1" x14ac:dyDescent="0.25">
      <c r="A259" s="153" t="s">
        <v>548</v>
      </c>
      <c r="B259" s="92" t="s">
        <v>27</v>
      </c>
      <c r="C259" s="90" t="s">
        <v>131</v>
      </c>
      <c r="D259" s="92" t="s">
        <v>311</v>
      </c>
      <c r="E259" s="91" t="s">
        <v>312</v>
      </c>
      <c r="F259" s="92">
        <f>VLOOKUP(E259,'условия, ФОТ'!$A$14:$I$32,9, FALSE)</f>
        <v>134.71</v>
      </c>
      <c r="G259" s="92">
        <v>0.15</v>
      </c>
      <c r="H259" s="92">
        <f t="shared" si="107"/>
        <v>20.21</v>
      </c>
      <c r="I259" s="92">
        <f t="shared" si="102"/>
        <v>6.1</v>
      </c>
      <c r="J259" s="92">
        <f t="shared" si="108"/>
        <v>26.310000000000002</v>
      </c>
      <c r="K259" s="93"/>
      <c r="L259" s="92"/>
      <c r="M259" s="92"/>
      <c r="N259" s="92"/>
      <c r="O259" s="92"/>
      <c r="P259" s="92">
        <f t="shared" si="110"/>
        <v>26.310000000000002</v>
      </c>
      <c r="Q259" s="92">
        <f t="shared" si="104"/>
        <v>20.07</v>
      </c>
      <c r="R259" s="148">
        <f t="shared" si="109"/>
        <v>50.83</v>
      </c>
      <c r="S259" s="115">
        <f t="shared" si="105"/>
        <v>10.17</v>
      </c>
      <c r="T259" s="148">
        <f t="shared" si="106"/>
        <v>61</v>
      </c>
      <c r="U259" s="148">
        <v>66</v>
      </c>
      <c r="V259" s="78">
        <f t="shared" si="88"/>
        <v>-7.5757575757575779</v>
      </c>
    </row>
    <row r="260" spans="1:22" ht="26.25" hidden="1" x14ac:dyDescent="0.25">
      <c r="A260" s="154" t="s">
        <v>549</v>
      </c>
      <c r="B260" s="92" t="s">
        <v>27</v>
      </c>
      <c r="C260" s="90" t="s">
        <v>132</v>
      </c>
      <c r="D260" s="92" t="s">
        <v>311</v>
      </c>
      <c r="E260" s="124" t="s">
        <v>363</v>
      </c>
      <c r="F260" s="92">
        <f>VLOOKUP(E260,'условия, ФОТ'!$A$14:$I$32,9, FALSE)</f>
        <v>91.64</v>
      </c>
      <c r="G260" s="92">
        <v>0.13</v>
      </c>
      <c r="H260" s="92">
        <f t="shared" si="107"/>
        <v>11.91</v>
      </c>
      <c r="I260" s="92">
        <f t="shared" si="102"/>
        <v>3.6</v>
      </c>
      <c r="J260" s="92">
        <f t="shared" si="108"/>
        <v>15.51</v>
      </c>
      <c r="K260" s="93"/>
      <c r="L260" s="92"/>
      <c r="M260" s="92"/>
      <c r="N260" s="92"/>
      <c r="O260" s="92"/>
      <c r="P260" s="92">
        <f t="shared" si="110"/>
        <v>15.51</v>
      </c>
      <c r="Q260" s="92">
        <f t="shared" si="104"/>
        <v>11.83</v>
      </c>
      <c r="R260" s="148">
        <f t="shared" si="109"/>
        <v>30</v>
      </c>
      <c r="S260" s="115">
        <f t="shared" si="105"/>
        <v>6</v>
      </c>
      <c r="T260" s="148">
        <f t="shared" si="106"/>
        <v>36</v>
      </c>
      <c r="U260" s="148">
        <v>39</v>
      </c>
      <c r="V260" s="78">
        <f t="shared" si="88"/>
        <v>-7.6923076923076934</v>
      </c>
    </row>
    <row r="261" spans="1:22" ht="22.7" hidden="1" customHeight="1" x14ac:dyDescent="0.25">
      <c r="A261" s="154" t="s">
        <v>550</v>
      </c>
      <c r="B261" s="92" t="s">
        <v>27</v>
      </c>
      <c r="C261" s="90" t="s">
        <v>133</v>
      </c>
      <c r="D261" s="92" t="s">
        <v>316</v>
      </c>
      <c r="E261" s="92" t="s">
        <v>315</v>
      </c>
      <c r="F261" s="92">
        <f>VLOOKUP(E261,'условия, ФОТ'!$A$14:$I$32,9, FALSE)</f>
        <v>109.97</v>
      </c>
      <c r="G261" s="92">
        <v>0.03</v>
      </c>
      <c r="H261" s="92">
        <f t="shared" si="107"/>
        <v>3.3</v>
      </c>
      <c r="I261" s="92">
        <f t="shared" si="102"/>
        <v>1</v>
      </c>
      <c r="J261" s="92">
        <f t="shared" si="108"/>
        <v>4.3</v>
      </c>
      <c r="K261" s="93"/>
      <c r="L261" s="92"/>
      <c r="M261" s="92"/>
      <c r="N261" s="92"/>
      <c r="O261" s="92"/>
      <c r="P261" s="92">
        <f t="shared" si="110"/>
        <v>4.3</v>
      </c>
      <c r="Q261" s="92">
        <f t="shared" si="104"/>
        <v>3.28</v>
      </c>
      <c r="R261" s="148">
        <f t="shared" si="109"/>
        <v>8.33</v>
      </c>
      <c r="S261" s="115">
        <f t="shared" si="105"/>
        <v>1.67</v>
      </c>
      <c r="T261" s="148">
        <f t="shared" si="106"/>
        <v>10</v>
      </c>
      <c r="U261" s="148">
        <v>11</v>
      </c>
      <c r="V261" s="78">
        <f t="shared" si="88"/>
        <v>-9.0909090909090935</v>
      </c>
    </row>
    <row r="262" spans="1:22" ht="29.25" hidden="1" customHeight="1" x14ac:dyDescent="0.25">
      <c r="A262" s="154" t="s">
        <v>435</v>
      </c>
      <c r="B262" s="92" t="s">
        <v>27</v>
      </c>
      <c r="C262" s="90" t="s">
        <v>134</v>
      </c>
      <c r="D262" s="92" t="s">
        <v>316</v>
      </c>
      <c r="E262" s="91" t="s">
        <v>312</v>
      </c>
      <c r="F262" s="92">
        <f>VLOOKUP(E262,'условия, ФОТ'!$A$14:$I$32,9, FALSE)</f>
        <v>134.71</v>
      </c>
      <c r="G262" s="92">
        <v>0.12</v>
      </c>
      <c r="H262" s="92">
        <f t="shared" si="107"/>
        <v>16.170000000000002</v>
      </c>
      <c r="I262" s="92">
        <f t="shared" si="102"/>
        <v>4.88</v>
      </c>
      <c r="J262" s="92">
        <f t="shared" si="108"/>
        <v>21.05</v>
      </c>
      <c r="K262" s="93"/>
      <c r="L262" s="92"/>
      <c r="M262" s="92"/>
      <c r="N262" s="92"/>
      <c r="O262" s="92"/>
      <c r="P262" s="92">
        <f t="shared" si="110"/>
        <v>21.05</v>
      </c>
      <c r="Q262" s="92">
        <f t="shared" si="104"/>
        <v>16.059999999999999</v>
      </c>
      <c r="R262" s="148">
        <f>ROUND(T262/1.2,2)</f>
        <v>40.83</v>
      </c>
      <c r="S262" s="115">
        <f t="shared" si="105"/>
        <v>8.17</v>
      </c>
      <c r="T262" s="148">
        <f t="shared" si="106"/>
        <v>49</v>
      </c>
      <c r="U262" s="148">
        <v>53</v>
      </c>
      <c r="V262" s="78">
        <f t="shared" si="88"/>
        <v>-7.5471698113207566</v>
      </c>
    </row>
    <row r="263" spans="1:22" ht="16.5" hidden="1" customHeight="1" x14ac:dyDescent="0.25">
      <c r="A263" s="604" t="s">
        <v>551</v>
      </c>
      <c r="B263" s="592" t="s">
        <v>27</v>
      </c>
      <c r="C263" s="589" t="s">
        <v>135</v>
      </c>
      <c r="D263" s="593" t="s">
        <v>18</v>
      </c>
      <c r="E263" s="91" t="s">
        <v>162</v>
      </c>
      <c r="F263" s="92">
        <f>VLOOKUP(E263,'условия, ФОТ'!$A$14:$I$32,9, FALSE)</f>
        <v>164.09</v>
      </c>
      <c r="G263" s="92">
        <v>1.1200000000000001</v>
      </c>
      <c r="H263" s="592">
        <f>ROUND(F263*G263+F264*G264,2)</f>
        <v>220.44</v>
      </c>
      <c r="I263" s="592">
        <f t="shared" si="102"/>
        <v>66.569999999999993</v>
      </c>
      <c r="J263" s="592">
        <f t="shared" si="108"/>
        <v>287.01</v>
      </c>
      <c r="K263" s="93"/>
      <c r="L263" s="92"/>
      <c r="M263" s="92"/>
      <c r="N263" s="92"/>
      <c r="O263" s="92"/>
      <c r="P263" s="592">
        <f t="shared" si="110"/>
        <v>287.01</v>
      </c>
      <c r="Q263" s="592">
        <f t="shared" si="104"/>
        <v>218.99</v>
      </c>
      <c r="R263" s="596">
        <f>ROUND(T263/1.2,2)</f>
        <v>556.66999999999996</v>
      </c>
      <c r="S263" s="596">
        <f t="shared" si="105"/>
        <v>111.33</v>
      </c>
      <c r="T263" s="596">
        <f t="shared" si="106"/>
        <v>668</v>
      </c>
      <c r="U263" s="596">
        <v>583</v>
      </c>
      <c r="V263" s="601">
        <f t="shared" si="88"/>
        <v>14.579759862778729</v>
      </c>
    </row>
    <row r="264" spans="1:22" ht="25.5" hidden="1" x14ac:dyDescent="0.25">
      <c r="A264" s="605"/>
      <c r="B264" s="592"/>
      <c r="C264" s="589"/>
      <c r="D264" s="593"/>
      <c r="E264" s="114" t="s">
        <v>363</v>
      </c>
      <c r="F264" s="92">
        <f>VLOOKUP(E264,'условия, ФОТ'!$A$14:$I$32,9, FALSE)</f>
        <v>91.64</v>
      </c>
      <c r="G264" s="92">
        <v>0.4</v>
      </c>
      <c r="H264" s="592"/>
      <c r="I264" s="592"/>
      <c r="J264" s="592"/>
      <c r="K264" s="93"/>
      <c r="L264" s="92"/>
      <c r="M264" s="92"/>
      <c r="N264" s="92"/>
      <c r="O264" s="92"/>
      <c r="P264" s="592">
        <f t="shared" si="110"/>
        <v>0</v>
      </c>
      <c r="Q264" s="592">
        <f t="shared" si="104"/>
        <v>0</v>
      </c>
      <c r="R264" s="596">
        <f t="shared" ref="R264" si="111">ROUND(T264/1.18,2)</f>
        <v>0</v>
      </c>
      <c r="S264" s="596">
        <f t="shared" si="105"/>
        <v>0</v>
      </c>
      <c r="T264" s="596">
        <f>ROUND((P264+Q264)*(1+$R$5)*1.18,0)</f>
        <v>0</v>
      </c>
      <c r="U264" s="596"/>
      <c r="V264" s="601"/>
    </row>
    <row r="265" spans="1:22" ht="25.5" hidden="1" x14ac:dyDescent="0.25">
      <c r="A265" s="154" t="s">
        <v>552</v>
      </c>
      <c r="B265" s="92" t="s">
        <v>27</v>
      </c>
      <c r="C265" s="90" t="s">
        <v>136</v>
      </c>
      <c r="D265" s="92" t="s">
        <v>316</v>
      </c>
      <c r="E265" s="111" t="s">
        <v>163</v>
      </c>
      <c r="F265" s="92">
        <f>VLOOKUP(E265,'условия, ФОТ'!$A$14:$I$32,9, FALSE)</f>
        <v>181.45</v>
      </c>
      <c r="G265" s="92">
        <v>0.34</v>
      </c>
      <c r="H265" s="92">
        <f t="shared" si="107"/>
        <v>61.69</v>
      </c>
      <c r="I265" s="92">
        <f>ROUND(H265*$I$5,2)</f>
        <v>18.63</v>
      </c>
      <c r="J265" s="92">
        <f t="shared" si="108"/>
        <v>80.319999999999993</v>
      </c>
      <c r="K265" s="93"/>
      <c r="L265" s="92"/>
      <c r="M265" s="92"/>
      <c r="N265" s="92"/>
      <c r="O265" s="92"/>
      <c r="P265" s="92">
        <f t="shared" si="110"/>
        <v>80.319999999999993</v>
      </c>
      <c r="Q265" s="92">
        <f t="shared" si="104"/>
        <v>61.28</v>
      </c>
      <c r="R265" s="115">
        <f>ROUND(T265/1.2,2)</f>
        <v>155.83000000000001</v>
      </c>
      <c r="S265" s="115">
        <f t="shared" si="105"/>
        <v>31.17</v>
      </c>
      <c r="T265" s="115">
        <f>ROUND((P265+Q265)*(1+$R$5)*1.2,0)</f>
        <v>187</v>
      </c>
      <c r="U265" s="148">
        <v>202</v>
      </c>
      <c r="V265" s="78">
        <f t="shared" si="88"/>
        <v>-7.425742574257427</v>
      </c>
    </row>
    <row r="266" spans="1:22" ht="19.5" hidden="1" customHeight="1" x14ac:dyDescent="0.25">
      <c r="A266" s="604" t="s">
        <v>553</v>
      </c>
      <c r="B266" s="592" t="s">
        <v>27</v>
      </c>
      <c r="C266" s="589" t="s">
        <v>137</v>
      </c>
      <c r="D266" s="592" t="s">
        <v>328</v>
      </c>
      <c r="E266" s="92" t="s">
        <v>350</v>
      </c>
      <c r="F266" s="92">
        <f>VLOOKUP(E266,'условия, ФОТ'!$A$14:$I$32,9, FALSE)</f>
        <v>125.37</v>
      </c>
      <c r="G266" s="103">
        <v>0.2</v>
      </c>
      <c r="H266" s="592">
        <f>ROUND(F266*G266+F267*G267,2)</f>
        <v>58.43</v>
      </c>
      <c r="I266" s="592">
        <f>ROUND(H266*$I$5,2)</f>
        <v>17.649999999999999</v>
      </c>
      <c r="J266" s="592">
        <f t="shared" si="108"/>
        <v>76.08</v>
      </c>
      <c r="K266" s="93"/>
      <c r="L266" s="92"/>
      <c r="M266" s="92"/>
      <c r="N266" s="92"/>
      <c r="O266" s="592">
        <f>ROUND('расход ГСМ'!J4/4,2)</f>
        <v>52.62</v>
      </c>
      <c r="P266" s="592">
        <f>J266+O266</f>
        <v>128.69999999999999</v>
      </c>
      <c r="Q266" s="592">
        <f t="shared" si="104"/>
        <v>98.2</v>
      </c>
      <c r="R266" s="596">
        <f>ROUND(T266/1.2,2)</f>
        <v>250</v>
      </c>
      <c r="S266" s="596">
        <f t="shared" si="105"/>
        <v>50</v>
      </c>
      <c r="T266" s="596">
        <f>ROUND((P266+Q266)*(1+$R$5)*1.2,0)</f>
        <v>300</v>
      </c>
      <c r="U266" s="596">
        <v>323</v>
      </c>
      <c r="V266" s="601">
        <f t="shared" si="88"/>
        <v>-7.1207430340557352</v>
      </c>
    </row>
    <row r="267" spans="1:22" ht="24" hidden="1" customHeight="1" x14ac:dyDescent="0.25">
      <c r="A267" s="605"/>
      <c r="B267" s="592"/>
      <c r="C267" s="589"/>
      <c r="D267" s="592"/>
      <c r="E267" s="111" t="s">
        <v>349</v>
      </c>
      <c r="F267" s="92">
        <f>VLOOKUP(E267,'условия, ФОТ'!$A$14:$I$32,9, FALSE)</f>
        <v>166.76</v>
      </c>
      <c r="G267" s="103">
        <v>0.2</v>
      </c>
      <c r="H267" s="592"/>
      <c r="I267" s="592"/>
      <c r="J267" s="592">
        <f t="shared" ref="J267" si="112">H267+I267</f>
        <v>0</v>
      </c>
      <c r="K267" s="93"/>
      <c r="L267" s="92"/>
      <c r="M267" s="92"/>
      <c r="N267" s="92"/>
      <c r="O267" s="592"/>
      <c r="P267" s="592"/>
      <c r="Q267" s="592"/>
      <c r="R267" s="596"/>
      <c r="S267" s="596"/>
      <c r="T267" s="596"/>
      <c r="U267" s="596"/>
      <c r="V267" s="601"/>
    </row>
    <row r="268" spans="1:22" ht="39.75" hidden="1" customHeight="1" x14ac:dyDescent="0.25">
      <c r="A268" s="154" t="s">
        <v>554</v>
      </c>
      <c r="B268" s="92" t="s">
        <v>27</v>
      </c>
      <c r="C268" s="64" t="s">
        <v>138</v>
      </c>
      <c r="D268" s="92" t="s">
        <v>311</v>
      </c>
      <c r="E268" s="92" t="s">
        <v>161</v>
      </c>
      <c r="F268" s="92">
        <f>VLOOKUP(E268,'условия, ФОТ'!$A$14:$I$32,9, FALSE)</f>
        <v>111.79</v>
      </c>
      <c r="G268" s="92">
        <v>1.4</v>
      </c>
      <c r="H268" s="92">
        <f t="shared" si="107"/>
        <v>156.51</v>
      </c>
      <c r="I268" s="92">
        <f>ROUND(H268*$I$5,2)</f>
        <v>47.27</v>
      </c>
      <c r="J268" s="92">
        <f t="shared" si="108"/>
        <v>203.78</v>
      </c>
      <c r="K268" s="93"/>
      <c r="L268" s="92"/>
      <c r="M268" s="92"/>
      <c r="N268" s="92"/>
      <c r="O268" s="92"/>
      <c r="P268" s="92">
        <f t="shared" si="110"/>
        <v>203.78</v>
      </c>
      <c r="Q268" s="92">
        <f>ROUND(P268*$Q$5,2)</f>
        <v>155.47999999999999</v>
      </c>
      <c r="R268" s="115">
        <f>ROUND(T268/1.2,2)</f>
        <v>395</v>
      </c>
      <c r="S268" s="115">
        <f>ROUND(R268*$S$5,2)</f>
        <v>79</v>
      </c>
      <c r="T268" s="115">
        <f>ROUND((P268+Q268)*(1+$R$5)*1.2,0)</f>
        <v>474</v>
      </c>
      <c r="U268" s="148">
        <v>512</v>
      </c>
      <c r="V268" s="78">
        <f t="shared" si="88"/>
        <v>-7.421875</v>
      </c>
    </row>
    <row r="269" spans="1:22" ht="43.5" hidden="1" customHeight="1" x14ac:dyDescent="0.25">
      <c r="A269" s="155" t="s">
        <v>555</v>
      </c>
      <c r="B269" s="92" t="s">
        <v>27</v>
      </c>
      <c r="C269" s="90" t="s">
        <v>139</v>
      </c>
      <c r="D269" s="92" t="s">
        <v>348</v>
      </c>
      <c r="E269" s="111" t="s">
        <v>163</v>
      </c>
      <c r="F269" s="92">
        <f>VLOOKUP(E269,'условия, ФОТ'!$A$14:$I$32,9, FALSE)</f>
        <v>181.45</v>
      </c>
      <c r="G269" s="92">
        <v>0.5</v>
      </c>
      <c r="H269" s="92">
        <f t="shared" si="107"/>
        <v>90.73</v>
      </c>
      <c r="I269" s="92">
        <f>ROUND(H269*$I$5,2)</f>
        <v>27.4</v>
      </c>
      <c r="J269" s="92">
        <f t="shared" si="108"/>
        <v>118.13</v>
      </c>
      <c r="K269" s="93"/>
      <c r="L269" s="92"/>
      <c r="M269" s="92"/>
      <c r="N269" s="92"/>
      <c r="O269" s="92"/>
      <c r="P269" s="92">
        <f t="shared" si="110"/>
        <v>118.13</v>
      </c>
      <c r="Q269" s="92">
        <f>ROUND(P269*$Q$5,2)</f>
        <v>90.13</v>
      </c>
      <c r="R269" s="115">
        <f>ROUND(T269/1.2,2)</f>
        <v>229.17</v>
      </c>
      <c r="S269" s="115">
        <f>ROUND(R269*$S$5,2)</f>
        <v>45.83</v>
      </c>
      <c r="T269" s="115">
        <f>ROUND((P269+Q269)*(1+$R$5)*1.2,0)</f>
        <v>275</v>
      </c>
      <c r="U269" s="148">
        <v>297</v>
      </c>
      <c r="V269" s="78">
        <f t="shared" si="88"/>
        <v>-7.4074074074074048</v>
      </c>
    </row>
    <row r="270" spans="1:22" ht="66.75" hidden="1" customHeight="1" x14ac:dyDescent="0.25">
      <c r="A270" s="154" t="s">
        <v>556</v>
      </c>
      <c r="B270" s="92" t="s">
        <v>27</v>
      </c>
      <c r="C270" s="64" t="s">
        <v>314</v>
      </c>
      <c r="D270" s="92" t="s">
        <v>18</v>
      </c>
      <c r="E270" s="92" t="s">
        <v>161</v>
      </c>
      <c r="F270" s="92">
        <f>VLOOKUP(E270,'условия, ФОТ'!$A$14:$I$32,9, FALSE)</f>
        <v>111.79</v>
      </c>
      <c r="G270" s="92">
        <v>1.4</v>
      </c>
      <c r="H270" s="92">
        <f t="shared" si="107"/>
        <v>156.51</v>
      </c>
      <c r="I270" s="92">
        <f>ROUND(H270*$I$5,2)</f>
        <v>47.27</v>
      </c>
      <c r="J270" s="92">
        <f t="shared" si="108"/>
        <v>203.78</v>
      </c>
      <c r="K270" s="93"/>
      <c r="L270" s="92"/>
      <c r="M270" s="92"/>
      <c r="N270" s="92"/>
      <c r="O270" s="92"/>
      <c r="P270" s="92">
        <f t="shared" si="110"/>
        <v>203.78</v>
      </c>
      <c r="Q270" s="92">
        <f>ROUND(P270*$Q$5,2)</f>
        <v>155.47999999999999</v>
      </c>
      <c r="R270" s="115">
        <f>ROUND(T270/1.2,2)</f>
        <v>395</v>
      </c>
      <c r="S270" s="115">
        <f>ROUND(R270*$S$5,2)</f>
        <v>79</v>
      </c>
      <c r="T270" s="115">
        <f>ROUND((P270+Q270)*(1+$R$5)*1.2,0)</f>
        <v>474</v>
      </c>
      <c r="U270" s="148">
        <v>512</v>
      </c>
      <c r="V270" s="78">
        <f t="shared" si="88"/>
        <v>-7.421875</v>
      </c>
    </row>
    <row r="271" spans="1:22" hidden="1" x14ac:dyDescent="0.25">
      <c r="B271" s="77"/>
      <c r="C271" s="108"/>
      <c r="D271" s="77"/>
      <c r="E271" s="77"/>
      <c r="F271" s="77"/>
      <c r="G271" s="77"/>
      <c r="H271" s="77"/>
      <c r="I271" s="77"/>
      <c r="J271" s="77"/>
      <c r="K271" s="108"/>
      <c r="L271" s="109"/>
      <c r="M271" s="109"/>
      <c r="N271" s="109"/>
      <c r="O271" s="109"/>
      <c r="P271" s="77"/>
      <c r="Q271" s="77"/>
      <c r="R271" s="138"/>
      <c r="S271" s="138"/>
      <c r="T271" s="138"/>
    </row>
    <row r="272" spans="1:22" hidden="1" x14ac:dyDescent="0.25">
      <c r="B272" s="587" t="s">
        <v>573</v>
      </c>
      <c r="C272" s="587"/>
      <c r="D272" s="77"/>
      <c r="E272" s="77"/>
      <c r="F272" s="77"/>
      <c r="G272" s="77"/>
      <c r="H272" s="77"/>
      <c r="I272" s="77"/>
      <c r="J272" s="77"/>
      <c r="K272" s="108"/>
      <c r="L272" s="109"/>
      <c r="M272" s="109"/>
      <c r="N272" s="109"/>
      <c r="O272" s="109"/>
      <c r="P272" s="77"/>
      <c r="Q272" s="77"/>
      <c r="R272" s="138"/>
      <c r="S272" s="138"/>
      <c r="T272" s="138"/>
    </row>
    <row r="273" spans="1:20" ht="53.25" hidden="1" customHeight="1" x14ac:dyDescent="0.25">
      <c r="A273" s="583" t="s">
        <v>572</v>
      </c>
      <c r="B273" s="583"/>
      <c r="C273" s="583"/>
      <c r="D273" s="583"/>
      <c r="E273" s="583"/>
      <c r="F273" s="583"/>
      <c r="G273" s="583"/>
      <c r="H273" s="583"/>
      <c r="I273" s="583"/>
      <c r="J273" s="583"/>
      <c r="K273" s="583"/>
      <c r="L273" s="583"/>
      <c r="M273" s="583"/>
      <c r="N273" s="583"/>
      <c r="O273" s="583"/>
      <c r="P273" s="583"/>
      <c r="Q273" s="583"/>
      <c r="R273" s="583"/>
      <c r="S273" s="583"/>
      <c r="T273" s="583"/>
    </row>
    <row r="274" spans="1:20" ht="38.25" hidden="1" customHeight="1" x14ac:dyDescent="0.25">
      <c r="B274" s="77"/>
      <c r="C274" s="110" t="s">
        <v>561</v>
      </c>
      <c r="D274" s="85"/>
      <c r="E274" s="85"/>
      <c r="F274" s="85"/>
      <c r="G274" s="85" t="s">
        <v>562</v>
      </c>
      <c r="H274" s="85"/>
      <c r="I274" s="85" t="s">
        <v>563</v>
      </c>
      <c r="J274" s="85"/>
      <c r="K274" s="108"/>
      <c r="L274" s="109"/>
      <c r="M274" s="109"/>
      <c r="N274" s="109"/>
      <c r="O274" s="109"/>
      <c r="P274" s="77"/>
      <c r="Q274" s="77"/>
      <c r="R274" s="138"/>
      <c r="S274" s="138"/>
      <c r="T274" s="138"/>
    </row>
    <row r="275" spans="1:20" ht="15.75" hidden="1" x14ac:dyDescent="0.25">
      <c r="C275" s="110"/>
      <c r="D275" s="85"/>
      <c r="E275" s="85"/>
      <c r="F275" s="85"/>
      <c r="G275" s="85"/>
      <c r="H275" s="85"/>
      <c r="I275" s="85"/>
      <c r="J275" s="85"/>
      <c r="K275" s="108"/>
    </row>
    <row r="276" spans="1:20" ht="45" hidden="1" customHeight="1" x14ac:dyDescent="0.25">
      <c r="C276" s="110" t="s">
        <v>564</v>
      </c>
      <c r="D276" s="85"/>
      <c r="E276" s="85"/>
      <c r="F276" s="85"/>
      <c r="G276" s="85" t="s">
        <v>562</v>
      </c>
      <c r="H276" s="85"/>
      <c r="I276" s="85" t="s">
        <v>565</v>
      </c>
      <c r="J276" s="85"/>
      <c r="K276" s="108"/>
    </row>
    <row r="277" spans="1:20" hidden="1" x14ac:dyDescent="0.25">
      <c r="C277" s="108"/>
      <c r="D277" s="77"/>
      <c r="E277" s="77"/>
      <c r="F277" s="77"/>
      <c r="G277" s="77"/>
      <c r="H277" s="77"/>
      <c r="I277" s="77"/>
      <c r="J277" s="77"/>
      <c r="K277" s="108"/>
    </row>
    <row r="278" spans="1:20" x14ac:dyDescent="0.25">
      <c r="C278" s="108"/>
      <c r="D278" s="77"/>
      <c r="E278" s="77"/>
      <c r="F278" s="77"/>
      <c r="G278" s="77"/>
      <c r="H278" s="77"/>
      <c r="I278" s="77"/>
      <c r="J278" s="77"/>
      <c r="K278" s="108"/>
    </row>
  </sheetData>
  <mergeCells count="263">
    <mergeCell ref="V263:V264"/>
    <mergeCell ref="U266:U267"/>
    <mergeCell ref="V266:V267"/>
    <mergeCell ref="V131:V132"/>
    <mergeCell ref="V122:V123"/>
    <mergeCell ref="V233:V234"/>
    <mergeCell ref="O266:O267"/>
    <mergeCell ref="H266:H267"/>
    <mergeCell ref="I266:I267"/>
    <mergeCell ref="J266:J267"/>
    <mergeCell ref="P266:P267"/>
    <mergeCell ref="Q266:Q267"/>
    <mergeCell ref="R266:R267"/>
    <mergeCell ref="S266:S267"/>
    <mergeCell ref="T266:T267"/>
    <mergeCell ref="H263:H264"/>
    <mergeCell ref="I263:I264"/>
    <mergeCell ref="J263:J264"/>
    <mergeCell ref="P263:P264"/>
    <mergeCell ref="Q263:Q264"/>
    <mergeCell ref="R263:R264"/>
    <mergeCell ref="S204:S205"/>
    <mergeCell ref="T204:T205"/>
    <mergeCell ref="U204:U205"/>
    <mergeCell ref="B266:B267"/>
    <mergeCell ref="C266:C267"/>
    <mergeCell ref="A266:A267"/>
    <mergeCell ref="D266:D267"/>
    <mergeCell ref="C51:C52"/>
    <mergeCell ref="C122:C123"/>
    <mergeCell ref="A230:T230"/>
    <mergeCell ref="N131:N132"/>
    <mergeCell ref="O131:O132"/>
    <mergeCell ref="Q131:Q132"/>
    <mergeCell ref="R131:R132"/>
    <mergeCell ref="S131:S132"/>
    <mergeCell ref="T131:T132"/>
    <mergeCell ref="A191:U191"/>
    <mergeCell ref="B204:B205"/>
    <mergeCell ref="D122:D123"/>
    <mergeCell ref="D51:D52"/>
    <mergeCell ref="S196:S197"/>
    <mergeCell ref="T196:T197"/>
    <mergeCell ref="C204:C205"/>
    <mergeCell ref="D196:D197"/>
    <mergeCell ref="D204:D205"/>
    <mergeCell ref="G215:G216"/>
    <mergeCell ref="B212:B213"/>
    <mergeCell ref="T23:T24"/>
    <mergeCell ref="U23:U24"/>
    <mergeCell ref="A4:A5"/>
    <mergeCell ref="B4:B5"/>
    <mergeCell ref="C4:C5"/>
    <mergeCell ref="D4:D5"/>
    <mergeCell ref="E4:E5"/>
    <mergeCell ref="F4:F5"/>
    <mergeCell ref="N4:N5"/>
    <mergeCell ref="O4:O5"/>
    <mergeCell ref="G4:G5"/>
    <mergeCell ref="H4:H5"/>
    <mergeCell ref="J4:J5"/>
    <mergeCell ref="P23:P24"/>
    <mergeCell ref="Q23:Q24"/>
    <mergeCell ref="R23:R24"/>
    <mergeCell ref="I14:I15"/>
    <mergeCell ref="J14:J15"/>
    <mergeCell ref="B14:B15"/>
    <mergeCell ref="C14:C15"/>
    <mergeCell ref="D14:D15"/>
    <mergeCell ref="S23:S24"/>
    <mergeCell ref="U4:U5"/>
    <mergeCell ref="K4:K5"/>
    <mergeCell ref="L4:L5"/>
    <mergeCell ref="M4:M5"/>
    <mergeCell ref="T4:T5"/>
    <mergeCell ref="P4:P5"/>
    <mergeCell ref="Q14:Q15"/>
    <mergeCell ref="O14:O15"/>
    <mergeCell ref="N14:N15"/>
    <mergeCell ref="P14:P15"/>
    <mergeCell ref="K14:K15"/>
    <mergeCell ref="U14:U15"/>
    <mergeCell ref="A8:U8"/>
    <mergeCell ref="S14:S15"/>
    <mergeCell ref="T14:T15"/>
    <mergeCell ref="L14:L15"/>
    <mergeCell ref="M14:M15"/>
    <mergeCell ref="R14:R15"/>
    <mergeCell ref="G196:G197"/>
    <mergeCell ref="N212:N213"/>
    <mergeCell ref="P196:P197"/>
    <mergeCell ref="Q196:Q197"/>
    <mergeCell ref="R196:R197"/>
    <mergeCell ref="H196:H197"/>
    <mergeCell ref="I196:I197"/>
    <mergeCell ref="J196:J197"/>
    <mergeCell ref="H204:H205"/>
    <mergeCell ref="I204:I205"/>
    <mergeCell ref="J204:J205"/>
    <mergeCell ref="G204:G205"/>
    <mergeCell ref="G212:G213"/>
    <mergeCell ref="O204:O205"/>
    <mergeCell ref="H36:H37"/>
    <mergeCell ref="I36:I37"/>
    <mergeCell ref="J36:J37"/>
    <mergeCell ref="K204:K205"/>
    <mergeCell ref="K36:K37"/>
    <mergeCell ref="H14:H15"/>
    <mergeCell ref="H23:H24"/>
    <mergeCell ref="I23:I24"/>
    <mergeCell ref="C212:C213"/>
    <mergeCell ref="B215:B216"/>
    <mergeCell ref="C215:C216"/>
    <mergeCell ref="B196:B197"/>
    <mergeCell ref="C196:C197"/>
    <mergeCell ref="K196:K197"/>
    <mergeCell ref="C131:C132"/>
    <mergeCell ref="H212:H213"/>
    <mergeCell ref="I212:I213"/>
    <mergeCell ref="J212:J213"/>
    <mergeCell ref="H215:H216"/>
    <mergeCell ref="I215:I216"/>
    <mergeCell ref="J215:J216"/>
    <mergeCell ref="D212:D213"/>
    <mergeCell ref="D215:D216"/>
    <mergeCell ref="K215:K216"/>
    <mergeCell ref="D131:D132"/>
    <mergeCell ref="H131:H132"/>
    <mergeCell ref="I131:I132"/>
    <mergeCell ref="A204:A205"/>
    <mergeCell ref="A212:A213"/>
    <mergeCell ref="A215:A216"/>
    <mergeCell ref="U212:U213"/>
    <mergeCell ref="P215:P216"/>
    <mergeCell ref="Q215:Q216"/>
    <mergeCell ref="R215:R216"/>
    <mergeCell ref="S215:S216"/>
    <mergeCell ref="T215:T216"/>
    <mergeCell ref="U215:U216"/>
    <mergeCell ref="P212:P213"/>
    <mergeCell ref="Q212:Q213"/>
    <mergeCell ref="R212:R213"/>
    <mergeCell ref="S212:S213"/>
    <mergeCell ref="T212:T213"/>
    <mergeCell ref="P204:P205"/>
    <mergeCell ref="Q204:Q205"/>
    <mergeCell ref="R204:R205"/>
    <mergeCell ref="O215:O216"/>
    <mergeCell ref="K212:K213"/>
    <mergeCell ref="L212:L213"/>
    <mergeCell ref="M212:M213"/>
    <mergeCell ref="O212:O213"/>
    <mergeCell ref="N204:N205"/>
    <mergeCell ref="V4:V5"/>
    <mergeCell ref="S233:S234"/>
    <mergeCell ref="T233:T234"/>
    <mergeCell ref="U233:U234"/>
    <mergeCell ref="A233:A234"/>
    <mergeCell ref="B263:B264"/>
    <mergeCell ref="A263:A264"/>
    <mergeCell ref="D263:D264"/>
    <mergeCell ref="I233:I234"/>
    <mergeCell ref="J233:J234"/>
    <mergeCell ref="P233:P234"/>
    <mergeCell ref="Q233:Q234"/>
    <mergeCell ref="R233:R234"/>
    <mergeCell ref="A239:T239"/>
    <mergeCell ref="A249:T249"/>
    <mergeCell ref="C263:C264"/>
    <mergeCell ref="B233:B234"/>
    <mergeCell ref="C233:C234"/>
    <mergeCell ref="D233:D234"/>
    <mergeCell ref="H233:H234"/>
    <mergeCell ref="U263:U264"/>
    <mergeCell ref="S263:S264"/>
    <mergeCell ref="T263:T264"/>
    <mergeCell ref="A196:A197"/>
    <mergeCell ref="V215:V216"/>
    <mergeCell ref="V212:V213"/>
    <mergeCell ref="V204:V205"/>
    <mergeCell ref="V196:V197"/>
    <mergeCell ref="U196:U197"/>
    <mergeCell ref="M196:M197"/>
    <mergeCell ref="N196:N197"/>
    <mergeCell ref="O196:O197"/>
    <mergeCell ref="L204:L205"/>
    <mergeCell ref="M204:M205"/>
    <mergeCell ref="L196:L197"/>
    <mergeCell ref="L215:L216"/>
    <mergeCell ref="M215:M216"/>
    <mergeCell ref="N215:N216"/>
    <mergeCell ref="O23:O24"/>
    <mergeCell ref="L36:L37"/>
    <mergeCell ref="M36:M37"/>
    <mergeCell ref="B36:B37"/>
    <mergeCell ref="C36:C37"/>
    <mergeCell ref="D36:D37"/>
    <mergeCell ref="D23:D24"/>
    <mergeCell ref="C23:C24"/>
    <mergeCell ref="B23:B24"/>
    <mergeCell ref="K23:K24"/>
    <mergeCell ref="L23:L24"/>
    <mergeCell ref="M23:M24"/>
    <mergeCell ref="N23:N24"/>
    <mergeCell ref="N36:N37"/>
    <mergeCell ref="O36:O37"/>
    <mergeCell ref="J23:J24"/>
    <mergeCell ref="J131:J132"/>
    <mergeCell ref="P131:P132"/>
    <mergeCell ref="K131:K132"/>
    <mergeCell ref="L131:L132"/>
    <mergeCell ref="M131:M132"/>
    <mergeCell ref="S51:S52"/>
    <mergeCell ref="P51:P52"/>
    <mergeCell ref="Q51:Q52"/>
    <mergeCell ref="R51:R52"/>
    <mergeCell ref="N122:N123"/>
    <mergeCell ref="K122:K123"/>
    <mergeCell ref="A108:U108"/>
    <mergeCell ref="B122:B123"/>
    <mergeCell ref="U122:U123"/>
    <mergeCell ref="H122:H123"/>
    <mergeCell ref="I122:I123"/>
    <mergeCell ref="J122:J123"/>
    <mergeCell ref="R122:R123"/>
    <mergeCell ref="S122:S123"/>
    <mergeCell ref="T122:T123"/>
    <mergeCell ref="O122:O123"/>
    <mergeCell ref="L122:L123"/>
    <mergeCell ref="M122:M123"/>
    <mergeCell ref="U36:U37"/>
    <mergeCell ref="U51:U52"/>
    <mergeCell ref="U131:U132"/>
    <mergeCell ref="T51:T52"/>
    <mergeCell ref="R36:R37"/>
    <mergeCell ref="S36:S37"/>
    <mergeCell ref="T36:T37"/>
    <mergeCell ref="P36:P37"/>
    <mergeCell ref="Q36:Q37"/>
    <mergeCell ref="A273:T273"/>
    <mergeCell ref="P1:T1"/>
    <mergeCell ref="A2:T2"/>
    <mergeCell ref="B272:C272"/>
    <mergeCell ref="A31:I33"/>
    <mergeCell ref="A48:I50"/>
    <mergeCell ref="B13:C13"/>
    <mergeCell ref="B34:C34"/>
    <mergeCell ref="A14:A30"/>
    <mergeCell ref="A35:A47"/>
    <mergeCell ref="A51:A52"/>
    <mergeCell ref="K51:K52"/>
    <mergeCell ref="L51:L52"/>
    <mergeCell ref="M51:M52"/>
    <mergeCell ref="N51:N52"/>
    <mergeCell ref="A131:A132"/>
    <mergeCell ref="O51:O52"/>
    <mergeCell ref="H51:H52"/>
    <mergeCell ref="I51:I52"/>
    <mergeCell ref="J51:J52"/>
    <mergeCell ref="A122:A123"/>
    <mergeCell ref="B131:B132"/>
    <mergeCell ref="P122:P123"/>
    <mergeCell ref="Q122:Q123"/>
  </mergeCells>
  <pageMargins left="0.70866141732283472" right="0.70866141732283472" top="0.74803149606299213" bottom="0.74803149606299213" header="0.31496062992125984" footer="0.31496062992125984"/>
  <pageSetup paperSize="9" scale="61" fitToHeight="0" orientation="landscape" r:id="rId1"/>
  <headerFooter>
    <oddFooter>&amp;R&amp;P</oddFooter>
  </headerFooter>
  <rowBreaks count="7" manualBreakCount="7">
    <brk id="33" max="19" man="1"/>
    <brk id="63" max="19" man="1"/>
    <brk id="102" max="19" man="1"/>
    <brk id="138" max="19" man="1"/>
    <brk id="184" max="19" man="1"/>
    <brk id="222" max="19" man="1"/>
    <brk id="248"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1"/>
  <sheetViews>
    <sheetView topLeftCell="A10" workbookViewId="0">
      <selection activeCell="A16" sqref="A16"/>
    </sheetView>
  </sheetViews>
  <sheetFormatPr defaultRowHeight="15" x14ac:dyDescent="0.25"/>
  <cols>
    <col min="1" max="1" width="26.42578125" customWidth="1"/>
    <col min="2" max="2" width="10.85546875" customWidth="1"/>
    <col min="3" max="4" width="14.42578125" customWidth="1"/>
    <col min="6" max="6" width="13.85546875" customWidth="1"/>
    <col min="7" max="7" width="10.140625" bestFit="1" customWidth="1"/>
    <col min="8" max="9" width="9.28515625" bestFit="1" customWidth="1"/>
    <col min="10" max="16" width="0" hidden="1" customWidth="1"/>
    <col min="19" max="19" width="21.7109375" customWidth="1"/>
    <col min="23" max="23" width="16.140625" customWidth="1"/>
  </cols>
  <sheetData>
    <row r="1" spans="1:23" ht="15.75" thickBot="1" x14ac:dyDescent="0.3">
      <c r="C1" s="4" t="s">
        <v>140</v>
      </c>
      <c r="D1" s="66"/>
      <c r="J1" s="223"/>
      <c r="K1" s="223"/>
      <c r="L1" s="223"/>
      <c r="M1" s="223"/>
      <c r="N1" s="223"/>
      <c r="O1" s="223"/>
      <c r="P1" s="223"/>
    </row>
    <row r="2" spans="1:23" ht="26.25" x14ac:dyDescent="0.25">
      <c r="A2" s="5" t="s">
        <v>141</v>
      </c>
      <c r="B2" s="6" t="s">
        <v>142</v>
      </c>
      <c r="C2" s="7">
        <v>7056</v>
      </c>
      <c r="D2" s="67"/>
    </row>
    <row r="3" spans="1:23" x14ac:dyDescent="0.25">
      <c r="A3" s="8" t="s">
        <v>143</v>
      </c>
      <c r="B3" s="9" t="s">
        <v>144</v>
      </c>
      <c r="C3" s="10">
        <v>0.7</v>
      </c>
      <c r="D3" s="68"/>
    </row>
    <row r="4" spans="1:23" x14ac:dyDescent="0.25">
      <c r="A4" s="8" t="s">
        <v>145</v>
      </c>
      <c r="B4" s="9" t="s">
        <v>144</v>
      </c>
      <c r="C4" s="10">
        <v>0.1</v>
      </c>
      <c r="D4" s="68"/>
    </row>
    <row r="5" spans="1:23" x14ac:dyDescent="0.25">
      <c r="A5" s="8" t="s">
        <v>146</v>
      </c>
      <c r="B5" s="9" t="s">
        <v>144</v>
      </c>
      <c r="C5" s="12">
        <v>0.14249999999999999</v>
      </c>
      <c r="D5" s="69"/>
    </row>
    <row r="6" spans="1:23" x14ac:dyDescent="0.25">
      <c r="A6" s="8" t="s">
        <v>147</v>
      </c>
      <c r="B6" s="9" t="s">
        <v>148</v>
      </c>
      <c r="C6" s="11">
        <v>164.4</v>
      </c>
      <c r="D6" s="67"/>
    </row>
    <row r="7" spans="1:23" x14ac:dyDescent="0.25">
      <c r="A7" s="8" t="s">
        <v>149</v>
      </c>
      <c r="B7" s="9" t="s">
        <v>144</v>
      </c>
      <c r="C7" s="12">
        <v>0.66500000000000004</v>
      </c>
      <c r="D7" s="69"/>
    </row>
    <row r="8" spans="1:23" x14ac:dyDescent="0.25">
      <c r="A8" s="8" t="s">
        <v>150</v>
      </c>
      <c r="B8" s="9" t="s">
        <v>144</v>
      </c>
      <c r="C8" s="10">
        <v>0.1</v>
      </c>
      <c r="D8" s="68"/>
    </row>
    <row r="9" spans="1:23" ht="15.75" thickBot="1" x14ac:dyDescent="0.3">
      <c r="A9" s="13" t="s">
        <v>400</v>
      </c>
      <c r="B9" s="14" t="s">
        <v>399</v>
      </c>
      <c r="C9" s="65">
        <v>32495</v>
      </c>
      <c r="D9" s="68"/>
    </row>
    <row r="10" spans="1:23" ht="15.75" thickBot="1" x14ac:dyDescent="0.3">
      <c r="B10" s="15"/>
      <c r="C10" s="15"/>
      <c r="D10" s="15"/>
      <c r="E10" s="15"/>
      <c r="F10" s="15"/>
      <c r="G10" s="15"/>
      <c r="H10" s="15"/>
      <c r="I10" s="15"/>
      <c r="S10" s="223"/>
      <c r="T10" s="223"/>
    </row>
    <row r="11" spans="1:23" ht="89.25" x14ac:dyDescent="0.25">
      <c r="A11" s="581" t="s">
        <v>151</v>
      </c>
      <c r="B11" s="579" t="s">
        <v>152</v>
      </c>
      <c r="C11" s="579" t="s">
        <v>153</v>
      </c>
      <c r="D11" s="440" t="s">
        <v>155</v>
      </c>
      <c r="E11" s="579" t="s">
        <v>154</v>
      </c>
      <c r="F11" s="440" t="s">
        <v>156</v>
      </c>
      <c r="G11" s="579" t="s">
        <v>157</v>
      </c>
      <c r="H11" s="579" t="s">
        <v>158</v>
      </c>
      <c r="I11" s="17" t="s">
        <v>159</v>
      </c>
    </row>
    <row r="12" spans="1:23" x14ac:dyDescent="0.25">
      <c r="A12" s="582"/>
      <c r="B12" s="580"/>
      <c r="C12" s="580"/>
      <c r="D12" s="18">
        <f>C4</f>
        <v>0.1</v>
      </c>
      <c r="E12" s="580"/>
      <c r="F12" s="18">
        <f>C3</f>
        <v>0.7</v>
      </c>
      <c r="G12" s="580"/>
      <c r="H12" s="580"/>
      <c r="I12" s="12">
        <f>C5</f>
        <v>0.14249999999999999</v>
      </c>
    </row>
    <row r="13" spans="1:23" x14ac:dyDescent="0.25">
      <c r="A13" s="28">
        <v>1</v>
      </c>
      <c r="B13" s="29">
        <v>2</v>
      </c>
      <c r="C13" s="29">
        <v>3</v>
      </c>
      <c r="D13" s="36">
        <v>4</v>
      </c>
      <c r="E13" s="29">
        <v>5</v>
      </c>
      <c r="F13" s="29">
        <v>6</v>
      </c>
      <c r="G13" s="35">
        <v>7</v>
      </c>
      <c r="H13" s="29">
        <v>8</v>
      </c>
      <c r="I13" s="30">
        <v>9</v>
      </c>
    </row>
    <row r="14" spans="1:23" x14ac:dyDescent="0.25">
      <c r="A14" s="19" t="s">
        <v>312</v>
      </c>
      <c r="B14" s="34">
        <v>1.47</v>
      </c>
      <c r="C14" s="494">
        <v>16807</v>
      </c>
      <c r="D14" s="23">
        <f t="shared" ref="D14:D28" si="0">ROUND(C14*$D$12,2)</f>
        <v>1680.7</v>
      </c>
      <c r="E14" s="22"/>
      <c r="F14" s="23">
        <f t="shared" ref="F14:F28" si="1">ROUND((C14+E14+D14)*$F$12,2)</f>
        <v>12941.39</v>
      </c>
      <c r="G14" s="23">
        <f t="shared" ref="G14:G28" si="2">SUM(C14:F14)</f>
        <v>31429.09</v>
      </c>
      <c r="H14" s="23">
        <f t="shared" ref="H14:H28" si="3">ROUND(G14/$C$6,2)</f>
        <v>191.17</v>
      </c>
      <c r="I14" s="24">
        <f t="shared" ref="I14:I28" si="4">ROUND(H14*(1+$I$12),2)</f>
        <v>218.41</v>
      </c>
      <c r="W14" s="225"/>
    </row>
    <row r="15" spans="1:23" x14ac:dyDescent="0.25">
      <c r="A15" s="19" t="s">
        <v>318</v>
      </c>
      <c r="B15" s="34">
        <v>1.44</v>
      </c>
      <c r="C15" s="494">
        <v>18048</v>
      </c>
      <c r="D15" s="23">
        <f t="shared" si="0"/>
        <v>1804.8</v>
      </c>
      <c r="E15" s="23">
        <f>ROUND(C15*4%,2)</f>
        <v>721.92</v>
      </c>
      <c r="F15" s="23">
        <f t="shared" si="1"/>
        <v>14402.3</v>
      </c>
      <c r="G15" s="23">
        <f t="shared" si="2"/>
        <v>34977.019999999997</v>
      </c>
      <c r="H15" s="23">
        <f t="shared" si="3"/>
        <v>212.76</v>
      </c>
      <c r="I15" s="24">
        <f t="shared" si="4"/>
        <v>243.08</v>
      </c>
      <c r="Q15" t="s">
        <v>711</v>
      </c>
      <c r="W15" s="225"/>
    </row>
    <row r="16" spans="1:23" x14ac:dyDescent="0.25">
      <c r="A16" s="495" t="s">
        <v>712</v>
      </c>
      <c r="B16" s="21">
        <f>ROUND(9559/6638,2)</f>
        <v>1.44</v>
      </c>
      <c r="C16" s="494">
        <v>16601</v>
      </c>
      <c r="D16" s="23">
        <f t="shared" si="0"/>
        <v>1660.1</v>
      </c>
      <c r="E16" s="23">
        <f>ROUND(C16*(25%+4%),2)</f>
        <v>4814.29</v>
      </c>
      <c r="F16" s="23">
        <f t="shared" si="1"/>
        <v>16152.77</v>
      </c>
      <c r="G16" s="23">
        <f t="shared" si="2"/>
        <v>39228.160000000003</v>
      </c>
      <c r="H16" s="23">
        <f t="shared" si="3"/>
        <v>238.61</v>
      </c>
      <c r="I16" s="24">
        <f t="shared" si="4"/>
        <v>272.61</v>
      </c>
      <c r="Q16" t="s">
        <v>713</v>
      </c>
      <c r="W16" s="225"/>
    </row>
    <row r="17" spans="1:23" x14ac:dyDescent="0.25">
      <c r="A17" s="19" t="s">
        <v>319</v>
      </c>
      <c r="B17" s="34">
        <v>1.44</v>
      </c>
      <c r="C17" s="494">
        <v>15866</v>
      </c>
      <c r="D17" s="23">
        <f t="shared" si="0"/>
        <v>1586.6</v>
      </c>
      <c r="E17" s="23">
        <f>ROUND(C17*25%,2)</f>
        <v>3966.5</v>
      </c>
      <c r="F17" s="23">
        <f t="shared" si="1"/>
        <v>14993.37</v>
      </c>
      <c r="G17" s="23">
        <f t="shared" si="2"/>
        <v>36412.47</v>
      </c>
      <c r="H17" s="23">
        <f t="shared" si="3"/>
        <v>221.49</v>
      </c>
      <c r="I17" s="24">
        <f t="shared" si="4"/>
        <v>253.05</v>
      </c>
      <c r="Q17" t="s">
        <v>714</v>
      </c>
      <c r="W17" s="225"/>
    </row>
    <row r="18" spans="1:23" x14ac:dyDescent="0.25">
      <c r="A18" s="19" t="s">
        <v>163</v>
      </c>
      <c r="B18" s="21">
        <f>ROUND(13143/6638,2)</f>
        <v>1.98</v>
      </c>
      <c r="C18" s="494">
        <v>21002</v>
      </c>
      <c r="D18" s="23">
        <f t="shared" si="0"/>
        <v>2100.1999999999998</v>
      </c>
      <c r="E18" s="22"/>
      <c r="F18" s="23">
        <f t="shared" si="1"/>
        <v>16171.54</v>
      </c>
      <c r="G18" s="23">
        <f t="shared" si="2"/>
        <v>39273.740000000005</v>
      </c>
      <c r="H18" s="23">
        <f t="shared" si="3"/>
        <v>238.89</v>
      </c>
      <c r="I18" s="24">
        <f t="shared" si="4"/>
        <v>272.93</v>
      </c>
      <c r="J18" t="s">
        <v>592</v>
      </c>
      <c r="Q18" t="s">
        <v>715</v>
      </c>
      <c r="W18" s="225"/>
    </row>
    <row r="19" spans="1:23" x14ac:dyDescent="0.25">
      <c r="A19" s="19" t="s">
        <v>29</v>
      </c>
      <c r="B19" s="21">
        <f>ROUND(10600/6638,2)</f>
        <v>1.6</v>
      </c>
      <c r="C19" s="494">
        <v>19125</v>
      </c>
      <c r="D19" s="23">
        <f t="shared" si="0"/>
        <v>1912.5</v>
      </c>
      <c r="E19" s="32"/>
      <c r="F19" s="23">
        <f t="shared" si="1"/>
        <v>14726.25</v>
      </c>
      <c r="G19" s="23">
        <f t="shared" si="2"/>
        <v>35763.75</v>
      </c>
      <c r="H19" s="23">
        <f t="shared" si="3"/>
        <v>217.54</v>
      </c>
      <c r="I19" s="24">
        <f t="shared" si="4"/>
        <v>248.54</v>
      </c>
      <c r="W19" s="225"/>
    </row>
    <row r="20" spans="1:23" x14ac:dyDescent="0.25">
      <c r="A20" s="19" t="s">
        <v>363</v>
      </c>
      <c r="B20" s="49">
        <v>1</v>
      </c>
      <c r="C20" s="494">
        <v>16807</v>
      </c>
      <c r="D20" s="23">
        <f t="shared" si="0"/>
        <v>1680.7</v>
      </c>
      <c r="E20" s="32"/>
      <c r="F20" s="23">
        <f t="shared" si="1"/>
        <v>12941.39</v>
      </c>
      <c r="G20" s="23">
        <f t="shared" si="2"/>
        <v>31429.09</v>
      </c>
      <c r="H20" s="23">
        <f t="shared" si="3"/>
        <v>191.17</v>
      </c>
      <c r="I20" s="24">
        <f t="shared" si="4"/>
        <v>218.41</v>
      </c>
      <c r="W20" s="225"/>
    </row>
    <row r="21" spans="1:23" x14ac:dyDescent="0.25">
      <c r="A21" s="19" t="s">
        <v>315</v>
      </c>
      <c r="B21" s="31">
        <v>1.2</v>
      </c>
      <c r="C21" s="494">
        <v>16807</v>
      </c>
      <c r="D21" s="23">
        <f t="shared" si="0"/>
        <v>1680.7</v>
      </c>
      <c r="E21" s="32"/>
      <c r="F21" s="23">
        <f t="shared" si="1"/>
        <v>12941.39</v>
      </c>
      <c r="G21" s="23">
        <f t="shared" si="2"/>
        <v>31429.09</v>
      </c>
      <c r="H21" s="23">
        <f t="shared" si="3"/>
        <v>191.17</v>
      </c>
      <c r="I21" s="24">
        <f t="shared" si="4"/>
        <v>218.41</v>
      </c>
      <c r="W21" s="225"/>
    </row>
    <row r="22" spans="1:23" x14ac:dyDescent="0.25">
      <c r="A22" s="19" t="s">
        <v>168</v>
      </c>
      <c r="B22" s="33">
        <f>ROUND(($B$25+$B$24)/2,2)</f>
        <v>1.3</v>
      </c>
      <c r="C22" s="494">
        <f>(C24+C25)/2</f>
        <v>16160.5</v>
      </c>
      <c r="D22" s="23">
        <f t="shared" si="0"/>
        <v>1616.05</v>
      </c>
      <c r="E22" s="32"/>
      <c r="F22" s="23">
        <f t="shared" si="1"/>
        <v>12443.59</v>
      </c>
      <c r="G22" s="23">
        <f t="shared" si="2"/>
        <v>30220.14</v>
      </c>
      <c r="H22" s="23">
        <f t="shared" si="3"/>
        <v>183.82</v>
      </c>
      <c r="I22" s="24">
        <f t="shared" si="4"/>
        <v>210.01</v>
      </c>
      <c r="W22" s="225"/>
    </row>
    <row r="23" spans="1:23" x14ac:dyDescent="0.25">
      <c r="A23" s="19" t="s">
        <v>160</v>
      </c>
      <c r="B23" s="21">
        <v>1.1000000000000001</v>
      </c>
      <c r="C23" s="494">
        <v>14307</v>
      </c>
      <c r="D23" s="23">
        <f t="shared" si="0"/>
        <v>1430.7</v>
      </c>
      <c r="E23" s="32"/>
      <c r="F23" s="23">
        <f t="shared" si="1"/>
        <v>11016.39</v>
      </c>
      <c r="G23" s="23">
        <f t="shared" si="2"/>
        <v>26754.09</v>
      </c>
      <c r="H23" s="23">
        <f t="shared" si="3"/>
        <v>162.74</v>
      </c>
      <c r="I23" s="24">
        <f t="shared" si="4"/>
        <v>185.93</v>
      </c>
      <c r="W23" s="225"/>
    </row>
    <row r="24" spans="1:23" x14ac:dyDescent="0.25">
      <c r="A24" s="19" t="s">
        <v>161</v>
      </c>
      <c r="B24" s="31">
        <v>1.22</v>
      </c>
      <c r="C24" s="494">
        <v>15866</v>
      </c>
      <c r="D24" s="23">
        <f t="shared" si="0"/>
        <v>1586.6</v>
      </c>
      <c r="E24" s="32"/>
      <c r="F24" s="23">
        <f t="shared" si="1"/>
        <v>12216.82</v>
      </c>
      <c r="G24" s="23">
        <f t="shared" si="2"/>
        <v>29669.42</v>
      </c>
      <c r="H24" s="23">
        <f t="shared" si="3"/>
        <v>180.47</v>
      </c>
      <c r="I24" s="24">
        <f t="shared" si="4"/>
        <v>206.19</v>
      </c>
      <c r="W24" s="225"/>
    </row>
    <row r="25" spans="1:23" x14ac:dyDescent="0.25">
      <c r="A25" s="19" t="s">
        <v>162</v>
      </c>
      <c r="B25" s="31">
        <v>1.38</v>
      </c>
      <c r="C25" s="494">
        <v>16455</v>
      </c>
      <c r="D25" s="23">
        <f t="shared" si="0"/>
        <v>1645.5</v>
      </c>
      <c r="E25" s="32"/>
      <c r="F25" s="23">
        <f t="shared" si="1"/>
        <v>12670.35</v>
      </c>
      <c r="G25" s="23">
        <f t="shared" si="2"/>
        <v>30770.85</v>
      </c>
      <c r="H25" s="23">
        <f t="shared" si="3"/>
        <v>187.17</v>
      </c>
      <c r="I25" s="24">
        <f t="shared" si="4"/>
        <v>213.84</v>
      </c>
      <c r="W25" s="225"/>
    </row>
    <row r="26" spans="1:23" x14ac:dyDescent="0.25">
      <c r="A26" s="19" t="s">
        <v>283</v>
      </c>
      <c r="B26" s="33">
        <v>1.56</v>
      </c>
      <c r="C26" s="494">
        <v>17336</v>
      </c>
      <c r="D26" s="23">
        <f t="shared" si="0"/>
        <v>1733.6</v>
      </c>
      <c r="E26" s="32"/>
      <c r="F26" s="23">
        <f t="shared" si="1"/>
        <v>13348.72</v>
      </c>
      <c r="G26" s="23">
        <f t="shared" si="2"/>
        <v>32418.32</v>
      </c>
      <c r="H26" s="23">
        <f t="shared" si="3"/>
        <v>197.19</v>
      </c>
      <c r="I26" s="24">
        <f t="shared" si="4"/>
        <v>225.29</v>
      </c>
      <c r="W26" s="225"/>
    </row>
    <row r="27" spans="1:23" x14ac:dyDescent="0.25">
      <c r="A27" s="19" t="s">
        <v>294</v>
      </c>
      <c r="B27" s="31">
        <f>ROUND(13530/6638,2)</f>
        <v>2.04</v>
      </c>
      <c r="C27" s="494">
        <v>18217</v>
      </c>
      <c r="D27" s="23">
        <f>ROUND(C27*$D$12,2)</f>
        <v>1821.7</v>
      </c>
      <c r="E27" s="32"/>
      <c r="F27" s="23">
        <f>ROUND((C27+E27+D27)*65%,2)</f>
        <v>13025.16</v>
      </c>
      <c r="G27" s="23">
        <f>SUM(C27:F27)</f>
        <v>33063.86</v>
      </c>
      <c r="H27" s="23">
        <f>ROUND(G27/$C$6,2)</f>
        <v>201.12</v>
      </c>
      <c r="I27" s="24">
        <f>ROUND(H27*(1+$I$12),2)</f>
        <v>229.78</v>
      </c>
      <c r="J27" t="s">
        <v>415</v>
      </c>
      <c r="W27" s="225"/>
    </row>
    <row r="28" spans="1:23" ht="15.75" thickBot="1" x14ac:dyDescent="0.3">
      <c r="A28" s="20" t="s">
        <v>166</v>
      </c>
      <c r="B28" s="25">
        <f>ROUND(12526/6638,2)</f>
        <v>1.89</v>
      </c>
      <c r="C28" s="496">
        <v>18029</v>
      </c>
      <c r="D28" s="26">
        <f t="shared" si="0"/>
        <v>1802.9</v>
      </c>
      <c r="E28" s="26">
        <f>ROUND(C28*8%,2)</f>
        <v>1442.32</v>
      </c>
      <c r="F28" s="26">
        <f t="shared" si="1"/>
        <v>14891.95</v>
      </c>
      <c r="G28" s="26">
        <f t="shared" si="2"/>
        <v>36166.17</v>
      </c>
      <c r="H28" s="26">
        <f t="shared" si="3"/>
        <v>219.99</v>
      </c>
      <c r="I28" s="27">
        <f t="shared" si="4"/>
        <v>251.34</v>
      </c>
      <c r="J28" t="s">
        <v>593</v>
      </c>
      <c r="W28" s="225"/>
    </row>
    <row r="31" spans="1:23" x14ac:dyDescent="0.25">
      <c r="B31" s="140">
        <f>SUM(B14:B28)</f>
        <v>22.06</v>
      </c>
      <c r="C31" s="140">
        <f t="shared" ref="C31:I31" si="5">SUM(C14:C28)</f>
        <v>257433.5</v>
      </c>
      <c r="D31" s="140">
        <f t="shared" si="5"/>
        <v>25743.350000000002</v>
      </c>
      <c r="E31" s="140">
        <f t="shared" si="5"/>
        <v>10945.029999999999</v>
      </c>
      <c r="F31" s="140">
        <f t="shared" si="5"/>
        <v>204883.38000000003</v>
      </c>
      <c r="G31" s="140">
        <f t="shared" si="5"/>
        <v>499005.25999999995</v>
      </c>
      <c r="H31" s="140">
        <f t="shared" si="5"/>
        <v>3035.3</v>
      </c>
      <c r="I31" s="140">
        <f t="shared" si="5"/>
        <v>3467.8200000000006</v>
      </c>
    </row>
  </sheetData>
  <mergeCells count="6">
    <mergeCell ref="H11:H12"/>
    <mergeCell ref="A11:A12"/>
    <mergeCell ref="B11:B12"/>
    <mergeCell ref="C11:C12"/>
    <mergeCell ref="E11:E12"/>
    <mergeCell ref="G11:G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384"/>
  <sheetViews>
    <sheetView view="pageBreakPreview" topLeftCell="E48" zoomScale="90" zoomScaleSheetLayoutView="90" workbookViewId="0">
      <selection activeCell="F101" sqref="F101"/>
    </sheetView>
  </sheetViews>
  <sheetFormatPr defaultRowHeight="18.75" outlineLevelRow="1" outlineLevelCol="1" x14ac:dyDescent="0.3"/>
  <cols>
    <col min="1" max="1" width="8.42578125" style="47" customWidth="1"/>
    <col min="2" max="2" width="8.7109375" customWidth="1"/>
    <col min="3" max="3" width="37.5703125" style="45" customWidth="1"/>
    <col min="4" max="4" width="11.28515625" customWidth="1"/>
    <col min="5" max="5" width="12.28515625" customWidth="1"/>
    <col min="6" max="6" width="9.140625" customWidth="1" outlineLevel="1"/>
    <col min="7" max="7" width="9.7109375" customWidth="1" outlineLevel="1"/>
    <col min="8" max="9" width="9.140625" customWidth="1" outlineLevel="1"/>
    <col min="10" max="10" width="10.5703125" customWidth="1" outlineLevel="1"/>
    <col min="11" max="11" width="15.7109375" style="45" customWidth="1" outlineLevel="1"/>
    <col min="12" max="13" width="9.140625" style="37" customWidth="1" outlineLevel="1"/>
    <col min="14" max="14" width="11" style="37" customWidth="1" outlineLevel="1"/>
    <col min="15" max="15" width="10.140625" style="37" customWidth="1" outlineLevel="1"/>
    <col min="16" max="16" width="9.140625" customWidth="1" outlineLevel="1"/>
    <col min="17" max="17" width="10" customWidth="1" outlineLevel="1"/>
    <col min="18" max="18" width="10.28515625" style="140" customWidth="1"/>
    <col min="19" max="19" width="11.28515625" style="432" customWidth="1"/>
    <col min="20" max="20" width="9.85546875" style="432" bestFit="1" customWidth="1"/>
    <col min="21" max="21" width="9.140625" style="223" hidden="1" customWidth="1"/>
    <col min="22" max="22" width="0" style="223" hidden="1" customWidth="1"/>
    <col min="23" max="23" width="10.85546875" style="56" customWidth="1"/>
    <col min="24" max="24" width="12" style="56" customWidth="1"/>
    <col min="25" max="25" width="10.7109375" style="234" bestFit="1" customWidth="1"/>
    <col min="26" max="26" width="13.42578125" style="235" hidden="1" customWidth="1"/>
    <col min="27" max="27" width="14.28515625" style="278" hidden="1" customWidth="1"/>
    <col min="28" max="28" width="2.5703125" style="235" hidden="1" customWidth="1"/>
    <col min="29" max="29" width="12.7109375" style="403" hidden="1" customWidth="1"/>
    <col min="30" max="30" width="16.7109375" style="235" customWidth="1"/>
    <col min="31" max="32" width="12.7109375" customWidth="1"/>
    <col min="33" max="34" width="9.140625" style="37" hidden="1" customWidth="1"/>
    <col min="35" max="36" width="0" hidden="1" customWidth="1"/>
    <col min="37" max="38" width="0" style="37" hidden="1" customWidth="1"/>
    <col min="39" max="39" width="11.85546875" style="37" hidden="1" customWidth="1"/>
    <col min="40" max="40" width="9.42578125" style="37" hidden="1" customWidth="1"/>
    <col min="41" max="41" width="0" style="37" hidden="1" customWidth="1"/>
    <col min="42" max="42" width="0" hidden="1" customWidth="1"/>
    <col min="43" max="43" width="12.140625" style="404" hidden="1" customWidth="1"/>
    <col min="44" max="44" width="13.42578125" style="77" hidden="1" customWidth="1"/>
    <col min="45" max="45" width="16" style="127" hidden="1" customWidth="1"/>
    <col min="46" max="49" width="0" hidden="1" customWidth="1"/>
  </cols>
  <sheetData>
    <row r="1" spans="1:49" ht="68.25" customHeight="1" x14ac:dyDescent="0.3">
      <c r="A1" s="227"/>
      <c r="B1" s="228"/>
      <c r="C1" s="229"/>
      <c r="D1" s="228"/>
      <c r="E1" s="228"/>
      <c r="F1" s="228"/>
      <c r="G1" s="228"/>
      <c r="H1" s="228"/>
      <c r="I1" s="228"/>
      <c r="J1" s="228"/>
      <c r="K1" s="229"/>
      <c r="L1" s="230"/>
      <c r="M1" s="230"/>
      <c r="N1" s="230"/>
      <c r="O1" s="230"/>
      <c r="P1" s="622" t="s">
        <v>594</v>
      </c>
      <c r="Q1" s="622"/>
      <c r="R1" s="622"/>
      <c r="S1" s="622"/>
      <c r="T1" s="622"/>
      <c r="Z1" s="623" t="s">
        <v>595</v>
      </c>
      <c r="AA1" s="626"/>
      <c r="AC1" s="629" t="s">
        <v>597</v>
      </c>
      <c r="AD1" s="623" t="s">
        <v>716</v>
      </c>
      <c r="AG1" s="492"/>
      <c r="AH1" s="492"/>
      <c r="AI1" s="223"/>
      <c r="AJ1" s="223"/>
      <c r="AK1" s="492"/>
      <c r="AL1" s="492"/>
      <c r="AM1" s="492"/>
      <c r="AN1" s="492"/>
      <c r="AO1" s="492"/>
      <c r="AQ1" s="632" t="s">
        <v>599</v>
      </c>
    </row>
    <row r="2" spans="1:49" ht="38.25" customHeight="1" x14ac:dyDescent="0.3">
      <c r="A2" s="633" t="s">
        <v>717</v>
      </c>
      <c r="B2" s="634"/>
      <c r="C2" s="634"/>
      <c r="D2" s="634"/>
      <c r="E2" s="634"/>
      <c r="F2" s="634"/>
      <c r="G2" s="634"/>
      <c r="H2" s="634"/>
      <c r="I2" s="634"/>
      <c r="J2" s="634"/>
      <c r="K2" s="634"/>
      <c r="L2" s="634"/>
      <c r="M2" s="634"/>
      <c r="N2" s="634"/>
      <c r="O2" s="634"/>
      <c r="P2" s="634"/>
      <c r="Q2" s="634"/>
      <c r="R2" s="634"/>
      <c r="S2" s="634"/>
      <c r="T2" s="634"/>
      <c r="Z2" s="624"/>
      <c r="AA2" s="627"/>
      <c r="AC2" s="630"/>
      <c r="AD2" s="624"/>
      <c r="AE2" s="635"/>
      <c r="AG2" s="492"/>
      <c r="AH2" s="492"/>
      <c r="AI2" s="636"/>
      <c r="AJ2" s="223"/>
      <c r="AK2" s="492"/>
      <c r="AL2" s="492"/>
      <c r="AM2" s="638"/>
      <c r="AN2" s="640" t="s">
        <v>604</v>
      </c>
      <c r="AO2" s="492"/>
      <c r="AQ2" s="632"/>
      <c r="AR2" s="643" t="s">
        <v>605</v>
      </c>
    </row>
    <row r="3" spans="1:49" ht="12" customHeight="1" x14ac:dyDescent="0.3">
      <c r="A3" s="227"/>
      <c r="B3" s="228"/>
      <c r="C3" s="229"/>
      <c r="D3" s="228"/>
      <c r="E3" s="228"/>
      <c r="F3" s="228"/>
      <c r="G3" s="228"/>
      <c r="H3" s="228"/>
      <c r="I3" s="228"/>
      <c r="J3" s="228"/>
      <c r="K3" s="229"/>
      <c r="L3" s="230"/>
      <c r="M3" s="230"/>
      <c r="N3" s="230"/>
      <c r="O3" s="230"/>
      <c r="P3" s="228"/>
      <c r="Q3" s="228"/>
      <c r="R3" s="238"/>
      <c r="S3" s="238"/>
      <c r="T3" s="238"/>
      <c r="Z3" s="624"/>
      <c r="AA3" s="627"/>
      <c r="AC3" s="630"/>
      <c r="AD3" s="624"/>
      <c r="AE3" s="635"/>
      <c r="AG3" s="492"/>
      <c r="AH3" s="492"/>
      <c r="AI3" s="636"/>
      <c r="AJ3" s="223"/>
      <c r="AK3" s="492"/>
      <c r="AL3" s="492"/>
      <c r="AM3" s="638"/>
      <c r="AN3" s="641"/>
      <c r="AO3" s="492"/>
      <c r="AQ3" s="632"/>
      <c r="AR3" s="644"/>
    </row>
    <row r="4" spans="1:49" s="82" customFormat="1" ht="39.75" customHeight="1" x14ac:dyDescent="0.3">
      <c r="A4" s="646" t="s">
        <v>0</v>
      </c>
      <c r="B4" s="648" t="s">
        <v>1</v>
      </c>
      <c r="C4" s="649" t="s">
        <v>2</v>
      </c>
      <c r="D4" s="649" t="s">
        <v>3</v>
      </c>
      <c r="E4" s="649" t="s">
        <v>4</v>
      </c>
      <c r="F4" s="649" t="s">
        <v>5</v>
      </c>
      <c r="G4" s="649" t="s">
        <v>6</v>
      </c>
      <c r="H4" s="649" t="s">
        <v>7</v>
      </c>
      <c r="I4" s="484" t="s">
        <v>589</v>
      </c>
      <c r="J4" s="648" t="s">
        <v>19</v>
      </c>
      <c r="K4" s="648" t="s">
        <v>9</v>
      </c>
      <c r="L4" s="648" t="s">
        <v>10</v>
      </c>
      <c r="M4" s="648" t="s">
        <v>11</v>
      </c>
      <c r="N4" s="648" t="s">
        <v>12</v>
      </c>
      <c r="O4" s="648" t="s">
        <v>13</v>
      </c>
      <c r="P4" s="648" t="s">
        <v>17</v>
      </c>
      <c r="Q4" s="490" t="s">
        <v>14</v>
      </c>
      <c r="R4" s="491" t="s">
        <v>16</v>
      </c>
      <c r="S4" s="491" t="s">
        <v>20</v>
      </c>
      <c r="T4" s="663" t="s">
        <v>15</v>
      </c>
      <c r="U4" s="654" t="s">
        <v>606</v>
      </c>
      <c r="V4" s="654" t="s">
        <v>322</v>
      </c>
      <c r="W4" s="656" t="s">
        <v>718</v>
      </c>
      <c r="X4" s="659" t="s">
        <v>719</v>
      </c>
      <c r="Y4" s="650" t="s">
        <v>720</v>
      </c>
      <c r="Z4" s="624"/>
      <c r="AA4" s="627"/>
      <c r="AB4" s="235"/>
      <c r="AC4" s="630"/>
      <c r="AD4" s="624"/>
      <c r="AE4" s="635"/>
      <c r="AG4" s="242"/>
      <c r="AH4" s="242"/>
      <c r="AI4" s="636"/>
      <c r="AJ4" s="243"/>
      <c r="AK4" s="242"/>
      <c r="AL4" s="242"/>
      <c r="AM4" s="638"/>
      <c r="AN4" s="641"/>
      <c r="AO4" s="242"/>
      <c r="AQ4" s="632"/>
      <c r="AR4" s="644"/>
      <c r="AS4" s="127"/>
    </row>
    <row r="5" spans="1:49" s="82" customFormat="1" ht="13.7" customHeight="1" x14ac:dyDescent="0.3">
      <c r="A5" s="647"/>
      <c r="B5" s="617"/>
      <c r="C5" s="649"/>
      <c r="D5" s="619"/>
      <c r="E5" s="619"/>
      <c r="F5" s="619"/>
      <c r="G5" s="619"/>
      <c r="H5" s="619"/>
      <c r="I5" s="244">
        <f>'[1]Исходные данные'!$C$6</f>
        <v>0.30199999999999999</v>
      </c>
      <c r="J5" s="662"/>
      <c r="K5" s="662"/>
      <c r="L5" s="662"/>
      <c r="M5" s="662"/>
      <c r="N5" s="662"/>
      <c r="O5" s="662"/>
      <c r="P5" s="662"/>
      <c r="Q5" s="245">
        <f>'[2]условия, ФОТ'!$C$7</f>
        <v>0.66500000000000004</v>
      </c>
      <c r="R5" s="246">
        <v>0.13500000000000001</v>
      </c>
      <c r="S5" s="246">
        <v>0.2</v>
      </c>
      <c r="T5" s="664"/>
      <c r="U5" s="655"/>
      <c r="V5" s="655"/>
      <c r="W5" s="657"/>
      <c r="X5" s="659"/>
      <c r="Y5" s="650"/>
      <c r="Z5" s="624"/>
      <c r="AA5" s="627"/>
      <c r="AB5" s="235"/>
      <c r="AC5" s="630"/>
      <c r="AD5" s="624"/>
      <c r="AE5" s="635"/>
      <c r="AG5" s="242"/>
      <c r="AH5" s="242"/>
      <c r="AI5" s="636"/>
      <c r="AJ5" s="243"/>
      <c r="AK5" s="242"/>
      <c r="AL5" s="242"/>
      <c r="AM5" s="638"/>
      <c r="AN5" s="641"/>
      <c r="AO5" s="242"/>
      <c r="AQ5" s="632"/>
      <c r="AR5" s="644"/>
      <c r="AS5" s="127"/>
    </row>
    <row r="6" spans="1:49" s="256" customFormat="1" ht="11.25" customHeight="1" x14ac:dyDescent="0.3">
      <c r="A6" s="247">
        <v>1</v>
      </c>
      <c r="B6" s="248">
        <v>2</v>
      </c>
      <c r="C6" s="249">
        <v>3</v>
      </c>
      <c r="D6" s="248">
        <v>4</v>
      </c>
      <c r="E6" s="248">
        <v>5</v>
      </c>
      <c r="F6" s="248">
        <v>6</v>
      </c>
      <c r="G6" s="248">
        <v>7</v>
      </c>
      <c r="H6" s="248">
        <v>8</v>
      </c>
      <c r="I6" s="248">
        <v>9</v>
      </c>
      <c r="J6" s="248">
        <v>10</v>
      </c>
      <c r="K6" s="249">
        <v>11</v>
      </c>
      <c r="L6" s="249">
        <v>12</v>
      </c>
      <c r="M6" s="249">
        <v>13</v>
      </c>
      <c r="N6" s="249">
        <v>14</v>
      </c>
      <c r="O6" s="249">
        <v>15</v>
      </c>
      <c r="P6" s="248">
        <v>16</v>
      </c>
      <c r="Q6" s="248">
        <v>17</v>
      </c>
      <c r="R6" s="250">
        <v>18</v>
      </c>
      <c r="S6" s="250">
        <v>19</v>
      </c>
      <c r="T6" s="250">
        <v>20</v>
      </c>
      <c r="U6" s="251"/>
      <c r="V6" s="251"/>
      <c r="W6" s="657"/>
      <c r="X6" s="659"/>
      <c r="Y6" s="650"/>
      <c r="Z6" s="624"/>
      <c r="AA6" s="627"/>
      <c r="AB6" s="255"/>
      <c r="AC6" s="630"/>
      <c r="AD6" s="624"/>
      <c r="AE6" s="635"/>
      <c r="AG6" s="257"/>
      <c r="AH6" s="257"/>
      <c r="AI6" s="636"/>
      <c r="AJ6" s="258"/>
      <c r="AK6" s="257"/>
      <c r="AL6" s="257"/>
      <c r="AM6" s="638"/>
      <c r="AN6" s="641"/>
      <c r="AO6" s="257"/>
      <c r="AQ6" s="632"/>
      <c r="AR6" s="644"/>
      <c r="AS6" s="259"/>
    </row>
    <row r="7" spans="1:49" s="86" customFormat="1" ht="20.25" customHeight="1" x14ac:dyDescent="0.3">
      <c r="A7" s="651" t="s">
        <v>610</v>
      </c>
      <c r="B7" s="652"/>
      <c r="C7" s="652"/>
      <c r="D7" s="652"/>
      <c r="E7" s="652"/>
      <c r="F7" s="652"/>
      <c r="G7" s="652"/>
      <c r="H7" s="652"/>
      <c r="I7" s="652"/>
      <c r="J7" s="652"/>
      <c r="K7" s="652"/>
      <c r="L7" s="652"/>
      <c r="M7" s="652"/>
      <c r="N7" s="652"/>
      <c r="O7" s="652"/>
      <c r="P7" s="652"/>
      <c r="Q7" s="652"/>
      <c r="R7" s="652"/>
      <c r="S7" s="652"/>
      <c r="T7" s="653"/>
      <c r="U7" s="260"/>
      <c r="V7" s="261"/>
      <c r="W7" s="658"/>
      <c r="X7" s="659"/>
      <c r="Y7" s="650"/>
      <c r="Z7" s="625"/>
      <c r="AA7" s="628"/>
      <c r="AB7" s="235"/>
      <c r="AC7" s="631"/>
      <c r="AD7" s="625"/>
      <c r="AE7" s="635"/>
      <c r="AG7" s="262"/>
      <c r="AH7" s="262"/>
      <c r="AI7" s="637"/>
      <c r="AJ7" s="263"/>
      <c r="AK7" s="262"/>
      <c r="AL7" s="262"/>
      <c r="AM7" s="639"/>
      <c r="AN7" s="642"/>
      <c r="AO7" s="262"/>
      <c r="AQ7" s="632"/>
      <c r="AR7" s="645"/>
      <c r="AS7" s="127"/>
    </row>
    <row r="8" spans="1:49" s="82" customFormat="1" ht="45.95" customHeight="1" x14ac:dyDescent="0.3">
      <c r="A8" s="477" t="s">
        <v>611</v>
      </c>
      <c r="B8" s="477" t="s">
        <v>612</v>
      </c>
      <c r="C8" s="475" t="s">
        <v>613</v>
      </c>
      <c r="D8" s="484" t="s">
        <v>18</v>
      </c>
      <c r="E8" s="484" t="s">
        <v>163</v>
      </c>
      <c r="F8" s="471">
        <f>VLOOKUP(E8,'[2]условия, ФОТ'!$A$14:$I$28,9, FALSE)</f>
        <v>272.93</v>
      </c>
      <c r="G8" s="478">
        <v>2</v>
      </c>
      <c r="H8" s="471">
        <f>ROUND(F8*G8,2)</f>
        <v>545.86</v>
      </c>
      <c r="I8" s="471">
        <f>ROUND(H8*$I$5,2)</f>
        <v>164.85</v>
      </c>
      <c r="J8" s="471">
        <f>H8+I8</f>
        <v>710.71</v>
      </c>
      <c r="K8" s="479"/>
      <c r="L8" s="471"/>
      <c r="M8" s="471"/>
      <c r="N8" s="471"/>
      <c r="O8" s="471"/>
      <c r="P8" s="471">
        <f>J8+O8</f>
        <v>710.71</v>
      </c>
      <c r="Q8" s="471">
        <f>ROUND(P8*$Q$5,2)</f>
        <v>472.62</v>
      </c>
      <c r="R8" s="472">
        <f>ROUND(T8/1.2,2)</f>
        <v>1352.5</v>
      </c>
      <c r="S8" s="472">
        <f>ROUND(R8*$S$5,2)</f>
        <v>270.5</v>
      </c>
      <c r="T8" s="472">
        <f>ROUND((P8+Q8)*(1+Y8)*1.2,0)</f>
        <v>1623</v>
      </c>
      <c r="U8" s="269">
        <v>1206</v>
      </c>
      <c r="V8" s="270">
        <f>T8/U8*100-100</f>
        <v>34.577114427860693</v>
      </c>
      <c r="W8" s="498">
        <v>1341</v>
      </c>
      <c r="X8" s="470">
        <f>T8/W8*100-100</f>
        <v>21.029082774049229</v>
      </c>
      <c r="Y8" s="499">
        <v>0.14269999999999999</v>
      </c>
      <c r="Z8" s="487" t="e">
        <f>#REF!*Y8</f>
        <v>#REF!</v>
      </c>
      <c r="AA8" s="278"/>
      <c r="AB8" s="279">
        <v>1287.33</v>
      </c>
      <c r="AC8" s="498"/>
      <c r="AD8" s="500">
        <f>T8-W8</f>
        <v>282</v>
      </c>
      <c r="AE8" s="284"/>
      <c r="AG8" s="285">
        <v>2.5999999999999999E-2</v>
      </c>
      <c r="AH8" s="285">
        <f>IF(AG8&lt;0,-AG8+1,AG8)</f>
        <v>2.5999999999999999E-2</v>
      </c>
      <c r="AI8" s="285">
        <v>0</v>
      </c>
      <c r="AK8" s="286"/>
      <c r="AL8" s="287"/>
      <c r="AM8" s="285">
        <v>1.034</v>
      </c>
      <c r="AN8" s="288">
        <v>2.5999999999999999E-2</v>
      </c>
      <c r="AO8" s="285" t="e">
        <f>#REF!-AM8</f>
        <v>#REF!</v>
      </c>
      <c r="AQ8" s="288">
        <f>Y8-AN8</f>
        <v>0.1167</v>
      </c>
      <c r="AR8" s="280">
        <v>1287</v>
      </c>
      <c r="AS8" s="127" t="b">
        <f>W8=AR8</f>
        <v>0</v>
      </c>
      <c r="AT8" s="289" t="e">
        <f>ROUND(W8/T8*100-100,2)+#REF!</f>
        <v>#REF!</v>
      </c>
      <c r="AU8"/>
      <c r="AV8"/>
      <c r="AW8">
        <f>ROUND(T8/W8,3)</f>
        <v>1.21</v>
      </c>
    </row>
    <row r="9" spans="1:49" s="82" customFormat="1" ht="48.75" customHeight="1" x14ac:dyDescent="0.3">
      <c r="A9" s="477" t="s">
        <v>614</v>
      </c>
      <c r="B9" s="477" t="s">
        <v>615</v>
      </c>
      <c r="C9" s="475" t="s">
        <v>616</v>
      </c>
      <c r="D9" s="484" t="s">
        <v>18</v>
      </c>
      <c r="E9" s="484" t="s">
        <v>163</v>
      </c>
      <c r="F9" s="471">
        <f>VLOOKUP(E9,'[2]условия, ФОТ'!$A$14:$I$28,9, FALSE)</f>
        <v>272.93</v>
      </c>
      <c r="G9" s="478">
        <v>2</v>
      </c>
      <c r="H9" s="471">
        <f>ROUND(F9*G9,2)</f>
        <v>545.86</v>
      </c>
      <c r="I9" s="471">
        <f>ROUND(H9*$I$5,2)</f>
        <v>164.85</v>
      </c>
      <c r="J9" s="471">
        <f>H9+I9</f>
        <v>710.71</v>
      </c>
      <c r="K9" s="479"/>
      <c r="L9" s="471"/>
      <c r="M9" s="471"/>
      <c r="N9" s="471"/>
      <c r="O9" s="471"/>
      <c r="P9" s="471">
        <f>J9+O9</f>
        <v>710.71</v>
      </c>
      <c r="Q9" s="471">
        <f>ROUND(P9*$Q$5,2)</f>
        <v>472.62</v>
      </c>
      <c r="R9" s="472">
        <f>ROUND(T9/1.2,2)</f>
        <v>1352.5</v>
      </c>
      <c r="S9" s="472">
        <f>ROUND(R9*$S$5,2)</f>
        <v>270.5</v>
      </c>
      <c r="T9" s="472">
        <f>ROUND((P9+Q9)*(1+Y9)*1.2,0)</f>
        <v>1623</v>
      </c>
      <c r="U9" s="269">
        <v>1206</v>
      </c>
      <c r="V9" s="270">
        <f>T9/U9*100-100</f>
        <v>34.577114427860693</v>
      </c>
      <c r="W9" s="498">
        <v>1341</v>
      </c>
      <c r="X9" s="470">
        <f>T9/W9*100-100</f>
        <v>21.029082774049229</v>
      </c>
      <c r="Y9" s="499">
        <v>0.14269999999999999</v>
      </c>
      <c r="Z9" s="487" t="e">
        <f>#REF!*Y9</f>
        <v>#REF!</v>
      </c>
      <c r="AA9" s="278"/>
      <c r="AB9" s="235">
        <v>1287.33</v>
      </c>
      <c r="AC9" s="280"/>
      <c r="AD9" s="500">
        <f>T9-W9</f>
        <v>282</v>
      </c>
      <c r="AE9" s="284"/>
      <c r="AG9" s="285">
        <v>2.5999999999999999E-2</v>
      </c>
      <c r="AH9" s="285">
        <f t="shared" ref="AH9:AH69" si="0">IF(AG9&lt;0,-AG9+1,AG9)</f>
        <v>2.5999999999999999E-2</v>
      </c>
      <c r="AI9" s="285">
        <v>0</v>
      </c>
      <c r="AK9" s="286"/>
      <c r="AL9" s="287"/>
      <c r="AM9" s="285">
        <v>1.034</v>
      </c>
      <c r="AN9" s="288">
        <v>2.5999999999999999E-2</v>
      </c>
      <c r="AO9" s="285" t="e">
        <f>#REF!-AM9</f>
        <v>#REF!</v>
      </c>
      <c r="AQ9" s="288">
        <f>Y9-AN9</f>
        <v>0.1167</v>
      </c>
      <c r="AR9" s="280">
        <v>1287</v>
      </c>
      <c r="AS9" s="127" t="b">
        <f>W9=AR9</f>
        <v>0</v>
      </c>
      <c r="AT9" s="289" t="e">
        <f>ROUND(W9/T9*100-100,2)+#REF!</f>
        <v>#REF!</v>
      </c>
      <c r="AU9"/>
      <c r="AV9"/>
      <c r="AW9">
        <f>ROUND(T9/W9,3)</f>
        <v>1.21</v>
      </c>
    </row>
    <row r="10" spans="1:49" s="86" customFormat="1" ht="23.25" customHeight="1" x14ac:dyDescent="0.3">
      <c r="A10" s="651" t="s">
        <v>617</v>
      </c>
      <c r="B10" s="652"/>
      <c r="C10" s="652"/>
      <c r="D10" s="652"/>
      <c r="E10" s="652"/>
      <c r="F10" s="652"/>
      <c r="G10" s="652"/>
      <c r="H10" s="652"/>
      <c r="I10" s="652"/>
      <c r="J10" s="652"/>
      <c r="K10" s="652"/>
      <c r="L10" s="652"/>
      <c r="M10" s="652"/>
      <c r="N10" s="652"/>
      <c r="O10" s="652"/>
      <c r="P10" s="652"/>
      <c r="Q10" s="652"/>
      <c r="R10" s="652"/>
      <c r="S10" s="652"/>
      <c r="T10" s="653"/>
      <c r="U10" s="290"/>
      <c r="V10" s="261"/>
      <c r="W10" s="498"/>
      <c r="X10" s="470"/>
      <c r="Y10" s="499"/>
      <c r="Z10" s="487"/>
      <c r="AA10" s="278"/>
      <c r="AB10" s="235"/>
      <c r="AC10" s="291"/>
      <c r="AD10" s="468"/>
      <c r="AE10" s="284"/>
      <c r="AG10" s="292"/>
      <c r="AH10" s="285"/>
      <c r="AI10" s="285"/>
      <c r="AK10" s="286"/>
      <c r="AL10" s="293"/>
      <c r="AM10" s="292"/>
      <c r="AN10" s="294"/>
      <c r="AO10" s="285"/>
      <c r="AQ10" s="288"/>
      <c r="AR10" s="85"/>
      <c r="AS10" s="127"/>
      <c r="AT10" s="289"/>
      <c r="AU10"/>
      <c r="AV10"/>
      <c r="AW10"/>
    </row>
    <row r="11" spans="1:49" s="82" customFormat="1" ht="20.25" customHeight="1" x14ac:dyDescent="0.25">
      <c r="A11" s="647" t="s">
        <v>618</v>
      </c>
      <c r="B11" s="647" t="s">
        <v>169</v>
      </c>
      <c r="C11" s="660" t="s">
        <v>21</v>
      </c>
      <c r="D11" s="649" t="s">
        <v>22</v>
      </c>
      <c r="E11" s="484" t="s">
        <v>166</v>
      </c>
      <c r="F11" s="478">
        <f>VLOOKUP(E11,'[2]условия, ФОТ'!$A$14:$I$28,9, FALSE)</f>
        <v>251.34</v>
      </c>
      <c r="G11" s="478">
        <v>0.68</v>
      </c>
      <c r="H11" s="661">
        <f>ROUND((F11*G11+F12*G12),2)</f>
        <v>316.32</v>
      </c>
      <c r="I11" s="661">
        <f>ROUND(H11*$I$5,2)</f>
        <v>95.53</v>
      </c>
      <c r="J11" s="661">
        <f>H11+I11</f>
        <v>411.85</v>
      </c>
      <c r="K11" s="669"/>
      <c r="L11" s="661"/>
      <c r="M11" s="661"/>
      <c r="N11" s="661"/>
      <c r="O11" s="661">
        <f>SUM(O13:O19)</f>
        <v>117.25</v>
      </c>
      <c r="P11" s="661">
        <f>J11+O11</f>
        <v>529.1</v>
      </c>
      <c r="Q11" s="661">
        <f>ROUND(P11*$Q$5,2)</f>
        <v>351.85</v>
      </c>
      <c r="R11" s="665">
        <f>ROUND(T11/1.2,2)</f>
        <v>991.67</v>
      </c>
      <c r="S11" s="665">
        <f>ROUND(R11*$S$5,2)</f>
        <v>198.33</v>
      </c>
      <c r="T11" s="665">
        <f>ROUND((P11+Q11)*(1+Y11)*1.2,0)</f>
        <v>1190</v>
      </c>
      <c r="U11" s="666">
        <v>907</v>
      </c>
      <c r="V11" s="668">
        <f>T11/U11*100-100</f>
        <v>31.201764057331872</v>
      </c>
      <c r="W11" s="678">
        <v>1009</v>
      </c>
      <c r="X11" s="679">
        <f>T11/W11*100-100</f>
        <v>17.938553022794849</v>
      </c>
      <c r="Y11" s="680">
        <v>0.12559999999999999</v>
      </c>
      <c r="Z11" s="681" t="e">
        <f>#REF!*Y11</f>
        <v>#REF!</v>
      </c>
      <c r="AA11" s="278"/>
      <c r="AB11" s="235">
        <v>967.82400000000007</v>
      </c>
      <c r="AC11" s="674"/>
      <c r="AD11" s="683">
        <f>T11-W11</f>
        <v>181</v>
      </c>
      <c r="AE11" s="284"/>
      <c r="AG11" s="670">
        <v>0.1414</v>
      </c>
      <c r="AH11" s="670">
        <f t="shared" si="0"/>
        <v>0.1414</v>
      </c>
      <c r="AI11" s="670">
        <v>0</v>
      </c>
      <c r="AK11" s="676"/>
      <c r="AL11" s="287"/>
      <c r="AM11" s="670">
        <v>1.034</v>
      </c>
      <c r="AN11" s="672">
        <v>0.1414</v>
      </c>
      <c r="AO11" s="670" t="e">
        <f>#REF!-AM11</f>
        <v>#REF!</v>
      </c>
      <c r="AQ11" s="672">
        <f>Y11-AN11</f>
        <v>-1.5800000000000008E-2</v>
      </c>
      <c r="AR11" s="674">
        <v>968</v>
      </c>
      <c r="AS11" s="675" t="b">
        <f>W11=AR11</f>
        <v>0</v>
      </c>
      <c r="AT11" s="289" t="e">
        <f>ROUND(W11/T11*100-100,2)+#REF!</f>
        <v>#REF!</v>
      </c>
      <c r="AU11"/>
      <c r="AV11"/>
      <c r="AW11">
        <f>ROUND(T11/W11,3)</f>
        <v>1.179</v>
      </c>
    </row>
    <row r="12" spans="1:49" s="82" customFormat="1" ht="21" customHeight="1" x14ac:dyDescent="0.25">
      <c r="A12" s="647"/>
      <c r="B12" s="647"/>
      <c r="C12" s="660"/>
      <c r="D12" s="649"/>
      <c r="E12" s="484" t="s">
        <v>162</v>
      </c>
      <c r="F12" s="471">
        <f>VLOOKUP(E12,'[2]условия, ФОТ'!$A$14:$I$28,9, FALSE)</f>
        <v>213.84</v>
      </c>
      <c r="G12" s="478">
        <v>0.68</v>
      </c>
      <c r="H12" s="661"/>
      <c r="I12" s="661"/>
      <c r="J12" s="661"/>
      <c r="K12" s="669"/>
      <c r="L12" s="661"/>
      <c r="M12" s="661"/>
      <c r="N12" s="661"/>
      <c r="O12" s="661"/>
      <c r="P12" s="661"/>
      <c r="Q12" s="661">
        <f>ROUND(P12*$Q$5,2)</f>
        <v>0</v>
      </c>
      <c r="R12" s="665">
        <f>ROUND(T12/1.18,2)</f>
        <v>0</v>
      </c>
      <c r="S12" s="665">
        <f>ROUND(R12*$S$5,2)</f>
        <v>0</v>
      </c>
      <c r="T12" s="665">
        <f>ROUND((P12+Q12)*(1+$R$5)*1.18,0)</f>
        <v>0</v>
      </c>
      <c r="U12" s="667"/>
      <c r="V12" s="668"/>
      <c r="W12" s="678">
        <v>0</v>
      </c>
      <c r="X12" s="679"/>
      <c r="Y12" s="680"/>
      <c r="Z12" s="682"/>
      <c r="AA12" s="278"/>
      <c r="AB12" s="235"/>
      <c r="AC12" s="674"/>
      <c r="AD12" s="684"/>
      <c r="AE12" s="284"/>
      <c r="AG12" s="671"/>
      <c r="AH12" s="671"/>
      <c r="AI12" s="671"/>
      <c r="AK12" s="677"/>
      <c r="AL12" s="287"/>
      <c r="AM12" s="671"/>
      <c r="AN12" s="673"/>
      <c r="AO12" s="671"/>
      <c r="AQ12" s="673"/>
      <c r="AR12" s="674"/>
      <c r="AS12" s="675"/>
      <c r="AT12" s="289"/>
      <c r="AU12"/>
      <c r="AV12"/>
      <c r="AW12"/>
    </row>
    <row r="13" spans="1:49" s="82" customFormat="1" outlineLevel="1" x14ac:dyDescent="0.3">
      <c r="A13" s="477"/>
      <c r="B13" s="452"/>
      <c r="C13" s="479"/>
      <c r="D13" s="452"/>
      <c r="E13" s="452"/>
      <c r="F13" s="452"/>
      <c r="G13" s="452"/>
      <c r="H13" s="452"/>
      <c r="I13" s="452"/>
      <c r="J13" s="295" t="s">
        <v>366</v>
      </c>
      <c r="K13" s="296" t="s">
        <v>323</v>
      </c>
      <c r="L13" s="478" t="str">
        <f>VLOOKUP(K13,[2]материалы!$A$5:$G$31,5, FALSE)</f>
        <v>м3</v>
      </c>
      <c r="M13" s="471">
        <f>VLOOKUP(K13,[2]материалы!$A$5:$G$34,7, FALSE)</f>
        <v>486.11</v>
      </c>
      <c r="N13" s="478">
        <v>8.7499999999999994E-2</v>
      </c>
      <c r="O13" s="297">
        <f>ROUND(M13*N13,2)</f>
        <v>42.53</v>
      </c>
      <c r="P13" s="452"/>
      <c r="Q13" s="452"/>
      <c r="R13" s="298"/>
      <c r="S13" s="298"/>
      <c r="T13" s="298"/>
      <c r="U13" s="299"/>
      <c r="V13" s="300"/>
      <c r="W13" s="498"/>
      <c r="X13" s="470"/>
      <c r="Y13" s="499"/>
      <c r="Z13" s="487"/>
      <c r="AA13" s="278"/>
      <c r="AB13" s="235"/>
      <c r="AC13" s="467"/>
      <c r="AD13" s="468"/>
      <c r="AE13" s="284"/>
      <c r="AG13" s="285"/>
      <c r="AH13" s="285"/>
      <c r="AI13" s="285"/>
      <c r="AK13" s="286"/>
      <c r="AL13" s="287"/>
      <c r="AM13" s="285"/>
      <c r="AN13" s="288"/>
      <c r="AO13" s="285"/>
      <c r="AQ13" s="288"/>
      <c r="AR13" s="467"/>
      <c r="AS13" s="127"/>
      <c r="AT13" s="289"/>
      <c r="AU13"/>
      <c r="AV13"/>
      <c r="AW13"/>
    </row>
    <row r="14" spans="1:49" s="82" customFormat="1" outlineLevel="1" x14ac:dyDescent="0.3">
      <c r="A14" s="477"/>
      <c r="B14" s="452"/>
      <c r="C14" s="479"/>
      <c r="D14" s="452"/>
      <c r="E14" s="452"/>
      <c r="F14" s="452"/>
      <c r="G14" s="452"/>
      <c r="H14" s="452"/>
      <c r="I14" s="452"/>
      <c r="J14" s="452"/>
      <c r="K14" s="296" t="s">
        <v>324</v>
      </c>
      <c r="L14" s="478" t="str">
        <f>VLOOKUP(K14,[2]материалы!$A$5:$G$31,5, FALSE)</f>
        <v>м3</v>
      </c>
      <c r="M14" s="471">
        <f>VLOOKUP(K14,[2]материалы!$A$5:$G$34,7, FALSE)</f>
        <v>152.78</v>
      </c>
      <c r="N14" s="478">
        <v>0.15</v>
      </c>
      <c r="O14" s="297">
        <f>ROUND(M14*N14,2)</f>
        <v>22.92</v>
      </c>
      <c r="P14" s="452"/>
      <c r="Q14" s="452"/>
      <c r="R14" s="298"/>
      <c r="S14" s="298"/>
      <c r="T14" s="298"/>
      <c r="U14" s="299"/>
      <c r="V14" s="300"/>
      <c r="W14" s="498"/>
      <c r="X14" s="470"/>
      <c r="Y14" s="499"/>
      <c r="Z14" s="487"/>
      <c r="AA14" s="278"/>
      <c r="AB14" s="235"/>
      <c r="AC14" s="467"/>
      <c r="AD14" s="468"/>
      <c r="AE14" s="284"/>
      <c r="AG14" s="285"/>
      <c r="AH14" s="285"/>
      <c r="AI14" s="285"/>
      <c r="AK14" s="286"/>
      <c r="AL14" s="287"/>
      <c r="AM14" s="285"/>
      <c r="AN14" s="288"/>
      <c r="AO14" s="285"/>
      <c r="AQ14" s="288"/>
      <c r="AR14" s="467"/>
      <c r="AS14" s="127"/>
      <c r="AT14" s="289"/>
      <c r="AU14"/>
      <c r="AV14"/>
      <c r="AW14"/>
    </row>
    <row r="15" spans="1:49" s="82" customFormat="1" ht="38.25" outlineLevel="1" x14ac:dyDescent="0.3">
      <c r="A15" s="477"/>
      <c r="B15" s="452"/>
      <c r="C15" s="479"/>
      <c r="D15" s="452"/>
      <c r="E15" s="452"/>
      <c r="F15" s="452"/>
      <c r="G15" s="452"/>
      <c r="H15" s="452"/>
      <c r="I15" s="452"/>
      <c r="J15" s="452"/>
      <c r="K15" s="296" t="s">
        <v>341</v>
      </c>
      <c r="L15" s="478" t="str">
        <f>VLOOKUP(K15,[2]материалы!$A$5:$G$31,5, FALSE)</f>
        <v>кг</v>
      </c>
      <c r="M15" s="471">
        <f>VLOOKUP(K15,[2]материалы!$A$5:$G$34,7, FALSE)</f>
        <v>125</v>
      </c>
      <c r="N15" s="478">
        <v>0.1</v>
      </c>
      <c r="O15" s="297">
        <f t="shared" ref="O15:O19" si="1">ROUND(M15*N15,2)</f>
        <v>12.5</v>
      </c>
      <c r="P15" s="452"/>
      <c r="Q15" s="452"/>
      <c r="R15" s="298"/>
      <c r="S15" s="298"/>
      <c r="T15" s="298"/>
      <c r="U15" s="299"/>
      <c r="V15" s="300"/>
      <c r="W15" s="498"/>
      <c r="X15" s="470"/>
      <c r="Y15" s="499"/>
      <c r="Z15" s="487"/>
      <c r="AA15" s="278"/>
      <c r="AB15" s="235"/>
      <c r="AC15" s="467"/>
      <c r="AD15" s="468"/>
      <c r="AE15" s="284"/>
      <c r="AG15" s="285"/>
      <c r="AH15" s="285"/>
      <c r="AI15" s="285"/>
      <c r="AK15" s="286"/>
      <c r="AL15" s="287"/>
      <c r="AM15" s="285"/>
      <c r="AN15" s="288"/>
      <c r="AO15" s="285"/>
      <c r="AQ15" s="288"/>
      <c r="AR15" s="467"/>
      <c r="AS15" s="127"/>
      <c r="AT15" s="289"/>
      <c r="AU15"/>
      <c r="AV15"/>
      <c r="AW15"/>
    </row>
    <row r="16" spans="1:49" s="82" customFormat="1" ht="30" customHeight="1" outlineLevel="1" x14ac:dyDescent="0.3">
      <c r="A16" s="477"/>
      <c r="B16" s="452"/>
      <c r="C16" s="479"/>
      <c r="D16" s="452"/>
      <c r="E16" s="452"/>
      <c r="F16" s="452"/>
      <c r="G16" s="452"/>
      <c r="H16" s="452"/>
      <c r="I16" s="452"/>
      <c r="J16" s="452"/>
      <c r="K16" s="296" t="s">
        <v>346</v>
      </c>
      <c r="L16" s="478" t="str">
        <f>VLOOKUP(K16,[2]материалы!$A$5:$G$31,5, FALSE)</f>
        <v>шт.</v>
      </c>
      <c r="M16" s="471">
        <f>VLOOKUP(K16,[2]материалы!$A$5:$G$34,7, FALSE)</f>
        <v>29.17</v>
      </c>
      <c r="N16" s="478">
        <v>1</v>
      </c>
      <c r="O16" s="297">
        <f t="shared" si="1"/>
        <v>29.17</v>
      </c>
      <c r="P16" s="452"/>
      <c r="Q16" s="452"/>
      <c r="R16" s="298"/>
      <c r="S16" s="298"/>
      <c r="T16" s="298"/>
      <c r="U16" s="299"/>
      <c r="V16" s="300"/>
      <c r="W16" s="498"/>
      <c r="X16" s="470"/>
      <c r="Y16" s="499"/>
      <c r="Z16" s="487"/>
      <c r="AA16" s="278"/>
      <c r="AB16" s="235"/>
      <c r="AC16" s="467"/>
      <c r="AD16" s="468"/>
      <c r="AE16" s="284"/>
      <c r="AG16" s="285"/>
      <c r="AH16" s="285"/>
      <c r="AI16" s="285"/>
      <c r="AK16" s="286"/>
      <c r="AL16" s="287"/>
      <c r="AM16" s="285"/>
      <c r="AN16" s="288"/>
      <c r="AO16" s="285"/>
      <c r="AQ16" s="288"/>
      <c r="AR16" s="467"/>
      <c r="AS16" s="127"/>
      <c r="AT16" s="289"/>
      <c r="AU16"/>
      <c r="AV16"/>
      <c r="AW16"/>
    </row>
    <row r="17" spans="1:49" s="82" customFormat="1" ht="28.5" customHeight="1" outlineLevel="1" x14ac:dyDescent="0.3">
      <c r="A17" s="477"/>
      <c r="B17" s="452"/>
      <c r="C17" s="479"/>
      <c r="D17" s="452"/>
      <c r="E17" s="452"/>
      <c r="F17" s="452"/>
      <c r="G17" s="452"/>
      <c r="H17" s="452"/>
      <c r="I17" s="452"/>
      <c r="J17" s="452"/>
      <c r="K17" s="296" t="s">
        <v>342</v>
      </c>
      <c r="L17" s="478" t="str">
        <f>VLOOKUP(K17,[2]материалы!$A$5:$G$31,5, FALSE)</f>
        <v>шт.</v>
      </c>
      <c r="M17" s="471">
        <f>VLOOKUP(K17,[2]материалы!$A$5:$G$34,7, FALSE)</f>
        <v>37.5</v>
      </c>
      <c r="N17" s="478">
        <v>0.25</v>
      </c>
      <c r="O17" s="297">
        <f t="shared" si="1"/>
        <v>9.3800000000000008</v>
      </c>
      <c r="P17" s="452"/>
      <c r="Q17" s="452"/>
      <c r="R17" s="298"/>
      <c r="S17" s="298"/>
      <c r="T17" s="298"/>
      <c r="U17" s="299"/>
      <c r="V17" s="300"/>
      <c r="W17" s="498"/>
      <c r="X17" s="470"/>
      <c r="Y17" s="499"/>
      <c r="Z17" s="487"/>
      <c r="AA17" s="278"/>
      <c r="AB17" s="235"/>
      <c r="AC17" s="467"/>
      <c r="AD17" s="468"/>
      <c r="AE17" s="284"/>
      <c r="AG17" s="285"/>
      <c r="AH17" s="285"/>
      <c r="AI17" s="285"/>
      <c r="AK17" s="286"/>
      <c r="AL17" s="287"/>
      <c r="AM17" s="285"/>
      <c r="AN17" s="288"/>
      <c r="AO17" s="285"/>
      <c r="AQ17" s="288"/>
      <c r="AR17" s="467"/>
      <c r="AS17" s="127"/>
      <c r="AT17" s="289"/>
      <c r="AU17"/>
      <c r="AV17"/>
      <c r="AW17"/>
    </row>
    <row r="18" spans="1:49" s="82" customFormat="1" outlineLevel="1" x14ac:dyDescent="0.3">
      <c r="A18" s="477"/>
      <c r="B18" s="452"/>
      <c r="C18" s="479"/>
      <c r="D18" s="452"/>
      <c r="E18" s="452"/>
      <c r="F18" s="452"/>
      <c r="G18" s="452"/>
      <c r="H18" s="452"/>
      <c r="I18" s="452"/>
      <c r="J18" s="452"/>
      <c r="K18" s="296" t="s">
        <v>329</v>
      </c>
      <c r="L18" s="478" t="str">
        <f>VLOOKUP(K18,[2]материалы!$A$5:$G$31,5, FALSE)</f>
        <v>кг</v>
      </c>
      <c r="M18" s="471">
        <f>VLOOKUP(K18,[2]материалы!$A$5:$G$34,7, FALSE)</f>
        <v>79.17</v>
      </c>
      <c r="N18" s="301">
        <v>1E-3</v>
      </c>
      <c r="O18" s="297">
        <f t="shared" si="1"/>
        <v>0.08</v>
      </c>
      <c r="P18" s="452"/>
      <c r="Q18" s="452"/>
      <c r="R18" s="298"/>
      <c r="S18" s="298"/>
      <c r="T18" s="298"/>
      <c r="U18" s="299"/>
      <c r="V18" s="300"/>
      <c r="W18" s="498"/>
      <c r="X18" s="470"/>
      <c r="Y18" s="499"/>
      <c r="Z18" s="487"/>
      <c r="AA18" s="278"/>
      <c r="AB18" s="235"/>
      <c r="AC18" s="467"/>
      <c r="AD18" s="468"/>
      <c r="AE18" s="284"/>
      <c r="AG18" s="285"/>
      <c r="AH18" s="285"/>
      <c r="AI18" s="285"/>
      <c r="AK18" s="286"/>
      <c r="AL18" s="287"/>
      <c r="AM18" s="285"/>
      <c r="AN18" s="288"/>
      <c r="AO18" s="285"/>
      <c r="AQ18" s="288"/>
      <c r="AR18" s="467"/>
      <c r="AS18" s="127"/>
      <c r="AT18" s="289"/>
      <c r="AU18"/>
      <c r="AV18"/>
      <c r="AW18"/>
    </row>
    <row r="19" spans="1:49" s="82" customFormat="1" outlineLevel="1" x14ac:dyDescent="0.3">
      <c r="A19" s="477"/>
      <c r="B19" s="452"/>
      <c r="C19" s="479"/>
      <c r="D19" s="452"/>
      <c r="E19" s="452"/>
      <c r="F19" s="452"/>
      <c r="G19" s="452"/>
      <c r="H19" s="452"/>
      <c r="I19" s="452"/>
      <c r="J19" s="452"/>
      <c r="K19" s="296" t="s">
        <v>330</v>
      </c>
      <c r="L19" s="478" t="str">
        <f>VLOOKUP(K19,[2]материалы!$A$5:$G$31,5, FALSE)</f>
        <v>кг</v>
      </c>
      <c r="M19" s="471">
        <f>VLOOKUP(K19,[2]материалы!$A$5:$G$34,7, FALSE)</f>
        <v>66.67</v>
      </c>
      <c r="N19" s="478">
        <v>0.01</v>
      </c>
      <c r="O19" s="297">
        <f t="shared" si="1"/>
        <v>0.67</v>
      </c>
      <c r="P19" s="452"/>
      <c r="Q19" s="452"/>
      <c r="R19" s="298"/>
      <c r="S19" s="298"/>
      <c r="T19" s="298"/>
      <c r="U19" s="299"/>
      <c r="V19" s="300"/>
      <c r="W19" s="498"/>
      <c r="X19" s="470"/>
      <c r="Y19" s="499"/>
      <c r="Z19" s="487"/>
      <c r="AA19" s="278"/>
      <c r="AB19" s="235"/>
      <c r="AC19" s="467"/>
      <c r="AD19" s="468"/>
      <c r="AE19" s="284"/>
      <c r="AG19" s="285"/>
      <c r="AH19" s="285"/>
      <c r="AI19" s="285"/>
      <c r="AK19" s="286"/>
      <c r="AL19" s="287"/>
      <c r="AM19" s="285"/>
      <c r="AN19" s="288"/>
      <c r="AO19" s="285"/>
      <c r="AQ19" s="288"/>
      <c r="AR19" s="467"/>
      <c r="AS19" s="127"/>
      <c r="AT19" s="289"/>
      <c r="AU19"/>
      <c r="AV19"/>
      <c r="AW19"/>
    </row>
    <row r="20" spans="1:49" s="82" customFormat="1" ht="42.75" customHeight="1" x14ac:dyDescent="0.3">
      <c r="A20" s="477" t="s">
        <v>619</v>
      </c>
      <c r="B20" s="477" t="s">
        <v>169</v>
      </c>
      <c r="C20" s="475" t="s">
        <v>365</v>
      </c>
      <c r="D20" s="471" t="s">
        <v>22</v>
      </c>
      <c r="E20" s="471" t="s">
        <v>162</v>
      </c>
      <c r="F20" s="471">
        <f>VLOOKUP(E20,'[2]условия, ФОТ'!$A$14:$I$28,9, FALSE)</f>
        <v>213.84</v>
      </c>
      <c r="G20" s="471">
        <f>G12*0.7</f>
        <v>0.47599999999999998</v>
      </c>
      <c r="H20" s="471">
        <f>ROUND(F20*G20,2)</f>
        <v>101.79</v>
      </c>
      <c r="I20" s="471">
        <f>ROUND(H20*$I$5,2)</f>
        <v>30.74</v>
      </c>
      <c r="J20" s="471">
        <f>H20+I20</f>
        <v>132.53</v>
      </c>
      <c r="K20" s="296"/>
      <c r="L20" s="478"/>
      <c r="M20" s="471"/>
      <c r="N20" s="478"/>
      <c r="O20" s="471">
        <f>O21</f>
        <v>9.3800000000000008</v>
      </c>
      <c r="P20" s="471">
        <f>J20+O20</f>
        <v>141.91</v>
      </c>
      <c r="Q20" s="471">
        <f>ROUND(P20*$Q$5,2)</f>
        <v>94.37</v>
      </c>
      <c r="R20" s="472">
        <f>ROUND(T20/1.2,2)</f>
        <v>251.67</v>
      </c>
      <c r="S20" s="472">
        <f>ROUND(R20*$S$5,2)</f>
        <v>50.33</v>
      </c>
      <c r="T20" s="472">
        <f>ROUND((P20+Q20)*(1+Y20)*1.2,0)</f>
        <v>302</v>
      </c>
      <c r="U20" s="269">
        <v>220</v>
      </c>
      <c r="V20" s="270">
        <f>T20/U20*100-100</f>
        <v>37.27272727272728</v>
      </c>
      <c r="W20" s="498">
        <v>258</v>
      </c>
      <c r="X20" s="470">
        <f>T20/W20*100-100</f>
        <v>17.054263565891475</v>
      </c>
      <c r="Y20" s="499">
        <v>6.6699999999999995E-2</v>
      </c>
      <c r="Z20" s="487" t="e">
        <f>#REF!*Y20</f>
        <v>#REF!</v>
      </c>
      <c r="AA20" s="278"/>
      <c r="AB20" s="235">
        <v>234.71800000000002</v>
      </c>
      <c r="AC20" s="467"/>
      <c r="AD20" s="500">
        <f>T20-W20</f>
        <v>44</v>
      </c>
      <c r="AE20" s="284"/>
      <c r="AG20" s="285">
        <v>-7.9000000000000008E-3</v>
      </c>
      <c r="AH20" s="285">
        <f t="shared" si="0"/>
        <v>1.0079</v>
      </c>
      <c r="AI20" s="285">
        <v>1.042</v>
      </c>
      <c r="AJ20" s="286"/>
      <c r="AK20" s="286">
        <f>ROUND(W20*AI20,2)</f>
        <v>268.83999999999997</v>
      </c>
      <c r="AL20" s="287"/>
      <c r="AM20" s="285">
        <v>1.034</v>
      </c>
      <c r="AN20" s="288">
        <v>-7.9000000000000008E-3</v>
      </c>
      <c r="AO20" s="285" t="e">
        <f>#REF!-AM20</f>
        <v>#REF!</v>
      </c>
      <c r="AQ20" s="288">
        <f>Y20-AN20</f>
        <v>7.46E-2</v>
      </c>
      <c r="AR20" s="467">
        <v>248</v>
      </c>
      <c r="AS20" s="127" t="b">
        <f>W20=AR20</f>
        <v>0</v>
      </c>
      <c r="AT20" s="289" t="e">
        <f>ROUND(W20/T20*100-100,2)+#REF!</f>
        <v>#REF!</v>
      </c>
      <c r="AU20"/>
      <c r="AV20"/>
      <c r="AW20">
        <f>ROUND(T20/W20,3)</f>
        <v>1.171</v>
      </c>
    </row>
    <row r="21" spans="1:49" s="82" customFormat="1" ht="33" customHeight="1" outlineLevel="1" x14ac:dyDescent="0.3">
      <c r="A21" s="477"/>
      <c r="B21" s="452"/>
      <c r="C21" s="479"/>
      <c r="D21" s="452"/>
      <c r="E21" s="452"/>
      <c r="F21" s="452"/>
      <c r="G21" s="452"/>
      <c r="H21" s="452"/>
      <c r="I21" s="452"/>
      <c r="J21" s="295" t="s">
        <v>366</v>
      </c>
      <c r="K21" s="296" t="s">
        <v>342</v>
      </c>
      <c r="L21" s="478" t="str">
        <f>VLOOKUP(K21,[2]материалы!$A$5:$G$31,5, FALSE)</f>
        <v>шт.</v>
      </c>
      <c r="M21" s="471">
        <f>VLOOKUP(K21,[2]материалы!$A$5:$G$34,7, FALSE)</f>
        <v>37.5</v>
      </c>
      <c r="N21" s="478">
        <v>0.25</v>
      </c>
      <c r="O21" s="471">
        <f t="shared" ref="O21" si="2">ROUND(M21*N21,2)</f>
        <v>9.3800000000000008</v>
      </c>
      <c r="P21" s="452"/>
      <c r="Q21" s="452"/>
      <c r="R21" s="298"/>
      <c r="S21" s="298"/>
      <c r="T21" s="298"/>
      <c r="U21" s="269"/>
      <c r="V21" s="300"/>
      <c r="W21" s="486"/>
      <c r="X21" s="470"/>
      <c r="Y21" s="499"/>
      <c r="Z21" s="487"/>
      <c r="AA21" s="278"/>
      <c r="AB21" s="235"/>
      <c r="AC21" s="467"/>
      <c r="AD21" s="468"/>
      <c r="AE21" s="284"/>
      <c r="AG21" s="285"/>
      <c r="AH21" s="285"/>
      <c r="AI21" s="285"/>
      <c r="AK21" s="286"/>
      <c r="AL21" s="287"/>
      <c r="AM21" s="285"/>
      <c r="AN21" s="288"/>
      <c r="AO21" s="285"/>
      <c r="AQ21" s="288"/>
      <c r="AR21" s="467"/>
      <c r="AS21" s="127"/>
      <c r="AT21" s="289"/>
      <c r="AU21"/>
      <c r="AV21"/>
      <c r="AW21"/>
    </row>
    <row r="22" spans="1:49" s="82" customFormat="1" ht="15" customHeight="1" x14ac:dyDescent="0.25">
      <c r="A22" s="647" t="s">
        <v>620</v>
      </c>
      <c r="B22" s="647" t="s">
        <v>621</v>
      </c>
      <c r="C22" s="660" t="s">
        <v>622</v>
      </c>
      <c r="D22" s="649" t="s">
        <v>623</v>
      </c>
      <c r="E22" s="484" t="s">
        <v>166</v>
      </c>
      <c r="F22" s="471">
        <f>VLOOKUP(E22,'[2]условия, ФОТ'!$A$14:$I$28,9, FALSE)</f>
        <v>251.34</v>
      </c>
      <c r="G22" s="478">
        <v>0.49</v>
      </c>
      <c r="H22" s="661">
        <f>ROUND((F22*G22+F23*G23),2)</f>
        <v>227.94</v>
      </c>
      <c r="I22" s="661">
        <f>ROUND(H22*$I$5,2)</f>
        <v>68.84</v>
      </c>
      <c r="J22" s="661">
        <f>H22+I22</f>
        <v>296.77999999999997</v>
      </c>
      <c r="K22" s="660"/>
      <c r="L22" s="649"/>
      <c r="M22" s="649"/>
      <c r="N22" s="649"/>
      <c r="O22" s="661">
        <f>SUM(O24)</f>
        <v>7.5</v>
      </c>
      <c r="P22" s="661">
        <f>J22+O22</f>
        <v>304.27999999999997</v>
      </c>
      <c r="Q22" s="661">
        <f>ROUND(P22*$Q$5,2)</f>
        <v>202.35</v>
      </c>
      <c r="R22" s="665">
        <f>ROUND(T22/1.2,2)</f>
        <v>590</v>
      </c>
      <c r="S22" s="665">
        <f>ROUND(R22*$S$5,2)</f>
        <v>118</v>
      </c>
      <c r="T22" s="665">
        <f>ROUND((P22+Q22)*(1+Y22)*1.2,0)</f>
        <v>708</v>
      </c>
      <c r="U22" s="666">
        <v>515</v>
      </c>
      <c r="V22" s="668">
        <f>T22/U22*100-100</f>
        <v>37.475728155339823</v>
      </c>
      <c r="W22" s="685">
        <v>573</v>
      </c>
      <c r="X22" s="679">
        <f>T22/W22*100-100</f>
        <v>23.560209424083766</v>
      </c>
      <c r="Y22" s="680">
        <v>0.1651</v>
      </c>
      <c r="Z22" s="681" t="e">
        <f>#REF!*Y22</f>
        <v>#REF!</v>
      </c>
      <c r="AA22" s="278"/>
      <c r="AB22" s="235">
        <v>550.08799999999997</v>
      </c>
      <c r="AC22" s="674"/>
      <c r="AD22" s="683">
        <f>T22-W22</f>
        <v>135</v>
      </c>
      <c r="AE22" s="284"/>
      <c r="AG22" s="670">
        <v>0.1104</v>
      </c>
      <c r="AH22" s="670">
        <f t="shared" si="0"/>
        <v>0.1104</v>
      </c>
      <c r="AI22" s="670">
        <v>0</v>
      </c>
      <c r="AK22" s="676"/>
      <c r="AL22" s="287"/>
      <c r="AM22" s="670">
        <v>1.034</v>
      </c>
      <c r="AN22" s="672">
        <v>0.1104</v>
      </c>
      <c r="AO22" s="670" t="e">
        <f>#REF!-AM22</f>
        <v>#REF!</v>
      </c>
      <c r="AQ22" s="672">
        <f>Y22-AN22</f>
        <v>5.4699999999999999E-2</v>
      </c>
      <c r="AR22" s="674">
        <v>550</v>
      </c>
      <c r="AS22" s="675" t="b">
        <f>W22=AR22</f>
        <v>0</v>
      </c>
      <c r="AT22" s="289" t="e">
        <f>ROUND(W22/T22*100-100,2)+#REF!</f>
        <v>#REF!</v>
      </c>
      <c r="AU22"/>
      <c r="AV22"/>
      <c r="AW22">
        <f>ROUND(T22/W22,3)</f>
        <v>1.236</v>
      </c>
    </row>
    <row r="23" spans="1:49" s="82" customFormat="1" ht="15" customHeight="1" x14ac:dyDescent="0.25">
      <c r="A23" s="647"/>
      <c r="B23" s="647"/>
      <c r="C23" s="660"/>
      <c r="D23" s="649"/>
      <c r="E23" s="484" t="s">
        <v>162</v>
      </c>
      <c r="F23" s="471">
        <f>VLOOKUP(E23,'[2]условия, ФОТ'!$A$14:$I$28,9, FALSE)</f>
        <v>213.84</v>
      </c>
      <c r="G23" s="478">
        <v>0.49</v>
      </c>
      <c r="H23" s="661"/>
      <c r="I23" s="661"/>
      <c r="J23" s="661"/>
      <c r="K23" s="660"/>
      <c r="L23" s="649"/>
      <c r="M23" s="649"/>
      <c r="N23" s="649"/>
      <c r="O23" s="661"/>
      <c r="P23" s="661"/>
      <c r="Q23" s="661"/>
      <c r="R23" s="665"/>
      <c r="S23" s="665"/>
      <c r="T23" s="665">
        <f>ROUND((P23+Q23)*(1+$R$5)*1.18,0)</f>
        <v>0</v>
      </c>
      <c r="U23" s="667"/>
      <c r="V23" s="668"/>
      <c r="W23" s="686">
        <v>0</v>
      </c>
      <c r="X23" s="679"/>
      <c r="Y23" s="680"/>
      <c r="Z23" s="682"/>
      <c r="AA23" s="278"/>
      <c r="AB23" s="235"/>
      <c r="AC23" s="674"/>
      <c r="AD23" s="684"/>
      <c r="AE23" s="284"/>
      <c r="AG23" s="671"/>
      <c r="AH23" s="671"/>
      <c r="AI23" s="671"/>
      <c r="AK23" s="677"/>
      <c r="AL23" s="287"/>
      <c r="AM23" s="671"/>
      <c r="AN23" s="673"/>
      <c r="AO23" s="671"/>
      <c r="AQ23" s="673"/>
      <c r="AR23" s="674"/>
      <c r="AS23" s="675"/>
      <c r="AT23" s="289"/>
      <c r="AU23"/>
      <c r="AV23"/>
      <c r="AW23"/>
    </row>
    <row r="24" spans="1:49" s="82" customFormat="1" ht="38.25" outlineLevel="1" x14ac:dyDescent="0.3">
      <c r="A24" s="477"/>
      <c r="B24" s="452"/>
      <c r="C24" s="479"/>
      <c r="D24" s="452"/>
      <c r="E24" s="452"/>
      <c r="F24" s="452"/>
      <c r="G24" s="452"/>
      <c r="H24" s="452"/>
      <c r="I24" s="452"/>
      <c r="J24" s="295" t="s">
        <v>366</v>
      </c>
      <c r="K24" s="296" t="s">
        <v>341</v>
      </c>
      <c r="L24" s="478" t="str">
        <f>VLOOKUP(K24,[2]материалы!$A$5:$G$31,5, FALSE)</f>
        <v>кг</v>
      </c>
      <c r="M24" s="471">
        <f>VLOOKUP(K24,[2]материалы!$A$5:$G$34,7, FALSE)</f>
        <v>125</v>
      </c>
      <c r="N24" s="478">
        <v>0.06</v>
      </c>
      <c r="O24" s="471">
        <f>ROUND(M24*N24,2)</f>
        <v>7.5</v>
      </c>
      <c r="P24" s="452"/>
      <c r="Q24" s="452"/>
      <c r="R24" s="298"/>
      <c r="S24" s="298"/>
      <c r="T24" s="298"/>
      <c r="U24" s="299"/>
      <c r="V24" s="300"/>
      <c r="W24" s="486"/>
      <c r="X24" s="470"/>
      <c r="Y24" s="499"/>
      <c r="Z24" s="487"/>
      <c r="AA24" s="278"/>
      <c r="AB24" s="235"/>
      <c r="AC24" s="467"/>
      <c r="AD24" s="468"/>
      <c r="AE24" s="284"/>
      <c r="AG24" s="285"/>
      <c r="AH24" s="285"/>
      <c r="AI24" s="285"/>
      <c r="AK24" s="286"/>
      <c r="AL24" s="287"/>
      <c r="AM24" s="285"/>
      <c r="AN24" s="288"/>
      <c r="AO24" s="285"/>
      <c r="AQ24" s="288"/>
      <c r="AR24" s="467"/>
      <c r="AS24" s="127"/>
      <c r="AT24" s="289"/>
      <c r="AU24"/>
      <c r="AV24"/>
      <c r="AW24"/>
    </row>
    <row r="25" spans="1:49" s="305" customFormat="1" ht="23.25" customHeight="1" x14ac:dyDescent="0.25">
      <c r="A25" s="647" t="s">
        <v>624</v>
      </c>
      <c r="B25" s="647" t="s">
        <v>344</v>
      </c>
      <c r="C25" s="660" t="s">
        <v>345</v>
      </c>
      <c r="D25" s="661" t="s">
        <v>28</v>
      </c>
      <c r="E25" s="484" t="s">
        <v>166</v>
      </c>
      <c r="F25" s="471">
        <f>VLOOKUP(E25,'[2]условия, ФОТ'!$A$14:$I$28,9, FALSE)</f>
        <v>251.34</v>
      </c>
      <c r="G25" s="471">
        <v>0.2</v>
      </c>
      <c r="H25" s="661">
        <f>ROUND((F25*G25+F26*G26),2)</f>
        <v>93.04</v>
      </c>
      <c r="I25" s="661">
        <f>ROUND(H25*$I$5,2)</f>
        <v>28.1</v>
      </c>
      <c r="J25" s="661">
        <f>H25+I25</f>
        <v>121.14000000000001</v>
      </c>
      <c r="K25" s="687"/>
      <c r="L25" s="688"/>
      <c r="M25" s="688"/>
      <c r="N25" s="688"/>
      <c r="O25" s="688">
        <f>O27</f>
        <v>110.83</v>
      </c>
      <c r="P25" s="661">
        <f>J25+O25</f>
        <v>231.97000000000003</v>
      </c>
      <c r="Q25" s="661">
        <f>ROUND(P25*$Q$5,2)</f>
        <v>154.26</v>
      </c>
      <c r="R25" s="665">
        <f>ROUND(T25/1.2,2)</f>
        <v>402.5</v>
      </c>
      <c r="S25" s="665">
        <f>ROUND(R25*$S$5,2)</f>
        <v>80.5</v>
      </c>
      <c r="T25" s="665">
        <f>ROUND((P25+Q25)*(1+Y25)*1.2,0)</f>
        <v>483</v>
      </c>
      <c r="U25" s="705">
        <v>321</v>
      </c>
      <c r="V25" s="707">
        <f>T25/U25*100-100</f>
        <v>50.467289719626166</v>
      </c>
      <c r="W25" s="689">
        <v>434</v>
      </c>
      <c r="X25" s="691">
        <f>T25/W25*100-100</f>
        <v>11.290322580645153</v>
      </c>
      <c r="Y25" s="692">
        <v>4.2200000000000001E-2</v>
      </c>
      <c r="Z25" s="693" t="e">
        <f>#REF!*Y25</f>
        <v>#REF!</v>
      </c>
      <c r="AA25" s="703"/>
      <c r="AB25" s="303">
        <v>342.25400000000002</v>
      </c>
      <c r="AC25" s="702"/>
      <c r="AD25" s="683">
        <f>T25-W25</f>
        <v>49</v>
      </c>
      <c r="AE25" s="304"/>
      <c r="AG25" s="698">
        <v>0.1615</v>
      </c>
      <c r="AH25" s="698">
        <f t="shared" si="0"/>
        <v>0.1615</v>
      </c>
      <c r="AI25" s="698">
        <v>0</v>
      </c>
      <c r="AK25" s="696"/>
      <c r="AL25" s="306"/>
      <c r="AM25" s="698">
        <v>1.034</v>
      </c>
      <c r="AN25" s="700">
        <v>0.1615</v>
      </c>
      <c r="AO25" s="698" t="e">
        <f>#REF!-AM25</f>
        <v>#REF!</v>
      </c>
      <c r="AQ25" s="700">
        <f>Y25-AN25</f>
        <v>-0.1193</v>
      </c>
      <c r="AR25" s="702">
        <v>342</v>
      </c>
      <c r="AS25" s="695" t="b">
        <f>W25=AR25</f>
        <v>0</v>
      </c>
      <c r="AT25" s="307" t="e">
        <f>ROUND(W25/T25*100-100,2)+#REF!</f>
        <v>#REF!</v>
      </c>
      <c r="AU25" s="308"/>
      <c r="AV25" s="308"/>
      <c r="AW25" s="308">
        <f>ROUND(T25/W25,3)</f>
        <v>1.113</v>
      </c>
    </row>
    <row r="26" spans="1:49" s="305" customFormat="1" ht="21.75" customHeight="1" x14ac:dyDescent="0.25">
      <c r="A26" s="647"/>
      <c r="B26" s="647"/>
      <c r="C26" s="660"/>
      <c r="D26" s="661"/>
      <c r="E26" s="484" t="s">
        <v>162</v>
      </c>
      <c r="F26" s="471">
        <f>VLOOKUP(E26,'[2]условия, ФОТ'!$A$14:$I$28,9, FALSE)</f>
        <v>213.84</v>
      </c>
      <c r="G26" s="471">
        <v>0.2</v>
      </c>
      <c r="H26" s="661"/>
      <c r="I26" s="661"/>
      <c r="J26" s="661"/>
      <c r="K26" s="687"/>
      <c r="L26" s="688"/>
      <c r="M26" s="688"/>
      <c r="N26" s="688"/>
      <c r="O26" s="688"/>
      <c r="P26" s="661"/>
      <c r="Q26" s="661"/>
      <c r="R26" s="665"/>
      <c r="S26" s="665"/>
      <c r="T26" s="665">
        <f>ROUND((P26+Q26)*(1+$R$5)*1.18,0)</f>
        <v>0</v>
      </c>
      <c r="U26" s="706"/>
      <c r="V26" s="707"/>
      <c r="W26" s="690">
        <v>0</v>
      </c>
      <c r="X26" s="691"/>
      <c r="Y26" s="692"/>
      <c r="Z26" s="694"/>
      <c r="AA26" s="704"/>
      <c r="AB26" s="303"/>
      <c r="AC26" s="702"/>
      <c r="AD26" s="684"/>
      <c r="AE26" s="304"/>
      <c r="AG26" s="699"/>
      <c r="AH26" s="699"/>
      <c r="AI26" s="699"/>
      <c r="AK26" s="697"/>
      <c r="AL26" s="306"/>
      <c r="AM26" s="699"/>
      <c r="AN26" s="701"/>
      <c r="AO26" s="699"/>
      <c r="AQ26" s="701"/>
      <c r="AR26" s="702"/>
      <c r="AS26" s="695"/>
      <c r="AT26" s="307"/>
      <c r="AU26" s="308"/>
      <c r="AV26" s="308"/>
      <c r="AW26" s="308"/>
    </row>
    <row r="27" spans="1:49" s="305" customFormat="1" ht="28.5" customHeight="1" outlineLevel="1" x14ac:dyDescent="0.3">
      <c r="A27" s="477"/>
      <c r="B27" s="477"/>
      <c r="C27" s="475"/>
      <c r="D27" s="471"/>
      <c r="E27" s="484"/>
      <c r="F27" s="471"/>
      <c r="G27" s="471"/>
      <c r="H27" s="471"/>
      <c r="I27" s="471"/>
      <c r="J27" s="295" t="s">
        <v>366</v>
      </c>
      <c r="K27" s="296" t="s">
        <v>369</v>
      </c>
      <c r="L27" s="478" t="str">
        <f>VLOOKUP(K27,[2]материалы!$A$5:$G$31,5, FALSE)</f>
        <v>м</v>
      </c>
      <c r="M27" s="471">
        <f>VLOOKUP(K27,[2]материалы!$A$5:$G$34,7, FALSE)</f>
        <v>110.83</v>
      </c>
      <c r="N27" s="478">
        <v>1</v>
      </c>
      <c r="O27" s="471">
        <f t="shared" ref="O27" si="3">ROUND(M27*N27,2)</f>
        <v>110.83</v>
      </c>
      <c r="P27" s="471"/>
      <c r="Q27" s="471"/>
      <c r="R27" s="472"/>
      <c r="S27" s="472"/>
      <c r="T27" s="472"/>
      <c r="U27" s="309"/>
      <c r="V27" s="310"/>
      <c r="W27" s="311"/>
      <c r="X27" s="483"/>
      <c r="Y27" s="501"/>
      <c r="Z27" s="317"/>
      <c r="AA27" s="318"/>
      <c r="AB27" s="303"/>
      <c r="AC27" s="480"/>
      <c r="AD27" s="481"/>
      <c r="AE27" s="304"/>
      <c r="AG27" s="322"/>
      <c r="AH27" s="322"/>
      <c r="AI27" s="322"/>
      <c r="AK27" s="323"/>
      <c r="AL27" s="306"/>
      <c r="AM27" s="322"/>
      <c r="AN27" s="324"/>
      <c r="AO27" s="322"/>
      <c r="AQ27" s="324"/>
      <c r="AR27" s="480"/>
      <c r="AS27" s="325"/>
      <c r="AT27" s="307"/>
      <c r="AU27" s="308"/>
      <c r="AV27" s="308"/>
      <c r="AW27" s="308"/>
    </row>
    <row r="28" spans="1:49" s="82" customFormat="1" ht="31.7" customHeight="1" x14ac:dyDescent="0.3">
      <c r="A28" s="477" t="s">
        <v>625</v>
      </c>
      <c r="B28" s="477" t="s">
        <v>626</v>
      </c>
      <c r="C28" s="475" t="s">
        <v>627</v>
      </c>
      <c r="D28" s="484" t="s">
        <v>628</v>
      </c>
      <c r="E28" s="484" t="s">
        <v>162</v>
      </c>
      <c r="F28" s="471">
        <f>VLOOKUP(E28,'[2]условия, ФОТ'!$A$14:$I$28,9, FALSE)</f>
        <v>213.84</v>
      </c>
      <c r="G28" s="478">
        <v>0.25</v>
      </c>
      <c r="H28" s="471">
        <f>ROUND(F28*G28,2)</f>
        <v>53.46</v>
      </c>
      <c r="I28" s="471">
        <f>ROUND(H28*$I$5,2)</f>
        <v>16.14</v>
      </c>
      <c r="J28" s="471">
        <f>H28+I28</f>
        <v>69.599999999999994</v>
      </c>
      <c r="K28" s="479"/>
      <c r="L28" s="471"/>
      <c r="M28" s="471"/>
      <c r="N28" s="471"/>
      <c r="O28" s="471">
        <f>O29</f>
        <v>16.670000000000002</v>
      </c>
      <c r="P28" s="471">
        <f>J28+O28</f>
        <v>86.27</v>
      </c>
      <c r="Q28" s="471">
        <f>ROUND(P28*$Q$5,2)</f>
        <v>57.37</v>
      </c>
      <c r="R28" s="472">
        <f>ROUND(T28/1.2,2)</f>
        <v>192.5</v>
      </c>
      <c r="S28" s="472">
        <f>ROUND(R28*$S$5,2)</f>
        <v>38.5</v>
      </c>
      <c r="T28" s="472">
        <f>ROUND((P28+Q28)*(1+Y28)*1.2,0)</f>
        <v>231</v>
      </c>
      <c r="U28" s="269">
        <v>182</v>
      </c>
      <c r="V28" s="489">
        <f>T28/U28*100-100</f>
        <v>26.92307692307692</v>
      </c>
      <c r="W28" s="498">
        <v>202</v>
      </c>
      <c r="X28" s="470">
        <f>T28/W28*100-100</f>
        <v>14.356435643564353</v>
      </c>
      <c r="Y28" s="499">
        <v>0.34129999999999999</v>
      </c>
      <c r="Z28" s="487" t="e">
        <f>#REF!*Y28</f>
        <v>#REF!</v>
      </c>
      <c r="AA28" s="278"/>
      <c r="AB28" s="235">
        <v>194.392</v>
      </c>
      <c r="AC28" s="467"/>
      <c r="AD28" s="500">
        <f>T28-W28</f>
        <v>29</v>
      </c>
      <c r="AE28" s="284"/>
      <c r="AG28" s="285">
        <v>8.1600000000000006E-2</v>
      </c>
      <c r="AH28" s="285">
        <f t="shared" si="0"/>
        <v>8.1600000000000006E-2</v>
      </c>
      <c r="AI28" s="285">
        <v>0</v>
      </c>
      <c r="AK28" s="286"/>
      <c r="AL28" s="287"/>
      <c r="AM28" s="285">
        <v>1.034</v>
      </c>
      <c r="AN28" s="288">
        <v>8.1600000000000006E-2</v>
      </c>
      <c r="AO28" s="285" t="e">
        <f>#REF!-AM28</f>
        <v>#REF!</v>
      </c>
      <c r="AQ28" s="288">
        <f>Y28-AN28</f>
        <v>0.25969999999999999</v>
      </c>
      <c r="AR28" s="467">
        <v>194</v>
      </c>
      <c r="AS28" s="127" t="b">
        <f>W28=AR28</f>
        <v>0</v>
      </c>
      <c r="AT28" s="289" t="e">
        <f>ROUND(W28/T28*100-100,2)+#REF!</f>
        <v>#REF!</v>
      </c>
      <c r="AU28"/>
      <c r="AV28"/>
      <c r="AW28">
        <f>ROUND(T28/W28,3)</f>
        <v>1.1439999999999999</v>
      </c>
    </row>
    <row r="29" spans="1:49" s="82" customFormat="1" ht="40.5" customHeight="1" outlineLevel="1" x14ac:dyDescent="0.3">
      <c r="A29" s="477"/>
      <c r="B29" s="477"/>
      <c r="C29" s="475"/>
      <c r="D29" s="484"/>
      <c r="E29" s="484"/>
      <c r="F29" s="471"/>
      <c r="G29" s="478"/>
      <c r="H29" s="471"/>
      <c r="I29" s="471"/>
      <c r="J29" s="471"/>
      <c r="K29" s="296" t="s">
        <v>403</v>
      </c>
      <c r="L29" s="478" t="str">
        <f>VLOOKUP(K29,[2]материалы!$A$5:$G$31,5, FALSE)</f>
        <v>шт.</v>
      </c>
      <c r="M29" s="471">
        <f>VLOOKUP(K29,[2]материалы!$A$5:$G$34,7, FALSE)</f>
        <v>16.670000000000002</v>
      </c>
      <c r="N29" s="478">
        <v>1</v>
      </c>
      <c r="O29" s="471">
        <f t="shared" ref="O29" si="4">ROUND(M29*N29,2)</f>
        <v>16.670000000000002</v>
      </c>
      <c r="P29" s="471"/>
      <c r="Q29" s="471"/>
      <c r="R29" s="472"/>
      <c r="S29" s="472"/>
      <c r="T29" s="472"/>
      <c r="U29" s="269"/>
      <c r="V29" s="489"/>
      <c r="W29" s="486"/>
      <c r="X29" s="470"/>
      <c r="Y29" s="499"/>
      <c r="Z29" s="487"/>
      <c r="AA29" s="278"/>
      <c r="AB29" s="235"/>
      <c r="AC29" s="467"/>
      <c r="AD29" s="468"/>
      <c r="AE29" s="284"/>
      <c r="AG29" s="285"/>
      <c r="AH29" s="285"/>
      <c r="AI29" s="285"/>
      <c r="AK29" s="286"/>
      <c r="AL29" s="287"/>
      <c r="AM29" s="285"/>
      <c r="AN29" s="288"/>
      <c r="AO29" s="285"/>
      <c r="AQ29" s="288"/>
      <c r="AR29" s="467"/>
      <c r="AS29" s="127"/>
      <c r="AT29" s="289"/>
      <c r="AU29"/>
      <c r="AV29"/>
      <c r="AW29"/>
    </row>
    <row r="30" spans="1:49" s="82" customFormat="1" ht="40.700000000000003" customHeight="1" x14ac:dyDescent="0.3">
      <c r="A30" s="477" t="s">
        <v>629</v>
      </c>
      <c r="B30" s="477" t="s">
        <v>630</v>
      </c>
      <c r="C30" s="475" t="s">
        <v>631</v>
      </c>
      <c r="D30" s="484" t="s">
        <v>632</v>
      </c>
      <c r="E30" s="484" t="s">
        <v>161</v>
      </c>
      <c r="F30" s="471">
        <f>VLOOKUP(E30,'[2]условия, ФОТ'!$A$14:$I$28,9, FALSE)</f>
        <v>206.19</v>
      </c>
      <c r="G30" s="478">
        <v>0.5</v>
      </c>
      <c r="H30" s="471">
        <f>ROUND(F30*G30,2)</f>
        <v>103.1</v>
      </c>
      <c r="I30" s="471">
        <f>ROUND(H30*$I$5,2)</f>
        <v>31.14</v>
      </c>
      <c r="J30" s="471">
        <f>H30+I30</f>
        <v>134.24</v>
      </c>
      <c r="K30" s="479"/>
      <c r="L30" s="471"/>
      <c r="M30" s="471"/>
      <c r="N30" s="471"/>
      <c r="O30" s="471"/>
      <c r="P30" s="471">
        <f>J30+O30</f>
        <v>134.24</v>
      </c>
      <c r="Q30" s="471">
        <f>ROUND(P30*$Q$5,2)</f>
        <v>89.27</v>
      </c>
      <c r="R30" s="472">
        <f>ROUND(T30/1.2,2)</f>
        <v>240.83</v>
      </c>
      <c r="S30" s="472">
        <f>ROUND(R30*$S$5,2)</f>
        <v>48.17</v>
      </c>
      <c r="T30" s="472">
        <f>ROUND((P30+Q30)*(1+Y30)*1.2,0)</f>
        <v>289</v>
      </c>
      <c r="U30" s="269">
        <v>186</v>
      </c>
      <c r="V30" s="270">
        <f>T30/U30*100-100</f>
        <v>55.376344086021504</v>
      </c>
      <c r="W30" s="498">
        <v>253</v>
      </c>
      <c r="X30" s="470">
        <f>T30/W30*100-100</f>
        <v>14.229249011857718</v>
      </c>
      <c r="Y30" s="499">
        <v>7.85E-2</v>
      </c>
      <c r="Z30" s="487" t="e">
        <f>#REF!*Y30</f>
        <v>#REF!</v>
      </c>
      <c r="AA30" s="278"/>
      <c r="AB30" s="235">
        <v>198.52800000000002</v>
      </c>
      <c r="AC30" s="467"/>
      <c r="AD30" s="500">
        <f>T30-W30</f>
        <v>36</v>
      </c>
      <c r="AE30" s="284"/>
      <c r="AG30" s="285">
        <v>-0.14119999999999999</v>
      </c>
      <c r="AH30" s="285">
        <f t="shared" si="0"/>
        <v>1.1412</v>
      </c>
      <c r="AI30" s="285">
        <v>1.18</v>
      </c>
      <c r="AK30" s="286">
        <f>ROUND(W30*AI30,2)</f>
        <v>298.54000000000002</v>
      </c>
      <c r="AL30" s="287"/>
      <c r="AM30" s="285">
        <v>1.034</v>
      </c>
      <c r="AN30" s="288">
        <v>-0.14119999999999999</v>
      </c>
      <c r="AO30" s="285" t="e">
        <f>#REF!-AM30</f>
        <v>#REF!</v>
      </c>
      <c r="AQ30" s="288">
        <f>Y30-AN30</f>
        <v>0.21970000000000001</v>
      </c>
      <c r="AR30" s="467">
        <v>243</v>
      </c>
      <c r="AS30" s="127" t="b">
        <f>W30=AR30</f>
        <v>0</v>
      </c>
      <c r="AT30" s="289" t="e">
        <f>ROUND(W30/T30*100-100,2)+#REF!</f>
        <v>#REF!</v>
      </c>
      <c r="AU30"/>
      <c r="AV30"/>
      <c r="AW30">
        <f>ROUND(T30/W30,3)</f>
        <v>1.1419999999999999</v>
      </c>
    </row>
    <row r="31" spans="1:49" s="82" customFormat="1" ht="39.75" customHeight="1" x14ac:dyDescent="0.3">
      <c r="A31" s="477" t="s">
        <v>633</v>
      </c>
      <c r="B31" s="477" t="s">
        <v>170</v>
      </c>
      <c r="C31" s="475" t="s">
        <v>559</v>
      </c>
      <c r="D31" s="471" t="s">
        <v>26</v>
      </c>
      <c r="E31" s="484" t="s">
        <v>162</v>
      </c>
      <c r="F31" s="471">
        <f>VLOOKUP(E31,'[2]условия, ФОТ'!$A$14:$I$28,9, FALSE)</f>
        <v>213.84</v>
      </c>
      <c r="G31" s="478">
        <v>0.25</v>
      </c>
      <c r="H31" s="471">
        <f>ROUND(F31*G31,2)</f>
        <v>53.46</v>
      </c>
      <c r="I31" s="471">
        <f>ROUND(H31*$I$5,2)</f>
        <v>16.14</v>
      </c>
      <c r="J31" s="471">
        <f>H31+I31</f>
        <v>69.599999999999994</v>
      </c>
      <c r="K31" s="479"/>
      <c r="L31" s="471"/>
      <c r="M31" s="471"/>
      <c r="N31" s="471"/>
      <c r="O31" s="471">
        <f>SUM(O32:O34)</f>
        <v>4.3500000000000005</v>
      </c>
      <c r="P31" s="471">
        <f t="shared" ref="P31:P56" si="5">J31+O31</f>
        <v>73.949999999999989</v>
      </c>
      <c r="Q31" s="471">
        <f>ROUND(P31*$Q$5,2)</f>
        <v>49.18</v>
      </c>
      <c r="R31" s="472">
        <f>ROUND(T31/1.2,2)</f>
        <v>132.5</v>
      </c>
      <c r="S31" s="472">
        <f>ROUND(R31*$S$5,2)</f>
        <v>26.5</v>
      </c>
      <c r="T31" s="472">
        <f>ROUND((P31+Q31)*(1+Y31)*1.2,0)</f>
        <v>159</v>
      </c>
      <c r="U31" s="269">
        <v>115</v>
      </c>
      <c r="V31" s="270">
        <f t="shared" ref="V31:V35" si="6">T31/U31*100-100</f>
        <v>38.260869565217405</v>
      </c>
      <c r="W31" s="498">
        <v>135</v>
      </c>
      <c r="X31" s="470">
        <f>T31/W31*100-100</f>
        <v>17.777777777777786</v>
      </c>
      <c r="Y31" s="499">
        <v>7.4200000000000002E-2</v>
      </c>
      <c r="Z31" s="487" t="e">
        <f>#REF!*Y31</f>
        <v>#REF!</v>
      </c>
      <c r="AA31" s="278"/>
      <c r="AB31" s="235">
        <v>123.04600000000001</v>
      </c>
      <c r="AC31" s="467"/>
      <c r="AD31" s="500">
        <f>T31-W31</f>
        <v>24</v>
      </c>
      <c r="AE31" s="284"/>
      <c r="AG31" s="285">
        <v>-9.2999999999999992E-3</v>
      </c>
      <c r="AH31" s="285">
        <f t="shared" si="0"/>
        <v>1.0093000000000001</v>
      </c>
      <c r="AI31" s="285">
        <v>1.044</v>
      </c>
      <c r="AK31" s="286">
        <f>ROUND(W31*AI31,2)</f>
        <v>140.94</v>
      </c>
      <c r="AL31" s="287"/>
      <c r="AM31" s="285">
        <v>1.034</v>
      </c>
      <c r="AN31" s="288">
        <v>-9.2999999999999992E-3</v>
      </c>
      <c r="AO31" s="285" t="e">
        <f>#REF!-AM31</f>
        <v>#REF!</v>
      </c>
      <c r="AQ31" s="288">
        <f>Y31-AN31</f>
        <v>8.3500000000000005E-2</v>
      </c>
      <c r="AR31" s="467">
        <v>130</v>
      </c>
      <c r="AS31" s="127" t="b">
        <f>W31=AR31</f>
        <v>0</v>
      </c>
      <c r="AT31" s="289" t="e">
        <f>ROUND(W31/T31*100-100,2)+#REF!</f>
        <v>#REF!</v>
      </c>
      <c r="AU31"/>
      <c r="AV31"/>
      <c r="AW31">
        <f>ROUND(T31/W31,3)</f>
        <v>1.1779999999999999</v>
      </c>
    </row>
    <row r="32" spans="1:49" s="82" customFormat="1" ht="24.75" customHeight="1" outlineLevel="1" x14ac:dyDescent="0.3">
      <c r="A32" s="477"/>
      <c r="B32" s="477"/>
      <c r="C32" s="475"/>
      <c r="D32" s="471"/>
      <c r="E32" s="484"/>
      <c r="F32" s="471"/>
      <c r="G32" s="478"/>
      <c r="H32" s="471"/>
      <c r="I32" s="471"/>
      <c r="J32" s="295" t="s">
        <v>366</v>
      </c>
      <c r="K32" s="121" t="s">
        <v>335</v>
      </c>
      <c r="L32" s="478" t="str">
        <f>VLOOKUP(K32,[2]материалы!$A$5:$G$31,5, FALSE)</f>
        <v>кг</v>
      </c>
      <c r="M32" s="471">
        <f>VLOOKUP(K32,[2]материалы!$A$5:$G$34,7, FALSE)</f>
        <v>720.83</v>
      </c>
      <c r="N32" s="471">
        <v>5.0000000000000001E-3</v>
      </c>
      <c r="O32" s="471">
        <f>ROUND(M32*N32,2)</f>
        <v>3.6</v>
      </c>
      <c r="P32" s="471"/>
      <c r="Q32" s="471"/>
      <c r="R32" s="472"/>
      <c r="S32" s="472"/>
      <c r="T32" s="472"/>
      <c r="U32" s="269"/>
      <c r="V32" s="270"/>
      <c r="W32" s="486"/>
      <c r="X32" s="470"/>
      <c r="Y32" s="499"/>
      <c r="Z32" s="487"/>
      <c r="AA32" s="278"/>
      <c r="AB32" s="235"/>
      <c r="AC32" s="467"/>
      <c r="AD32" s="468"/>
      <c r="AE32" s="284"/>
      <c r="AG32" s="285"/>
      <c r="AH32" s="285"/>
      <c r="AI32" s="285"/>
      <c r="AK32" s="286"/>
      <c r="AL32" s="287"/>
      <c r="AM32" s="285"/>
      <c r="AN32" s="288"/>
      <c r="AO32" s="285"/>
      <c r="AQ32" s="288"/>
      <c r="AR32" s="467"/>
      <c r="AS32" s="127"/>
      <c r="AT32" s="289"/>
      <c r="AU32"/>
      <c r="AV32"/>
      <c r="AW32"/>
    </row>
    <row r="33" spans="1:49" s="82" customFormat="1" ht="18" customHeight="1" outlineLevel="1" x14ac:dyDescent="0.3">
      <c r="A33" s="477"/>
      <c r="B33" s="477"/>
      <c r="C33" s="475"/>
      <c r="D33" s="471"/>
      <c r="E33" s="484"/>
      <c r="F33" s="471"/>
      <c r="G33" s="478"/>
      <c r="H33" s="471"/>
      <c r="I33" s="471"/>
      <c r="J33" s="471"/>
      <c r="K33" s="296" t="s">
        <v>329</v>
      </c>
      <c r="L33" s="478" t="str">
        <f>VLOOKUP(K33,[2]материалы!$A$5:$G$31,5, FALSE)</f>
        <v>кг</v>
      </c>
      <c r="M33" s="471">
        <f>VLOOKUP(K33,[2]материалы!$A$5:$G$34,7, FALSE)</f>
        <v>79.17</v>
      </c>
      <c r="N33" s="301">
        <v>1E-3</v>
      </c>
      <c r="O33" s="471">
        <f>ROUND(M33*N33,2)</f>
        <v>0.08</v>
      </c>
      <c r="P33" s="471"/>
      <c r="Q33" s="471"/>
      <c r="R33" s="472"/>
      <c r="S33" s="472"/>
      <c r="T33" s="472"/>
      <c r="U33" s="269"/>
      <c r="V33" s="270"/>
      <c r="W33" s="486"/>
      <c r="X33" s="470"/>
      <c r="Y33" s="499"/>
      <c r="Z33" s="487"/>
      <c r="AA33" s="278"/>
      <c r="AB33" s="235"/>
      <c r="AC33" s="467"/>
      <c r="AD33" s="468"/>
      <c r="AE33" s="284"/>
      <c r="AG33" s="285"/>
      <c r="AH33" s="285"/>
      <c r="AI33" s="285"/>
      <c r="AK33" s="286"/>
      <c r="AL33" s="287"/>
      <c r="AM33" s="285"/>
      <c r="AN33" s="288"/>
      <c r="AO33" s="285"/>
      <c r="AQ33" s="288"/>
      <c r="AR33" s="467"/>
      <c r="AS33" s="127"/>
      <c r="AT33" s="289"/>
      <c r="AU33"/>
      <c r="AV33"/>
      <c r="AW33"/>
    </row>
    <row r="34" spans="1:49" s="82" customFormat="1" ht="17.25" customHeight="1" outlineLevel="1" x14ac:dyDescent="0.3">
      <c r="A34" s="477"/>
      <c r="B34" s="477"/>
      <c r="C34" s="475"/>
      <c r="D34" s="471"/>
      <c r="E34" s="484"/>
      <c r="F34" s="471"/>
      <c r="G34" s="478"/>
      <c r="H34" s="471"/>
      <c r="I34" s="471"/>
      <c r="J34" s="471"/>
      <c r="K34" s="296" t="s">
        <v>330</v>
      </c>
      <c r="L34" s="478" t="str">
        <f>VLOOKUP(K34,[2]материалы!$A$5:$G$31,5, FALSE)</f>
        <v>кг</v>
      </c>
      <c r="M34" s="471">
        <f>VLOOKUP(K34,[2]материалы!$A$5:$G$34,7, FALSE)</f>
        <v>66.67</v>
      </c>
      <c r="N34" s="478">
        <v>0.01</v>
      </c>
      <c r="O34" s="471">
        <f>ROUND(M34*N34,2)</f>
        <v>0.67</v>
      </c>
      <c r="P34" s="471"/>
      <c r="Q34" s="471"/>
      <c r="R34" s="472"/>
      <c r="S34" s="472"/>
      <c r="T34" s="472"/>
      <c r="U34" s="269"/>
      <c r="V34" s="270"/>
      <c r="W34" s="486"/>
      <c r="X34" s="470"/>
      <c r="Y34" s="499"/>
      <c r="Z34" s="487"/>
      <c r="AA34" s="278"/>
      <c r="AB34" s="235"/>
      <c r="AC34" s="467"/>
      <c r="AD34" s="468"/>
      <c r="AE34" s="284"/>
      <c r="AG34" s="285"/>
      <c r="AH34" s="285"/>
      <c r="AI34" s="285"/>
      <c r="AK34" s="286"/>
      <c r="AL34" s="287"/>
      <c r="AM34" s="285"/>
      <c r="AN34" s="288"/>
      <c r="AO34" s="285"/>
      <c r="AQ34" s="288"/>
      <c r="AR34" s="467"/>
      <c r="AS34" s="127"/>
      <c r="AT34" s="289"/>
      <c r="AU34"/>
      <c r="AV34"/>
      <c r="AW34"/>
    </row>
    <row r="35" spans="1:49" s="82" customFormat="1" ht="51" customHeight="1" x14ac:dyDescent="0.3">
      <c r="A35" s="477" t="s">
        <v>634</v>
      </c>
      <c r="B35" s="477" t="s">
        <v>170</v>
      </c>
      <c r="C35" s="475" t="s">
        <v>635</v>
      </c>
      <c r="D35" s="471" t="s">
        <v>26</v>
      </c>
      <c r="E35" s="484" t="s">
        <v>162</v>
      </c>
      <c r="F35" s="471">
        <f>VLOOKUP(E35,'[2]условия, ФОТ'!$A$14:$I$28,9, FALSE)</f>
        <v>213.84</v>
      </c>
      <c r="G35" s="478">
        <v>0.35</v>
      </c>
      <c r="H35" s="471">
        <f t="shared" ref="H35" si="7">ROUND(F35*G35,2)</f>
        <v>74.84</v>
      </c>
      <c r="I35" s="471">
        <f t="shared" ref="I35" si="8">ROUND(H35*$I$5,2)</f>
        <v>22.6</v>
      </c>
      <c r="J35" s="471">
        <f t="shared" ref="J35" si="9">H35+I35</f>
        <v>97.44</v>
      </c>
      <c r="K35" s="479"/>
      <c r="L35" s="471"/>
      <c r="M35" s="471"/>
      <c r="N35" s="471"/>
      <c r="O35" s="471">
        <f>SUM(O36:O38)</f>
        <v>4.3500000000000005</v>
      </c>
      <c r="P35" s="471">
        <f t="shared" si="5"/>
        <v>101.78999999999999</v>
      </c>
      <c r="Q35" s="471">
        <f t="shared" ref="Q35:Q234" si="10">ROUND(P35*$Q$5,2)</f>
        <v>67.69</v>
      </c>
      <c r="R35" s="472">
        <f>ROUND(T35/1.2,2)</f>
        <v>182.5</v>
      </c>
      <c r="S35" s="472">
        <f t="shared" ref="S35:S235" si="11">ROUND(R35*$S$5,2)</f>
        <v>36.5</v>
      </c>
      <c r="T35" s="472">
        <f>ROUND((P35+Q35)*(1+Y35)*1.2,0)</f>
        <v>219</v>
      </c>
      <c r="U35" s="269">
        <v>157</v>
      </c>
      <c r="V35" s="270">
        <f t="shared" si="6"/>
        <v>39.490445859872608</v>
      </c>
      <c r="W35" s="498">
        <v>187</v>
      </c>
      <c r="X35" s="470">
        <f>T35/W35*100-100</f>
        <v>17.112299465240639</v>
      </c>
      <c r="Y35" s="499">
        <v>7.7799999999999994E-2</v>
      </c>
      <c r="Z35" s="487" t="e">
        <f>#REF!*Y35</f>
        <v>#REF!</v>
      </c>
      <c r="AA35" s="278"/>
      <c r="AB35" s="235">
        <v>167.50800000000001</v>
      </c>
      <c r="AC35" s="467"/>
      <c r="AD35" s="500">
        <f>T35-W35</f>
        <v>32</v>
      </c>
      <c r="AE35" s="284"/>
      <c r="AG35" s="285">
        <v>-1.7100000000000001E-2</v>
      </c>
      <c r="AH35" s="285">
        <f t="shared" si="0"/>
        <v>1.0170999999999999</v>
      </c>
      <c r="AI35" s="285">
        <v>1.052</v>
      </c>
      <c r="AK35" s="286">
        <f>ROUND(W35*AI35,2)</f>
        <v>196.72</v>
      </c>
      <c r="AL35" s="287"/>
      <c r="AM35" s="285">
        <v>1.034</v>
      </c>
      <c r="AN35" s="288">
        <v>-1.7100000000000001E-2</v>
      </c>
      <c r="AO35" s="285" t="e">
        <f>#REF!-AM35</f>
        <v>#REF!</v>
      </c>
      <c r="AQ35" s="288">
        <f>Y35-AN35</f>
        <v>9.4899999999999998E-2</v>
      </c>
      <c r="AR35" s="467">
        <v>179</v>
      </c>
      <c r="AS35" s="127" t="b">
        <f>W35=AR35</f>
        <v>0</v>
      </c>
      <c r="AT35" s="289" t="e">
        <f>ROUND(W35/T35*100-100,2)+#REF!</f>
        <v>#REF!</v>
      </c>
      <c r="AU35"/>
      <c r="AV35"/>
      <c r="AW35">
        <f>ROUND(T35/W35,3)</f>
        <v>1.171</v>
      </c>
    </row>
    <row r="36" spans="1:49" s="82" customFormat="1" ht="24" customHeight="1" outlineLevel="1" x14ac:dyDescent="0.3">
      <c r="A36" s="477"/>
      <c r="B36" s="477"/>
      <c r="C36" s="475"/>
      <c r="D36" s="471"/>
      <c r="E36" s="484"/>
      <c r="F36" s="471"/>
      <c r="G36" s="478"/>
      <c r="H36" s="471"/>
      <c r="I36" s="471"/>
      <c r="J36" s="295" t="s">
        <v>366</v>
      </c>
      <c r="K36" s="121" t="s">
        <v>335</v>
      </c>
      <c r="L36" s="478" t="str">
        <f>VLOOKUP(K36,[2]материалы!$A$5:$G$31,5, FALSE)</f>
        <v>кг</v>
      </c>
      <c r="M36" s="471">
        <f>VLOOKUP(K36,[2]материалы!$A$5:$G$34,7, FALSE)</f>
        <v>720.83</v>
      </c>
      <c r="N36" s="471">
        <v>5.0000000000000001E-3</v>
      </c>
      <c r="O36" s="471">
        <f>ROUND(M36*N36,2)</f>
        <v>3.6</v>
      </c>
      <c r="P36" s="471"/>
      <c r="Q36" s="471"/>
      <c r="R36" s="472"/>
      <c r="S36" s="472"/>
      <c r="T36" s="472"/>
      <c r="U36" s="269"/>
      <c r="V36" s="270"/>
      <c r="W36" s="486"/>
      <c r="X36" s="470"/>
      <c r="Y36" s="499"/>
      <c r="Z36" s="487"/>
      <c r="AA36" s="278"/>
      <c r="AB36" s="235"/>
      <c r="AC36" s="467"/>
      <c r="AD36" s="468"/>
      <c r="AE36" s="284"/>
      <c r="AG36" s="285"/>
      <c r="AH36" s="285"/>
      <c r="AI36" s="285"/>
      <c r="AK36" s="286"/>
      <c r="AL36" s="287"/>
      <c r="AM36" s="285"/>
      <c r="AN36" s="288"/>
      <c r="AO36" s="285"/>
      <c r="AQ36" s="288"/>
      <c r="AR36" s="467"/>
      <c r="AS36" s="127"/>
      <c r="AT36" s="289"/>
      <c r="AU36"/>
      <c r="AV36"/>
      <c r="AW36"/>
    </row>
    <row r="37" spans="1:49" s="82" customFormat="1" ht="15.75" customHeight="1" outlineLevel="1" x14ac:dyDescent="0.3">
      <c r="A37" s="477"/>
      <c r="B37" s="477"/>
      <c r="C37" s="475"/>
      <c r="D37" s="471"/>
      <c r="E37" s="484"/>
      <c r="F37" s="471"/>
      <c r="G37" s="478"/>
      <c r="H37" s="471"/>
      <c r="I37" s="471"/>
      <c r="J37" s="471"/>
      <c r="K37" s="296" t="s">
        <v>329</v>
      </c>
      <c r="L37" s="478" t="str">
        <f>VLOOKUP(K37,[2]материалы!$A$5:$G$31,5, FALSE)</f>
        <v>кг</v>
      </c>
      <c r="M37" s="471">
        <f>VLOOKUP(K37,[2]материалы!$A$5:$G$34,7, FALSE)</f>
        <v>79.17</v>
      </c>
      <c r="N37" s="301">
        <v>1E-3</v>
      </c>
      <c r="O37" s="471">
        <f t="shared" ref="O37:O38" si="12">ROUND(M37*N37,2)</f>
        <v>0.08</v>
      </c>
      <c r="P37" s="471"/>
      <c r="Q37" s="471"/>
      <c r="R37" s="472"/>
      <c r="S37" s="472"/>
      <c r="T37" s="472"/>
      <c r="U37" s="269"/>
      <c r="V37" s="270"/>
      <c r="W37" s="486"/>
      <c r="X37" s="470"/>
      <c r="Y37" s="499"/>
      <c r="Z37" s="487"/>
      <c r="AA37" s="278"/>
      <c r="AB37" s="235"/>
      <c r="AC37" s="467"/>
      <c r="AD37" s="468"/>
      <c r="AE37" s="284"/>
      <c r="AG37" s="285"/>
      <c r="AH37" s="285"/>
      <c r="AI37" s="285"/>
      <c r="AK37" s="286"/>
      <c r="AL37" s="287"/>
      <c r="AM37" s="285"/>
      <c r="AN37" s="288"/>
      <c r="AO37" s="285"/>
      <c r="AQ37" s="288"/>
      <c r="AR37" s="467"/>
      <c r="AS37" s="127"/>
      <c r="AT37" s="289"/>
      <c r="AU37"/>
      <c r="AV37"/>
      <c r="AW37"/>
    </row>
    <row r="38" spans="1:49" s="82" customFormat="1" ht="18.95" customHeight="1" outlineLevel="1" x14ac:dyDescent="0.3">
      <c r="A38" s="477"/>
      <c r="B38" s="477"/>
      <c r="C38" s="475"/>
      <c r="D38" s="471"/>
      <c r="E38" s="484"/>
      <c r="F38" s="471"/>
      <c r="G38" s="478"/>
      <c r="H38" s="471"/>
      <c r="I38" s="471"/>
      <c r="J38" s="471"/>
      <c r="K38" s="296" t="s">
        <v>330</v>
      </c>
      <c r="L38" s="478" t="str">
        <f>VLOOKUP(K38,[2]материалы!$A$5:$G$31,5, FALSE)</f>
        <v>кг</v>
      </c>
      <c r="M38" s="471">
        <f>VLOOKUP(K38,[2]материалы!$A$5:$G$34,7, FALSE)</f>
        <v>66.67</v>
      </c>
      <c r="N38" s="478">
        <v>0.01</v>
      </c>
      <c r="O38" s="471">
        <f t="shared" si="12"/>
        <v>0.67</v>
      </c>
      <c r="P38" s="471"/>
      <c r="Q38" s="471"/>
      <c r="R38" s="472"/>
      <c r="S38" s="472"/>
      <c r="T38" s="472"/>
      <c r="U38" s="269"/>
      <c r="V38" s="270"/>
      <c r="W38" s="486"/>
      <c r="X38" s="470"/>
      <c r="Y38" s="499"/>
      <c r="Z38" s="487"/>
      <c r="AA38" s="278"/>
      <c r="AB38" s="235"/>
      <c r="AC38" s="467"/>
      <c r="AD38" s="468"/>
      <c r="AE38" s="284"/>
      <c r="AG38" s="285"/>
      <c r="AH38" s="285"/>
      <c r="AI38" s="285"/>
      <c r="AK38" s="286"/>
      <c r="AL38" s="287"/>
      <c r="AM38" s="285"/>
      <c r="AN38" s="288"/>
      <c r="AO38" s="285"/>
      <c r="AQ38" s="288"/>
      <c r="AR38" s="467"/>
      <c r="AS38" s="127"/>
      <c r="AT38" s="289"/>
      <c r="AU38"/>
      <c r="AV38"/>
      <c r="AW38"/>
    </row>
    <row r="39" spans="1:49" s="82" customFormat="1" ht="31.7" customHeight="1" x14ac:dyDescent="0.3">
      <c r="A39" s="477" t="s">
        <v>636</v>
      </c>
      <c r="B39" s="660" t="s">
        <v>637</v>
      </c>
      <c r="C39" s="660"/>
      <c r="D39" s="471"/>
      <c r="E39" s="484"/>
      <c r="F39" s="471"/>
      <c r="G39" s="478"/>
      <c r="H39" s="471"/>
      <c r="I39" s="471"/>
      <c r="J39" s="471"/>
      <c r="K39" s="479"/>
      <c r="L39" s="471"/>
      <c r="M39" s="471"/>
      <c r="N39" s="471"/>
      <c r="O39" s="471"/>
      <c r="P39" s="471"/>
      <c r="Q39" s="471"/>
      <c r="R39" s="472"/>
      <c r="S39" s="472"/>
      <c r="T39" s="472"/>
      <c r="U39" s="269"/>
      <c r="V39" s="270"/>
      <c r="W39" s="486"/>
      <c r="X39" s="470"/>
      <c r="Y39" s="499"/>
      <c r="Z39" s="487"/>
      <c r="AA39" s="278"/>
      <c r="AB39" s="235"/>
      <c r="AC39" s="467"/>
      <c r="AD39" s="468"/>
      <c r="AE39" s="284"/>
      <c r="AG39" s="285"/>
      <c r="AH39" s="285"/>
      <c r="AI39" s="285"/>
      <c r="AK39" s="286"/>
      <c r="AL39" s="287"/>
      <c r="AM39" s="285"/>
      <c r="AN39" s="288"/>
      <c r="AO39" s="285"/>
      <c r="AQ39" s="288"/>
      <c r="AR39" s="467"/>
      <c r="AS39" s="127"/>
      <c r="AT39" s="289"/>
      <c r="AU39"/>
      <c r="AV39"/>
      <c r="AW39"/>
    </row>
    <row r="40" spans="1:49" s="305" customFormat="1" ht="23.25" customHeight="1" x14ac:dyDescent="0.25">
      <c r="A40" s="647" t="s">
        <v>351</v>
      </c>
      <c r="B40" s="647" t="s">
        <v>344</v>
      </c>
      <c r="C40" s="660" t="s">
        <v>345</v>
      </c>
      <c r="D40" s="661" t="s">
        <v>28</v>
      </c>
      <c r="E40" s="484" t="s">
        <v>166</v>
      </c>
      <c r="F40" s="471">
        <f>VLOOKUP(E40,'[2]условия, ФОТ'!$A$14:$I$28,9, FALSE)</f>
        <v>251.34</v>
      </c>
      <c r="G40" s="471">
        <v>0.2</v>
      </c>
      <c r="H40" s="661">
        <f>ROUND(F40*G40+F41*G41,2)</f>
        <v>93.04</v>
      </c>
      <c r="I40" s="661">
        <f>ROUND(H40*$I$5,2)</f>
        <v>28.1</v>
      </c>
      <c r="J40" s="661">
        <f>H40+I40</f>
        <v>121.14000000000001</v>
      </c>
      <c r="K40" s="669"/>
      <c r="L40" s="661"/>
      <c r="M40" s="661"/>
      <c r="N40" s="661"/>
      <c r="O40" s="661">
        <f>O42</f>
        <v>110.83</v>
      </c>
      <c r="P40" s="661">
        <f>J40+O40</f>
        <v>231.97000000000003</v>
      </c>
      <c r="Q40" s="661">
        <f>ROUND(P40*$Q$5,2)</f>
        <v>154.26</v>
      </c>
      <c r="R40" s="665">
        <f>ROUND(T40/1.2,2)</f>
        <v>402.5</v>
      </c>
      <c r="S40" s="665">
        <f>ROUND(R40*$S$5,2)</f>
        <v>80.5</v>
      </c>
      <c r="T40" s="665">
        <f>ROUND((P40+Q40)*(1+Y40)*1.2,0)</f>
        <v>483</v>
      </c>
      <c r="U40" s="705">
        <v>321</v>
      </c>
      <c r="V40" s="327">
        <f>T40/U40*100-100</f>
        <v>50.467289719626166</v>
      </c>
      <c r="W40" s="708">
        <v>434</v>
      </c>
      <c r="X40" s="691">
        <f>T40/W40*100-100</f>
        <v>11.290322580645153</v>
      </c>
      <c r="Y40" s="692">
        <v>4.2200000000000001E-2</v>
      </c>
      <c r="Z40" s="693" t="e">
        <f>#REF!*Y40</f>
        <v>#REF!</v>
      </c>
      <c r="AA40" s="703"/>
      <c r="AB40" s="303">
        <v>342.25400000000002</v>
      </c>
      <c r="AC40" s="702"/>
      <c r="AD40" s="683">
        <f>T40-W40</f>
        <v>49</v>
      </c>
      <c r="AE40" s="304"/>
      <c r="AG40" s="698">
        <v>0.1615</v>
      </c>
      <c r="AH40" s="698">
        <f t="shared" si="0"/>
        <v>0.1615</v>
      </c>
      <c r="AI40" s="698">
        <v>0</v>
      </c>
      <c r="AK40" s="696"/>
      <c r="AL40" s="306"/>
      <c r="AM40" s="698">
        <v>1.034</v>
      </c>
      <c r="AN40" s="700">
        <v>0.1615</v>
      </c>
      <c r="AO40" s="698" t="e">
        <f>#REF!-AM40</f>
        <v>#REF!</v>
      </c>
      <c r="AQ40" s="700">
        <f>Y40-AN40</f>
        <v>-0.1193</v>
      </c>
      <c r="AR40" s="702">
        <v>342</v>
      </c>
      <c r="AS40" s="695" t="b">
        <f>W40=AR40</f>
        <v>0</v>
      </c>
      <c r="AT40" s="307" t="e">
        <f>ROUND(W40/T40*100-100,2)+#REF!</f>
        <v>#REF!</v>
      </c>
      <c r="AU40" s="308"/>
      <c r="AV40" s="308"/>
      <c r="AW40" s="308">
        <f>ROUND(T40/W40,3)</f>
        <v>1.113</v>
      </c>
    </row>
    <row r="41" spans="1:49" s="305" customFormat="1" ht="18" customHeight="1" x14ac:dyDescent="0.25">
      <c r="A41" s="647"/>
      <c r="B41" s="647"/>
      <c r="C41" s="660"/>
      <c r="D41" s="661"/>
      <c r="E41" s="484" t="s">
        <v>162</v>
      </c>
      <c r="F41" s="471">
        <f>VLOOKUP(E41,'[2]условия, ФОТ'!$A$14:$I$28,9, FALSE)</f>
        <v>213.84</v>
      </c>
      <c r="G41" s="471">
        <v>0.2</v>
      </c>
      <c r="H41" s="661"/>
      <c r="I41" s="661"/>
      <c r="J41" s="661"/>
      <c r="K41" s="669"/>
      <c r="L41" s="661"/>
      <c r="M41" s="661"/>
      <c r="N41" s="661"/>
      <c r="O41" s="661"/>
      <c r="P41" s="661"/>
      <c r="Q41" s="661"/>
      <c r="R41" s="665"/>
      <c r="S41" s="665"/>
      <c r="T41" s="665">
        <f>ROUND((P41+Q41)*(1+$R$5)*1.18,0)</f>
        <v>0</v>
      </c>
      <c r="U41" s="706"/>
      <c r="V41" s="327"/>
      <c r="W41" s="708">
        <v>0</v>
      </c>
      <c r="X41" s="691"/>
      <c r="Y41" s="692"/>
      <c r="Z41" s="694"/>
      <c r="AA41" s="704"/>
      <c r="AB41" s="303"/>
      <c r="AC41" s="702"/>
      <c r="AD41" s="684"/>
      <c r="AE41" s="304"/>
      <c r="AG41" s="699"/>
      <c r="AH41" s="699"/>
      <c r="AI41" s="699"/>
      <c r="AK41" s="697"/>
      <c r="AL41" s="306"/>
      <c r="AM41" s="699"/>
      <c r="AN41" s="701"/>
      <c r="AO41" s="699"/>
      <c r="AQ41" s="701"/>
      <c r="AR41" s="702"/>
      <c r="AS41" s="695"/>
      <c r="AT41" s="307"/>
      <c r="AU41" s="308"/>
      <c r="AV41" s="308"/>
      <c r="AW41" s="308"/>
    </row>
    <row r="42" spans="1:49" s="305" customFormat="1" ht="24.75" customHeight="1" outlineLevel="1" x14ac:dyDescent="0.3">
      <c r="A42" s="647"/>
      <c r="B42" s="477"/>
      <c r="C42" s="475"/>
      <c r="D42" s="471"/>
      <c r="E42" s="484"/>
      <c r="F42" s="471"/>
      <c r="G42" s="471"/>
      <c r="H42" s="471"/>
      <c r="I42" s="471"/>
      <c r="J42" s="295" t="s">
        <v>366</v>
      </c>
      <c r="K42" s="296" t="s">
        <v>369</v>
      </c>
      <c r="L42" s="478" t="str">
        <f>VLOOKUP(K42,[2]материалы!$A$5:$G$31,5, FALSE)</f>
        <v>м</v>
      </c>
      <c r="M42" s="471">
        <f>VLOOKUP(K42,[2]материалы!$A$5:$G$34,7, FALSE)</f>
        <v>110.83</v>
      </c>
      <c r="N42" s="478">
        <v>1</v>
      </c>
      <c r="O42" s="471">
        <f t="shared" ref="O42" si="13">ROUND(M42*N42,2)</f>
        <v>110.83</v>
      </c>
      <c r="P42" s="471"/>
      <c r="Q42" s="471"/>
      <c r="R42" s="472"/>
      <c r="S42" s="472"/>
      <c r="T42" s="472"/>
      <c r="U42" s="309"/>
      <c r="V42" s="327"/>
      <c r="W42" s="311"/>
      <c r="X42" s="483"/>
      <c r="Y42" s="501"/>
      <c r="Z42" s="317"/>
      <c r="AA42" s="318"/>
      <c r="AB42" s="303"/>
      <c r="AC42" s="480"/>
      <c r="AD42" s="481"/>
      <c r="AE42" s="304"/>
      <c r="AG42" s="322"/>
      <c r="AH42" s="322"/>
      <c r="AI42" s="322"/>
      <c r="AK42" s="323"/>
      <c r="AL42" s="306"/>
      <c r="AM42" s="322"/>
      <c r="AN42" s="324"/>
      <c r="AO42" s="322"/>
      <c r="AQ42" s="324"/>
      <c r="AR42" s="480"/>
      <c r="AS42" s="325"/>
      <c r="AT42" s="307"/>
      <c r="AU42" s="308"/>
      <c r="AV42" s="308"/>
      <c r="AW42" s="308"/>
    </row>
    <row r="43" spans="1:49" s="82" customFormat="1" ht="24" customHeight="1" x14ac:dyDescent="0.25">
      <c r="A43" s="647"/>
      <c r="B43" s="647" t="s">
        <v>169</v>
      </c>
      <c r="C43" s="660" t="s">
        <v>21</v>
      </c>
      <c r="D43" s="649" t="s">
        <v>22</v>
      </c>
      <c r="E43" s="484" t="s">
        <v>166</v>
      </c>
      <c r="F43" s="471">
        <f>VLOOKUP(E43,'[2]условия, ФОТ'!$A$14:$I$28,9, FALSE)</f>
        <v>251.34</v>
      </c>
      <c r="G43" s="478">
        <v>0.68</v>
      </c>
      <c r="H43" s="661">
        <f>ROUND(F43*G43+F44*G44,2)</f>
        <v>316.32</v>
      </c>
      <c r="I43" s="661">
        <f>ROUND(H43*$I$5,2)</f>
        <v>95.53</v>
      </c>
      <c r="J43" s="661">
        <f>H43+I43</f>
        <v>411.85</v>
      </c>
      <c r="K43" s="669"/>
      <c r="L43" s="661"/>
      <c r="M43" s="661"/>
      <c r="N43" s="661"/>
      <c r="O43" s="661">
        <f>SUM(O45:O51)</f>
        <v>117.25</v>
      </c>
      <c r="P43" s="661">
        <f>J43+O43</f>
        <v>529.1</v>
      </c>
      <c r="Q43" s="661">
        <f>ROUND(P43*$Q$5,2)</f>
        <v>351.85</v>
      </c>
      <c r="R43" s="665">
        <f>ROUND(T43/1.2,2)</f>
        <v>991.67</v>
      </c>
      <c r="S43" s="665">
        <f t="shared" ref="S43:S44" si="14">ROUND(R43*$S$5,2)</f>
        <v>198.33</v>
      </c>
      <c r="T43" s="665">
        <f>ROUND((P43+Q43)*(1+Y43)*1.2,0)</f>
        <v>1190</v>
      </c>
      <c r="U43" s="666">
        <v>907</v>
      </c>
      <c r="V43" s="668">
        <f t="shared" ref="V43" si="15">T43/U43*100-100</f>
        <v>31.201764057331872</v>
      </c>
      <c r="W43" s="678">
        <v>1009</v>
      </c>
      <c r="X43" s="679">
        <f>T43/W43*100-100</f>
        <v>17.938553022794849</v>
      </c>
      <c r="Y43" s="680">
        <v>0.12559999999999999</v>
      </c>
      <c r="Z43" s="681" t="e">
        <f>#REF!*Y43</f>
        <v>#REF!</v>
      </c>
      <c r="AA43" s="278"/>
      <c r="AB43" s="235">
        <v>967.82400000000007</v>
      </c>
      <c r="AC43" s="674"/>
      <c r="AD43" s="683">
        <f>T43-W43</f>
        <v>181</v>
      </c>
      <c r="AE43" s="284"/>
      <c r="AG43" s="670">
        <v>0.1414</v>
      </c>
      <c r="AH43" s="670">
        <f t="shared" si="0"/>
        <v>0.1414</v>
      </c>
      <c r="AI43" s="670">
        <v>0</v>
      </c>
      <c r="AK43" s="676"/>
      <c r="AL43" s="287"/>
      <c r="AM43" s="670">
        <v>1.034</v>
      </c>
      <c r="AN43" s="672">
        <v>0.1414</v>
      </c>
      <c r="AO43" s="670" t="e">
        <f>#REF!-AM43</f>
        <v>#REF!</v>
      </c>
      <c r="AQ43" s="672">
        <f>Y43-AN43</f>
        <v>-1.5800000000000008E-2</v>
      </c>
      <c r="AR43" s="674">
        <v>968</v>
      </c>
      <c r="AS43" s="675" t="b">
        <f>W43=AR43</f>
        <v>0</v>
      </c>
      <c r="AT43" s="289" t="e">
        <f>ROUND(W43/T43*100-100,2)+#REF!</f>
        <v>#REF!</v>
      </c>
      <c r="AU43"/>
      <c r="AV43"/>
      <c r="AW43">
        <f>ROUND(T43/W43,3)</f>
        <v>1.179</v>
      </c>
    </row>
    <row r="44" spans="1:49" s="82" customFormat="1" ht="16.5" customHeight="1" x14ac:dyDescent="0.25">
      <c r="A44" s="647"/>
      <c r="B44" s="647"/>
      <c r="C44" s="660"/>
      <c r="D44" s="649"/>
      <c r="E44" s="484" t="s">
        <v>162</v>
      </c>
      <c r="F44" s="471">
        <f>VLOOKUP(E44,'[2]условия, ФОТ'!$A$14:$I$28,9, FALSE)</f>
        <v>213.84</v>
      </c>
      <c r="G44" s="478">
        <v>0.68</v>
      </c>
      <c r="H44" s="661"/>
      <c r="I44" s="661"/>
      <c r="J44" s="661"/>
      <c r="K44" s="669"/>
      <c r="L44" s="661"/>
      <c r="M44" s="661"/>
      <c r="N44" s="661"/>
      <c r="O44" s="661"/>
      <c r="P44" s="661"/>
      <c r="Q44" s="661"/>
      <c r="R44" s="665">
        <f t="shared" ref="R44" si="16">ROUND(T44/1.18,2)</f>
        <v>0</v>
      </c>
      <c r="S44" s="665">
        <f t="shared" si="14"/>
        <v>0</v>
      </c>
      <c r="T44" s="665">
        <f>ROUND((P44+Q44)*(1+$R$5)*1.18,0)</f>
        <v>0</v>
      </c>
      <c r="U44" s="667"/>
      <c r="V44" s="668"/>
      <c r="W44" s="678">
        <v>0</v>
      </c>
      <c r="X44" s="679"/>
      <c r="Y44" s="680"/>
      <c r="Z44" s="682"/>
      <c r="AA44" s="278"/>
      <c r="AB44" s="235"/>
      <c r="AC44" s="674"/>
      <c r="AD44" s="684"/>
      <c r="AE44" s="284"/>
      <c r="AG44" s="671"/>
      <c r="AH44" s="671"/>
      <c r="AI44" s="671"/>
      <c r="AK44" s="677"/>
      <c r="AL44" s="287"/>
      <c r="AM44" s="671"/>
      <c r="AN44" s="673"/>
      <c r="AO44" s="671"/>
      <c r="AQ44" s="673"/>
      <c r="AR44" s="674"/>
      <c r="AS44" s="675"/>
      <c r="AT44" s="289"/>
      <c r="AU44"/>
      <c r="AV44"/>
      <c r="AW44"/>
    </row>
    <row r="45" spans="1:49" s="82" customFormat="1" ht="16.5" customHeight="1" outlineLevel="1" x14ac:dyDescent="0.3">
      <c r="A45" s="647"/>
      <c r="B45" s="477"/>
      <c r="C45" s="475"/>
      <c r="D45" s="484"/>
      <c r="E45" s="484"/>
      <c r="F45" s="471"/>
      <c r="G45" s="478"/>
      <c r="H45" s="471"/>
      <c r="I45" s="471"/>
      <c r="J45" s="295" t="s">
        <v>366</v>
      </c>
      <c r="K45" s="296" t="s">
        <v>323</v>
      </c>
      <c r="L45" s="478" t="str">
        <f>VLOOKUP(K45,[2]материалы!$A$5:$G$31,5, FALSE)</f>
        <v>м3</v>
      </c>
      <c r="M45" s="471">
        <f>VLOOKUP(K45,[2]материалы!$A$5:$G$34,7, FALSE)</f>
        <v>486.11</v>
      </c>
      <c r="N45" s="478">
        <v>8.7499999999999994E-2</v>
      </c>
      <c r="O45" s="471">
        <f>ROUND(M45*N45,2)</f>
        <v>42.53</v>
      </c>
      <c r="P45" s="471"/>
      <c r="Q45" s="471"/>
      <c r="R45" s="472"/>
      <c r="S45" s="472"/>
      <c r="T45" s="472"/>
      <c r="U45" s="269"/>
      <c r="V45" s="270"/>
      <c r="W45" s="486"/>
      <c r="X45" s="470"/>
      <c r="Y45" s="499"/>
      <c r="Z45" s="487"/>
      <c r="AA45" s="278"/>
      <c r="AB45" s="235"/>
      <c r="AC45" s="467"/>
      <c r="AD45" s="468"/>
      <c r="AE45" s="284"/>
      <c r="AG45" s="285"/>
      <c r="AH45" s="285"/>
      <c r="AI45" s="285"/>
      <c r="AK45" s="286"/>
      <c r="AL45" s="287"/>
      <c r="AM45" s="285"/>
      <c r="AN45" s="288"/>
      <c r="AO45" s="285"/>
      <c r="AQ45" s="288"/>
      <c r="AR45" s="467"/>
      <c r="AS45" s="127"/>
      <c r="AT45" s="289"/>
      <c r="AU45"/>
      <c r="AV45"/>
      <c r="AW45"/>
    </row>
    <row r="46" spans="1:49" s="82" customFormat="1" ht="18.95" customHeight="1" outlineLevel="1" x14ac:dyDescent="0.3">
      <c r="A46" s="647"/>
      <c r="B46" s="477"/>
      <c r="C46" s="475"/>
      <c r="D46" s="484"/>
      <c r="E46" s="484"/>
      <c r="F46" s="471"/>
      <c r="G46" s="478"/>
      <c r="H46" s="471"/>
      <c r="I46" s="471"/>
      <c r="J46" s="471"/>
      <c r="K46" s="296" t="s">
        <v>324</v>
      </c>
      <c r="L46" s="478" t="str">
        <f>VLOOKUP(K46,[2]материалы!$A$5:$G$31,5, FALSE)</f>
        <v>м3</v>
      </c>
      <c r="M46" s="471">
        <f>VLOOKUP(K46,[2]материалы!$A$5:$G$34,7, FALSE)</f>
        <v>152.78</v>
      </c>
      <c r="N46" s="471">
        <v>0.15</v>
      </c>
      <c r="O46" s="471">
        <f t="shared" ref="O46:O51" si="17">ROUND(M46*N46,2)</f>
        <v>22.92</v>
      </c>
      <c r="P46" s="471"/>
      <c r="Q46" s="471"/>
      <c r="R46" s="472"/>
      <c r="S46" s="472"/>
      <c r="T46" s="472"/>
      <c r="U46" s="269"/>
      <c r="V46" s="270"/>
      <c r="W46" s="486"/>
      <c r="X46" s="470"/>
      <c r="Y46" s="499"/>
      <c r="Z46" s="487"/>
      <c r="AA46" s="278"/>
      <c r="AB46" s="235"/>
      <c r="AC46" s="467"/>
      <c r="AD46" s="468"/>
      <c r="AE46" s="284"/>
      <c r="AG46" s="285"/>
      <c r="AH46" s="285"/>
      <c r="AI46" s="285"/>
      <c r="AK46" s="286"/>
      <c r="AL46" s="287"/>
      <c r="AM46" s="285"/>
      <c r="AN46" s="288"/>
      <c r="AO46" s="285"/>
      <c r="AQ46" s="288"/>
      <c r="AR46" s="467"/>
      <c r="AS46" s="127"/>
      <c r="AT46" s="289"/>
      <c r="AU46"/>
      <c r="AV46"/>
      <c r="AW46"/>
    </row>
    <row r="47" spans="1:49" s="82" customFormat="1" ht="42" customHeight="1" outlineLevel="1" x14ac:dyDescent="0.3">
      <c r="A47" s="647"/>
      <c r="B47" s="477"/>
      <c r="C47" s="475"/>
      <c r="D47" s="484"/>
      <c r="E47" s="484"/>
      <c r="F47" s="471"/>
      <c r="G47" s="478"/>
      <c r="H47" s="471"/>
      <c r="I47" s="471"/>
      <c r="J47" s="471"/>
      <c r="K47" s="296" t="s">
        <v>341</v>
      </c>
      <c r="L47" s="478" t="str">
        <f>VLOOKUP(K47,[2]материалы!$A$5:$G$31,5, FALSE)</f>
        <v>кг</v>
      </c>
      <c r="M47" s="471">
        <f>VLOOKUP(K47,[2]материалы!$A$5:$G$34,7, FALSE)</f>
        <v>125</v>
      </c>
      <c r="N47" s="471">
        <v>0.1</v>
      </c>
      <c r="O47" s="471">
        <f t="shared" si="17"/>
        <v>12.5</v>
      </c>
      <c r="P47" s="471"/>
      <c r="Q47" s="471"/>
      <c r="R47" s="472"/>
      <c r="S47" s="472"/>
      <c r="T47" s="472"/>
      <c r="U47" s="269"/>
      <c r="V47" s="270"/>
      <c r="W47" s="486"/>
      <c r="X47" s="470"/>
      <c r="Y47" s="499"/>
      <c r="Z47" s="487"/>
      <c r="AA47" s="278"/>
      <c r="AB47" s="235"/>
      <c r="AC47" s="467"/>
      <c r="AD47" s="468"/>
      <c r="AE47" s="284"/>
      <c r="AG47" s="285"/>
      <c r="AH47" s="285"/>
      <c r="AI47" s="285"/>
      <c r="AK47" s="286"/>
      <c r="AL47" s="287"/>
      <c r="AM47" s="285"/>
      <c r="AN47" s="288"/>
      <c r="AO47" s="285"/>
      <c r="AQ47" s="288"/>
      <c r="AR47" s="467"/>
      <c r="AS47" s="127"/>
      <c r="AT47" s="289"/>
      <c r="AU47"/>
      <c r="AV47"/>
      <c r="AW47"/>
    </row>
    <row r="48" spans="1:49" s="82" customFormat="1" ht="30.75" customHeight="1" outlineLevel="1" x14ac:dyDescent="0.3">
      <c r="A48" s="647"/>
      <c r="B48" s="477"/>
      <c r="C48" s="475"/>
      <c r="D48" s="484"/>
      <c r="E48" s="484"/>
      <c r="F48" s="471"/>
      <c r="G48" s="478"/>
      <c r="H48" s="471"/>
      <c r="I48" s="471"/>
      <c r="J48" s="471"/>
      <c r="K48" s="296" t="s">
        <v>346</v>
      </c>
      <c r="L48" s="478" t="str">
        <f>VLOOKUP(K48,[2]материалы!$A$5:$G$31,5, FALSE)</f>
        <v>шт.</v>
      </c>
      <c r="M48" s="471">
        <f>VLOOKUP(K48,[2]материалы!$A$5:$G$34,7, FALSE)</f>
        <v>29.17</v>
      </c>
      <c r="N48" s="471">
        <v>1</v>
      </c>
      <c r="O48" s="471">
        <f t="shared" si="17"/>
        <v>29.17</v>
      </c>
      <c r="P48" s="471"/>
      <c r="Q48" s="471"/>
      <c r="R48" s="472"/>
      <c r="S48" s="472"/>
      <c r="T48" s="472"/>
      <c r="U48" s="269"/>
      <c r="V48" s="270"/>
      <c r="W48" s="486"/>
      <c r="X48" s="470"/>
      <c r="Y48" s="499"/>
      <c r="Z48" s="487"/>
      <c r="AA48" s="278"/>
      <c r="AB48" s="235"/>
      <c r="AC48" s="467"/>
      <c r="AD48" s="468"/>
      <c r="AE48" s="284"/>
      <c r="AG48" s="285"/>
      <c r="AH48" s="285"/>
      <c r="AI48" s="285"/>
      <c r="AK48" s="286"/>
      <c r="AL48" s="287"/>
      <c r="AM48" s="285"/>
      <c r="AN48" s="288"/>
      <c r="AO48" s="285"/>
      <c r="AQ48" s="288"/>
      <c r="AR48" s="467"/>
      <c r="AS48" s="127"/>
      <c r="AT48" s="289"/>
      <c r="AU48"/>
      <c r="AV48"/>
      <c r="AW48"/>
    </row>
    <row r="49" spans="1:49" s="82" customFormat="1" ht="36" customHeight="1" outlineLevel="1" x14ac:dyDescent="0.3">
      <c r="A49" s="647"/>
      <c r="B49" s="477"/>
      <c r="C49" s="475"/>
      <c r="D49" s="484"/>
      <c r="E49" s="484"/>
      <c r="F49" s="471"/>
      <c r="G49" s="478"/>
      <c r="H49" s="471"/>
      <c r="I49" s="471"/>
      <c r="J49" s="471"/>
      <c r="K49" s="296" t="s">
        <v>342</v>
      </c>
      <c r="L49" s="478" t="str">
        <f>VLOOKUP(K49,[2]материалы!$A$5:$G$31,5, FALSE)</f>
        <v>шт.</v>
      </c>
      <c r="M49" s="471">
        <f>VLOOKUP(K49,[2]материалы!$A$5:$G$34,7, FALSE)</f>
        <v>37.5</v>
      </c>
      <c r="N49" s="471">
        <v>0.25</v>
      </c>
      <c r="O49" s="471">
        <f t="shared" si="17"/>
        <v>9.3800000000000008</v>
      </c>
      <c r="P49" s="471"/>
      <c r="Q49" s="471"/>
      <c r="R49" s="472"/>
      <c r="S49" s="472"/>
      <c r="T49" s="472"/>
      <c r="U49" s="269"/>
      <c r="V49" s="270"/>
      <c r="W49" s="486"/>
      <c r="X49" s="470"/>
      <c r="Y49" s="499"/>
      <c r="Z49" s="487"/>
      <c r="AA49" s="278"/>
      <c r="AB49" s="235"/>
      <c r="AC49" s="467"/>
      <c r="AD49" s="468"/>
      <c r="AE49" s="284"/>
      <c r="AG49" s="285"/>
      <c r="AH49" s="285"/>
      <c r="AI49" s="285"/>
      <c r="AK49" s="286"/>
      <c r="AL49" s="287"/>
      <c r="AM49" s="285"/>
      <c r="AN49" s="288"/>
      <c r="AO49" s="285"/>
      <c r="AQ49" s="288"/>
      <c r="AR49" s="467"/>
      <c r="AS49" s="127"/>
      <c r="AT49" s="289"/>
      <c r="AU49"/>
      <c r="AV49"/>
      <c r="AW49"/>
    </row>
    <row r="50" spans="1:49" s="82" customFormat="1" ht="17.25" customHeight="1" outlineLevel="1" x14ac:dyDescent="0.3">
      <c r="A50" s="647"/>
      <c r="B50" s="477"/>
      <c r="C50" s="475"/>
      <c r="D50" s="484"/>
      <c r="E50" s="484"/>
      <c r="F50" s="471"/>
      <c r="G50" s="478"/>
      <c r="H50" s="471"/>
      <c r="I50" s="471"/>
      <c r="J50" s="471"/>
      <c r="K50" s="296" t="s">
        <v>330</v>
      </c>
      <c r="L50" s="478" t="str">
        <f>VLOOKUP(K50,[2]материалы!$A$5:$G$31,5, FALSE)</f>
        <v>кг</v>
      </c>
      <c r="M50" s="471">
        <f>VLOOKUP(K50,[2]материалы!$A$5:$G$34,7, FALSE)</f>
        <v>66.67</v>
      </c>
      <c r="N50" s="471">
        <v>0.01</v>
      </c>
      <c r="O50" s="471">
        <f t="shared" si="17"/>
        <v>0.67</v>
      </c>
      <c r="P50" s="471"/>
      <c r="Q50" s="471"/>
      <c r="R50" s="472"/>
      <c r="S50" s="472"/>
      <c r="T50" s="472"/>
      <c r="U50" s="269"/>
      <c r="V50" s="270"/>
      <c r="W50" s="486"/>
      <c r="X50" s="470"/>
      <c r="Y50" s="499"/>
      <c r="Z50" s="487"/>
      <c r="AA50" s="278"/>
      <c r="AB50" s="235"/>
      <c r="AC50" s="467"/>
      <c r="AD50" s="468"/>
      <c r="AE50" s="284"/>
      <c r="AG50" s="285"/>
      <c r="AH50" s="285"/>
      <c r="AI50" s="285"/>
      <c r="AK50" s="286"/>
      <c r="AL50" s="287"/>
      <c r="AM50" s="285"/>
      <c r="AN50" s="288"/>
      <c r="AO50" s="285"/>
      <c r="AQ50" s="288"/>
      <c r="AR50" s="467"/>
      <c r="AS50" s="127"/>
      <c r="AT50" s="289"/>
      <c r="AU50"/>
      <c r="AV50"/>
      <c r="AW50"/>
    </row>
    <row r="51" spans="1:49" s="82" customFormat="1" ht="16.5" customHeight="1" outlineLevel="1" x14ac:dyDescent="0.3">
      <c r="A51" s="647"/>
      <c r="B51" s="477"/>
      <c r="C51" s="475"/>
      <c r="D51" s="484"/>
      <c r="E51" s="484"/>
      <c r="F51" s="471"/>
      <c r="G51" s="478"/>
      <c r="H51" s="471"/>
      <c r="I51" s="471"/>
      <c r="J51" s="471"/>
      <c r="K51" s="296" t="s">
        <v>329</v>
      </c>
      <c r="L51" s="478" t="str">
        <f>VLOOKUP(K51,[2]материалы!$A$5:$G$31,5, FALSE)</f>
        <v>кг</v>
      </c>
      <c r="M51" s="471">
        <f>VLOOKUP(K51,[2]материалы!$A$5:$G$34,7, FALSE)</f>
        <v>79.17</v>
      </c>
      <c r="N51" s="471">
        <v>1E-3</v>
      </c>
      <c r="O51" s="471">
        <f t="shared" si="17"/>
        <v>0.08</v>
      </c>
      <c r="P51" s="471"/>
      <c r="Q51" s="471"/>
      <c r="R51" s="472"/>
      <c r="S51" s="472"/>
      <c r="T51" s="472"/>
      <c r="U51" s="269"/>
      <c r="V51" s="270"/>
      <c r="W51" s="486"/>
      <c r="X51" s="470"/>
      <c r="Y51" s="499"/>
      <c r="Z51" s="487"/>
      <c r="AA51" s="278"/>
      <c r="AB51" s="235"/>
      <c r="AC51" s="467"/>
      <c r="AD51" s="468"/>
      <c r="AE51" s="284"/>
      <c r="AG51" s="285"/>
      <c r="AH51" s="285"/>
      <c r="AI51" s="285"/>
      <c r="AK51" s="286"/>
      <c r="AL51" s="287"/>
      <c r="AM51" s="285"/>
      <c r="AN51" s="288"/>
      <c r="AO51" s="285"/>
      <c r="AQ51" s="288"/>
      <c r="AR51" s="467"/>
      <c r="AS51" s="127"/>
      <c r="AT51" s="289"/>
      <c r="AU51"/>
      <c r="AV51"/>
      <c r="AW51"/>
    </row>
    <row r="52" spans="1:49" s="82" customFormat="1" ht="61.5" customHeight="1" x14ac:dyDescent="0.3">
      <c r="A52" s="647"/>
      <c r="B52" s="477" t="s">
        <v>170</v>
      </c>
      <c r="C52" s="475" t="s">
        <v>559</v>
      </c>
      <c r="D52" s="471" t="s">
        <v>26</v>
      </c>
      <c r="E52" s="484" t="s">
        <v>162</v>
      </c>
      <c r="F52" s="471">
        <f>VLOOKUP(E52,'[2]условия, ФОТ'!$A$14:$I$28,9, FALSE)</f>
        <v>213.84</v>
      </c>
      <c r="G52" s="478">
        <v>0.25</v>
      </c>
      <c r="H52" s="471">
        <f>ROUND(F52*G52,2)</f>
        <v>53.46</v>
      </c>
      <c r="I52" s="471">
        <f>ROUND(H52*$I$5,2)</f>
        <v>16.14</v>
      </c>
      <c r="J52" s="471">
        <f>H52+I52</f>
        <v>69.599999999999994</v>
      </c>
      <c r="K52" s="479"/>
      <c r="L52" s="471"/>
      <c r="M52" s="471"/>
      <c r="N52" s="471"/>
      <c r="O52" s="471">
        <f>SUM(O53:O55)</f>
        <v>4.3500000000000005</v>
      </c>
      <c r="P52" s="471">
        <f>J52+O52</f>
        <v>73.949999999999989</v>
      </c>
      <c r="Q52" s="471">
        <f>ROUND(P52*$Q$5,2)</f>
        <v>49.18</v>
      </c>
      <c r="R52" s="472">
        <f>ROUND(T52/1.2,2)</f>
        <v>132.5</v>
      </c>
      <c r="S52" s="472">
        <f>ROUND(R52*$S$5,2)</f>
        <v>26.5</v>
      </c>
      <c r="T52" s="472">
        <f>ROUND((P52+Q52)*(1+Y52)*1.2,0)</f>
        <v>159</v>
      </c>
      <c r="U52" s="269">
        <v>115</v>
      </c>
      <c r="V52" s="270">
        <f>T52/U52*100-100</f>
        <v>38.260869565217405</v>
      </c>
      <c r="W52" s="498">
        <v>135</v>
      </c>
      <c r="X52" s="470">
        <f>T52/W52*100-100</f>
        <v>17.777777777777786</v>
      </c>
      <c r="Y52" s="499">
        <v>7.4200000000000002E-2</v>
      </c>
      <c r="Z52" s="487" t="e">
        <f>#REF!*Y52</f>
        <v>#REF!</v>
      </c>
      <c r="AA52" s="278"/>
      <c r="AB52" s="235">
        <v>123.04600000000001</v>
      </c>
      <c r="AC52" s="467"/>
      <c r="AD52" s="500">
        <f>T52-W52</f>
        <v>24</v>
      </c>
      <c r="AE52" s="284"/>
      <c r="AG52" s="285">
        <v>-9.2999999999999992E-3</v>
      </c>
      <c r="AH52" s="285">
        <f t="shared" si="0"/>
        <v>1.0093000000000001</v>
      </c>
      <c r="AI52" s="285">
        <v>1.044</v>
      </c>
      <c r="AK52" s="286">
        <f>ROUND(W52*AI52,2)</f>
        <v>140.94</v>
      </c>
      <c r="AL52" s="287"/>
      <c r="AM52" s="285">
        <v>1.034</v>
      </c>
      <c r="AN52" s="288">
        <v>-9.2999999999999992E-3</v>
      </c>
      <c r="AO52" s="285" t="e">
        <f>#REF!-AM52</f>
        <v>#REF!</v>
      </c>
      <c r="AQ52" s="288">
        <f>Y52-AN52</f>
        <v>8.3500000000000005E-2</v>
      </c>
      <c r="AR52" s="467">
        <v>130</v>
      </c>
      <c r="AS52" s="127" t="b">
        <f>W52=AR52</f>
        <v>0</v>
      </c>
      <c r="AT52" s="289" t="e">
        <f>ROUND(W52/T52*100-100,2)+#REF!</f>
        <v>#REF!</v>
      </c>
      <c r="AU52"/>
      <c r="AV52"/>
      <c r="AW52">
        <f>ROUND(T52/W52,3)</f>
        <v>1.1779999999999999</v>
      </c>
    </row>
    <row r="53" spans="1:49" s="82" customFormat="1" ht="27" customHeight="1" x14ac:dyDescent="0.3">
      <c r="A53" s="712" t="s">
        <v>638</v>
      </c>
      <c r="B53" s="712"/>
      <c r="C53" s="712"/>
      <c r="D53" s="712"/>
      <c r="E53" s="712"/>
      <c r="F53" s="712"/>
      <c r="G53" s="712"/>
      <c r="H53" s="712"/>
      <c r="I53" s="712"/>
      <c r="J53" s="295" t="s">
        <v>366</v>
      </c>
      <c r="K53" s="121" t="s">
        <v>335</v>
      </c>
      <c r="L53" s="478" t="str">
        <f>VLOOKUP(K53,[2]материалы!$A$5:$G$31,5, FALSE)</f>
        <v>кг</v>
      </c>
      <c r="M53" s="471">
        <f>VLOOKUP(K53,[2]материалы!$A$5:$G$34,7, FALSE)</f>
        <v>720.83</v>
      </c>
      <c r="N53" s="471">
        <v>5.0000000000000001E-3</v>
      </c>
      <c r="O53" s="471">
        <f t="shared" ref="O53:O55" si="18">ROUND(M53*N53,2)</f>
        <v>3.6</v>
      </c>
      <c r="P53" s="471"/>
      <c r="Q53" s="471"/>
      <c r="R53" s="472"/>
      <c r="S53" s="472"/>
      <c r="T53" s="472"/>
      <c r="U53" s="269"/>
      <c r="V53" s="270"/>
      <c r="W53" s="486"/>
      <c r="X53" s="470"/>
      <c r="Y53" s="499"/>
      <c r="Z53" s="487"/>
      <c r="AA53" s="278"/>
      <c r="AB53" s="235"/>
      <c r="AC53" s="467"/>
      <c r="AD53" s="468"/>
      <c r="AE53" s="284"/>
      <c r="AG53" s="285"/>
      <c r="AH53" s="285"/>
      <c r="AI53" s="285"/>
      <c r="AK53" s="286"/>
      <c r="AL53" s="287"/>
      <c r="AM53" s="285"/>
      <c r="AN53" s="288"/>
      <c r="AO53" s="285"/>
      <c r="AQ53" s="288"/>
      <c r="AR53" s="467"/>
      <c r="AS53" s="127"/>
      <c r="AT53" s="289"/>
      <c r="AU53"/>
      <c r="AV53"/>
      <c r="AW53"/>
    </row>
    <row r="54" spans="1:49" s="82" customFormat="1" ht="22.5" customHeight="1" x14ac:dyDescent="0.3">
      <c r="A54" s="712"/>
      <c r="B54" s="712"/>
      <c r="C54" s="712"/>
      <c r="D54" s="712"/>
      <c r="E54" s="712"/>
      <c r="F54" s="712"/>
      <c r="G54" s="712"/>
      <c r="H54" s="712"/>
      <c r="I54" s="712"/>
      <c r="J54" s="471"/>
      <c r="K54" s="296" t="s">
        <v>329</v>
      </c>
      <c r="L54" s="478" t="str">
        <f>VLOOKUP(K54,[2]материалы!$A$5:$G$31,5, FALSE)</f>
        <v>кг</v>
      </c>
      <c r="M54" s="471">
        <f>VLOOKUP(K54,[2]материалы!$A$5:$G$34,7, FALSE)</f>
        <v>79.17</v>
      </c>
      <c r="N54" s="301">
        <f>0.001</f>
        <v>1E-3</v>
      </c>
      <c r="O54" s="471">
        <f t="shared" si="18"/>
        <v>0.08</v>
      </c>
      <c r="P54" s="471"/>
      <c r="Q54" s="471"/>
      <c r="R54" s="472"/>
      <c r="S54" s="472"/>
      <c r="T54" s="472"/>
      <c r="U54" s="269"/>
      <c r="V54" s="270"/>
      <c r="W54" s="486"/>
      <c r="X54" s="470"/>
      <c r="Y54" s="499"/>
      <c r="Z54" s="487"/>
      <c r="AA54" s="278"/>
      <c r="AB54" s="235"/>
      <c r="AC54" s="467"/>
      <c r="AD54" s="468"/>
      <c r="AE54" s="284"/>
      <c r="AG54" s="285"/>
      <c r="AH54" s="285"/>
      <c r="AI54" s="285"/>
      <c r="AK54" s="286"/>
      <c r="AL54" s="287"/>
      <c r="AM54" s="285"/>
      <c r="AN54" s="288"/>
      <c r="AO54" s="285"/>
      <c r="AQ54" s="288"/>
      <c r="AR54" s="467"/>
      <c r="AS54" s="127"/>
      <c r="AT54" s="289"/>
      <c r="AU54"/>
      <c r="AV54"/>
      <c r="AW54"/>
    </row>
    <row r="55" spans="1:49" s="82" customFormat="1" ht="18.75" customHeight="1" x14ac:dyDescent="0.3">
      <c r="A55" s="712"/>
      <c r="B55" s="712"/>
      <c r="C55" s="712"/>
      <c r="D55" s="712"/>
      <c r="E55" s="712"/>
      <c r="F55" s="712"/>
      <c r="G55" s="712"/>
      <c r="H55" s="712"/>
      <c r="I55" s="712"/>
      <c r="J55" s="471"/>
      <c r="K55" s="296" t="s">
        <v>330</v>
      </c>
      <c r="L55" s="478" t="str">
        <f>VLOOKUP(K55,[2]материалы!$A$5:$G$31,5, FALSE)</f>
        <v>кг</v>
      </c>
      <c r="M55" s="471">
        <f>VLOOKUP(K55,[2]материалы!$A$5:$G$34,7, FALSE)</f>
        <v>66.67</v>
      </c>
      <c r="N55" s="478">
        <f>0.01</f>
        <v>0.01</v>
      </c>
      <c r="O55" s="471">
        <f t="shared" si="18"/>
        <v>0.67</v>
      </c>
      <c r="P55" s="471"/>
      <c r="Q55" s="471"/>
      <c r="R55" s="472"/>
      <c r="S55" s="472"/>
      <c r="T55" s="472"/>
      <c r="U55" s="269"/>
      <c r="V55" s="270"/>
      <c r="W55" s="486"/>
      <c r="X55" s="470"/>
      <c r="Y55" s="499"/>
      <c r="Z55" s="487"/>
      <c r="AA55" s="278"/>
      <c r="AB55" s="235"/>
      <c r="AC55" s="467"/>
      <c r="AD55" s="468"/>
      <c r="AE55" s="284"/>
      <c r="AG55" s="285"/>
      <c r="AH55" s="285"/>
      <c r="AI55" s="285"/>
      <c r="AK55" s="286"/>
      <c r="AL55" s="287"/>
      <c r="AM55" s="285"/>
      <c r="AN55" s="288"/>
      <c r="AO55" s="285"/>
      <c r="AQ55" s="288"/>
      <c r="AR55" s="467"/>
      <c r="AS55" s="127"/>
      <c r="AT55" s="289"/>
      <c r="AU55"/>
      <c r="AV55"/>
      <c r="AW55"/>
    </row>
    <row r="56" spans="1:49" s="305" customFormat="1" ht="37.5" customHeight="1" x14ac:dyDescent="0.3">
      <c r="A56" s="477" t="s">
        <v>639</v>
      </c>
      <c r="B56" s="477" t="s">
        <v>27</v>
      </c>
      <c r="C56" s="475" t="s">
        <v>640</v>
      </c>
      <c r="D56" s="484" t="s">
        <v>28</v>
      </c>
      <c r="E56" s="484" t="s">
        <v>162</v>
      </c>
      <c r="F56" s="471">
        <f>VLOOKUP(E56,'[2]условия, ФОТ'!$A$14:$I$28,9, FALSE)</f>
        <v>213.84</v>
      </c>
      <c r="G56" s="471">
        <v>1</v>
      </c>
      <c r="H56" s="471">
        <f>ROUND(F56*G56,2)</f>
        <v>213.84</v>
      </c>
      <c r="I56" s="471">
        <f>ROUND(H56*$I$5,2)</f>
        <v>64.58</v>
      </c>
      <c r="J56" s="471">
        <f>H56+I56</f>
        <v>278.42</v>
      </c>
      <c r="K56" s="479"/>
      <c r="L56" s="471"/>
      <c r="M56" s="471"/>
      <c r="N56" s="471"/>
      <c r="O56" s="471">
        <f>O57</f>
        <v>110.83</v>
      </c>
      <c r="P56" s="471">
        <f t="shared" si="5"/>
        <v>389.25</v>
      </c>
      <c r="Q56" s="471">
        <f t="shared" si="10"/>
        <v>258.85000000000002</v>
      </c>
      <c r="R56" s="472">
        <f>ROUND(T56/1.2,2)</f>
        <v>675</v>
      </c>
      <c r="S56" s="472">
        <f>ROUND(R56*$S$5,2)</f>
        <v>135</v>
      </c>
      <c r="T56" s="472">
        <f>ROUND((P56+Q56)*(1+Y56)*1.2,0)</f>
        <v>810</v>
      </c>
      <c r="U56" s="309">
        <v>534</v>
      </c>
      <c r="V56" s="488">
        <f>T56/U56*100-100</f>
        <v>51.685393258426956</v>
      </c>
      <c r="W56" s="485">
        <v>720</v>
      </c>
      <c r="X56" s="483">
        <f>T56/W56*100-100</f>
        <v>12.5</v>
      </c>
      <c r="Y56" s="502">
        <v>4.19E-2</v>
      </c>
      <c r="Z56" s="317" t="e">
        <f>#REF!*Y56</f>
        <v>#REF!</v>
      </c>
      <c r="AA56" s="334"/>
      <c r="AB56" s="303">
        <v>569.73400000000004</v>
      </c>
      <c r="AC56" s="480"/>
      <c r="AD56" s="500">
        <f>T56-W56</f>
        <v>90</v>
      </c>
      <c r="AE56" s="304"/>
      <c r="AG56" s="322">
        <v>2.2700000000000001E-2</v>
      </c>
      <c r="AH56" s="322">
        <f t="shared" si="0"/>
        <v>2.2700000000000001E-2</v>
      </c>
      <c r="AI56" s="322">
        <v>0</v>
      </c>
      <c r="AK56" s="323"/>
      <c r="AL56" s="306"/>
      <c r="AM56" s="322">
        <v>1.034</v>
      </c>
      <c r="AN56" s="324">
        <v>2.2700000000000001E-2</v>
      </c>
      <c r="AO56" s="322" t="e">
        <f>#REF!-AM56</f>
        <v>#REF!</v>
      </c>
      <c r="AQ56" s="324">
        <f>Y56-AN56</f>
        <v>1.9199999999999998E-2</v>
      </c>
      <c r="AR56" s="480">
        <v>570</v>
      </c>
      <c r="AS56" s="325" t="b">
        <f>W56=AR56</f>
        <v>0</v>
      </c>
      <c r="AT56" s="307" t="e">
        <f>ROUND(W56/T56*100-100,2)+#REF!</f>
        <v>#REF!</v>
      </c>
      <c r="AU56" s="308"/>
      <c r="AV56" s="308"/>
      <c r="AW56" s="308">
        <f>ROUND(T56/W56,3)</f>
        <v>1.125</v>
      </c>
    </row>
    <row r="57" spans="1:49" s="305" customFormat="1" ht="27" customHeight="1" outlineLevel="1" x14ac:dyDescent="0.3">
      <c r="A57" s="477"/>
      <c r="B57" s="477"/>
      <c r="C57" s="475"/>
      <c r="D57" s="484"/>
      <c r="E57" s="484"/>
      <c r="F57" s="471"/>
      <c r="G57" s="471"/>
      <c r="H57" s="471"/>
      <c r="I57" s="471"/>
      <c r="J57" s="295" t="s">
        <v>366</v>
      </c>
      <c r="K57" s="296" t="s">
        <v>369</v>
      </c>
      <c r="L57" s="478" t="str">
        <f>VLOOKUP(K57,[2]материалы!$A$5:$G$31,5, FALSE)</f>
        <v>м</v>
      </c>
      <c r="M57" s="471">
        <f>VLOOKUP(K57,[2]материалы!$A$5:$G$34,7, FALSE)</f>
        <v>110.83</v>
      </c>
      <c r="N57" s="478">
        <v>1</v>
      </c>
      <c r="O57" s="471">
        <f t="shared" ref="O57" si="19">ROUND(M57*N57,2)</f>
        <v>110.83</v>
      </c>
      <c r="P57" s="471"/>
      <c r="Q57" s="471"/>
      <c r="R57" s="472"/>
      <c r="S57" s="472"/>
      <c r="T57" s="472"/>
      <c r="U57" s="309"/>
      <c r="V57" s="488"/>
      <c r="W57" s="311"/>
      <c r="X57" s="483"/>
      <c r="Y57" s="501"/>
      <c r="Z57" s="317"/>
      <c r="AA57" s="335"/>
      <c r="AB57" s="303"/>
      <c r="AC57" s="480"/>
      <c r="AD57" s="481"/>
      <c r="AE57" s="304"/>
      <c r="AG57" s="322"/>
      <c r="AH57" s="322"/>
      <c r="AI57" s="322"/>
      <c r="AK57" s="323"/>
      <c r="AL57" s="306"/>
      <c r="AM57" s="322"/>
      <c r="AN57" s="324"/>
      <c r="AO57" s="322"/>
      <c r="AQ57" s="324"/>
      <c r="AR57" s="480"/>
      <c r="AS57" s="325"/>
      <c r="AT57" s="307"/>
      <c r="AU57" s="308"/>
      <c r="AV57" s="308"/>
      <c r="AW57" s="308"/>
    </row>
    <row r="58" spans="1:49" s="82" customFormat="1" ht="59.25" customHeight="1" x14ac:dyDescent="0.3">
      <c r="A58" s="477" t="s">
        <v>641</v>
      </c>
      <c r="B58" s="477" t="s">
        <v>642</v>
      </c>
      <c r="C58" s="475" t="s">
        <v>643</v>
      </c>
      <c r="D58" s="484" t="s">
        <v>18</v>
      </c>
      <c r="E58" s="471" t="s">
        <v>29</v>
      </c>
      <c r="F58" s="471">
        <f>VLOOKUP(E58,'[2]условия, ФОТ'!$A$14:$I$28,9, FALSE)</f>
        <v>248.54</v>
      </c>
      <c r="G58" s="471">
        <v>1</v>
      </c>
      <c r="H58" s="471">
        <f>ROUND(F58*G58,2)</f>
        <v>248.54</v>
      </c>
      <c r="I58" s="471">
        <f>ROUND(H58*$I$5,2)</f>
        <v>75.06</v>
      </c>
      <c r="J58" s="471">
        <f>H58+I58</f>
        <v>323.60000000000002</v>
      </c>
      <c r="K58" s="479"/>
      <c r="L58" s="471"/>
      <c r="M58" s="471"/>
      <c r="N58" s="471"/>
      <c r="O58" s="471"/>
      <c r="P58" s="471">
        <f>J58+O58</f>
        <v>323.60000000000002</v>
      </c>
      <c r="Q58" s="471">
        <f>ROUND(P58*$Q$5,2)</f>
        <v>215.19</v>
      </c>
      <c r="R58" s="472">
        <f>ROUND(T58/1.2,2)</f>
        <v>621.66999999999996</v>
      </c>
      <c r="S58" s="472">
        <f t="shared" si="11"/>
        <v>124.33</v>
      </c>
      <c r="T58" s="472">
        <f>ROUND((P58+Q58)*(1+Y58)*1.2,0)</f>
        <v>746</v>
      </c>
      <c r="U58" s="269">
        <v>487</v>
      </c>
      <c r="V58" s="270">
        <f>T58/U58*100-100</f>
        <v>53.182751540041068</v>
      </c>
      <c r="W58" s="498">
        <v>542</v>
      </c>
      <c r="X58" s="470">
        <f>T58/W58*100-100</f>
        <v>37.638376383763841</v>
      </c>
      <c r="Y58" s="499">
        <v>0.154</v>
      </c>
      <c r="Z58" s="487" t="e">
        <f>#REF!*Y58</f>
        <v>#REF!</v>
      </c>
      <c r="AA58" s="278"/>
      <c r="AB58" s="235">
        <v>520.10199999999998</v>
      </c>
      <c r="AC58" s="467"/>
      <c r="AD58" s="500">
        <f>T58-W58</f>
        <v>204</v>
      </c>
      <c r="AE58" s="284"/>
      <c r="AG58" s="285">
        <v>0.1249</v>
      </c>
      <c r="AH58" s="285">
        <f t="shared" si="0"/>
        <v>0.1249</v>
      </c>
      <c r="AI58" s="285">
        <v>0</v>
      </c>
      <c r="AK58" s="286"/>
      <c r="AL58" s="287"/>
      <c r="AM58" s="285">
        <v>1.034</v>
      </c>
      <c r="AN58" s="288">
        <v>0.1249</v>
      </c>
      <c r="AO58" s="285" t="e">
        <f>#REF!-AM58</f>
        <v>#REF!</v>
      </c>
      <c r="AQ58" s="288">
        <f>Y58-AN58</f>
        <v>2.9100000000000001E-2</v>
      </c>
      <c r="AR58" s="467">
        <v>520</v>
      </c>
      <c r="AS58" s="127" t="b">
        <f>W58=AR58</f>
        <v>0</v>
      </c>
      <c r="AT58" s="289" t="e">
        <f>ROUND(W58/T58*100-100,2)+#REF!</f>
        <v>#REF!</v>
      </c>
      <c r="AU58"/>
      <c r="AV58"/>
      <c r="AW58">
        <f>ROUND(T58/W58,3)</f>
        <v>1.3759999999999999</v>
      </c>
    </row>
    <row r="59" spans="1:49" s="82" customFormat="1" ht="59.25" customHeight="1" x14ac:dyDescent="0.3">
      <c r="A59" s="477" t="s">
        <v>644</v>
      </c>
      <c r="B59" s="477" t="s">
        <v>642</v>
      </c>
      <c r="C59" s="475" t="s">
        <v>645</v>
      </c>
      <c r="D59" s="484" t="s">
        <v>18</v>
      </c>
      <c r="E59" s="471" t="s">
        <v>29</v>
      </c>
      <c r="F59" s="471">
        <f>VLOOKUP(E59,'[2]условия, ФОТ'!$A$14:$I$28,9, FALSE)</f>
        <v>248.54</v>
      </c>
      <c r="G59" s="471">
        <f>G58*1.5</f>
        <v>1.5</v>
      </c>
      <c r="H59" s="471">
        <f>ROUND(F59*G59,2)</f>
        <v>372.81</v>
      </c>
      <c r="I59" s="471">
        <f>ROUND(H59*$I$5,2)</f>
        <v>112.59</v>
      </c>
      <c r="J59" s="471">
        <f>H59+I59</f>
        <v>485.4</v>
      </c>
      <c r="K59" s="479"/>
      <c r="L59" s="471"/>
      <c r="M59" s="471"/>
      <c r="N59" s="471"/>
      <c r="O59" s="471"/>
      <c r="P59" s="471">
        <f>J59+O59</f>
        <v>485.4</v>
      </c>
      <c r="Q59" s="471">
        <f>ROUND(P59*$Q$5,2)</f>
        <v>322.79000000000002</v>
      </c>
      <c r="R59" s="472">
        <f>ROUND(T59/1.2,2)</f>
        <v>932.5</v>
      </c>
      <c r="S59" s="472">
        <f t="shared" si="11"/>
        <v>186.5</v>
      </c>
      <c r="T59" s="472">
        <f>ROUND((P59+Q59)*(1+Y59)*1.2,0)</f>
        <v>1119</v>
      </c>
      <c r="U59" s="269">
        <v>731</v>
      </c>
      <c r="V59" s="270">
        <f>T59/U59*100-100</f>
        <v>53.077975376196974</v>
      </c>
      <c r="W59" s="498">
        <v>813</v>
      </c>
      <c r="X59" s="470">
        <f>T59/W59*100-100</f>
        <v>37.638376383763841</v>
      </c>
      <c r="Y59" s="499">
        <v>0.15390000000000001</v>
      </c>
      <c r="Z59" s="487" t="e">
        <f>#REF!*Y59</f>
        <v>#REF!</v>
      </c>
      <c r="AA59" s="278"/>
      <c r="AB59" s="235">
        <v>779.63599999999997</v>
      </c>
      <c r="AC59" s="467"/>
      <c r="AD59" s="500">
        <f>T59-W59</f>
        <v>306</v>
      </c>
      <c r="AE59" s="284"/>
      <c r="AG59" s="285">
        <v>0.1242</v>
      </c>
      <c r="AH59" s="285">
        <f t="shared" si="0"/>
        <v>0.1242</v>
      </c>
      <c r="AI59" s="285">
        <v>0</v>
      </c>
      <c r="AK59" s="286"/>
      <c r="AL59" s="287"/>
      <c r="AM59" s="285">
        <v>1.034</v>
      </c>
      <c r="AN59" s="288">
        <v>0.1242</v>
      </c>
      <c r="AO59" s="285" t="e">
        <f>#REF!-AM59</f>
        <v>#REF!</v>
      </c>
      <c r="AQ59" s="288">
        <f>Y59-AN59</f>
        <v>2.9700000000000004E-2</v>
      </c>
      <c r="AR59" s="467">
        <v>780</v>
      </c>
      <c r="AS59" s="127" t="b">
        <f>W59=AR59</f>
        <v>0</v>
      </c>
      <c r="AT59" s="289" t="e">
        <f>ROUND(W59/T59*100-100,2)+#REF!</f>
        <v>#REF!</v>
      </c>
      <c r="AU59"/>
      <c r="AV59"/>
      <c r="AW59">
        <f>ROUND(T59/W59,3)</f>
        <v>1.3759999999999999</v>
      </c>
    </row>
    <row r="60" spans="1:49" s="86" customFormat="1" ht="23.25" customHeight="1" x14ac:dyDescent="0.3">
      <c r="A60" s="651" t="s">
        <v>646</v>
      </c>
      <c r="B60" s="652"/>
      <c r="C60" s="652"/>
      <c r="D60" s="652"/>
      <c r="E60" s="652"/>
      <c r="F60" s="652"/>
      <c r="G60" s="652"/>
      <c r="H60" s="652"/>
      <c r="I60" s="652"/>
      <c r="J60" s="652"/>
      <c r="K60" s="652"/>
      <c r="L60" s="652"/>
      <c r="M60" s="652"/>
      <c r="N60" s="652"/>
      <c r="O60" s="652"/>
      <c r="P60" s="652"/>
      <c r="Q60" s="652"/>
      <c r="R60" s="652"/>
      <c r="S60" s="652"/>
      <c r="T60" s="653"/>
      <c r="U60" s="260"/>
      <c r="V60" s="261"/>
      <c r="W60" s="486"/>
      <c r="X60" s="470"/>
      <c r="Y60" s="499"/>
      <c r="Z60" s="487"/>
      <c r="AA60" s="278"/>
      <c r="AB60" s="235"/>
      <c r="AC60" s="291"/>
      <c r="AD60" s="468"/>
      <c r="AE60" s="284"/>
      <c r="AG60" s="292"/>
      <c r="AH60" s="285"/>
      <c r="AI60" s="285"/>
      <c r="AK60" s="286"/>
      <c r="AL60" s="293"/>
      <c r="AM60" s="292"/>
      <c r="AN60" s="294"/>
      <c r="AO60" s="285"/>
      <c r="AQ60" s="288"/>
      <c r="AR60" s="291"/>
      <c r="AS60" s="127"/>
      <c r="AT60" s="289"/>
      <c r="AU60"/>
      <c r="AV60"/>
      <c r="AW60"/>
    </row>
    <row r="61" spans="1:49" ht="26.25" customHeight="1" x14ac:dyDescent="0.3">
      <c r="A61" s="477" t="s">
        <v>647</v>
      </c>
      <c r="B61" s="477" t="s">
        <v>648</v>
      </c>
      <c r="C61" s="475" t="s">
        <v>649</v>
      </c>
      <c r="D61" s="484" t="s">
        <v>650</v>
      </c>
      <c r="E61" s="484" t="s">
        <v>161</v>
      </c>
      <c r="F61" s="471">
        <f>VLOOKUP(E61,'[2]условия, ФОТ'!$A$14:$I$28,9, FALSE)</f>
        <v>206.19</v>
      </c>
      <c r="G61" s="478">
        <v>4.71</v>
      </c>
      <c r="H61" s="471">
        <f>ROUND(F61*G61,2)</f>
        <v>971.15</v>
      </c>
      <c r="I61" s="471">
        <f>ROUND(H61*$I$5,2)</f>
        <v>293.29000000000002</v>
      </c>
      <c r="J61" s="471">
        <f>H61+I61</f>
        <v>1264.44</v>
      </c>
      <c r="K61" s="479"/>
      <c r="L61" s="471"/>
      <c r="M61" s="471"/>
      <c r="N61" s="471"/>
      <c r="O61" s="471"/>
      <c r="P61" s="471">
        <f>J61+O61</f>
        <v>1264.44</v>
      </c>
      <c r="Q61" s="471">
        <f t="shared" si="10"/>
        <v>840.85</v>
      </c>
      <c r="R61" s="472">
        <f>ROUND(T61/1.2,2)</f>
        <v>2267.5</v>
      </c>
      <c r="S61" s="472">
        <f>ROUND(R61*$S$5,2)</f>
        <v>453.5</v>
      </c>
      <c r="T61" s="472">
        <f>ROUND((P61+Q61)*(1+Y61)*1.2,0)</f>
        <v>2721</v>
      </c>
      <c r="U61" s="269">
        <v>1750</v>
      </c>
      <c r="V61" s="336">
        <f>T61/U61*100-100</f>
        <v>55.485714285714295</v>
      </c>
      <c r="W61" s="498">
        <v>2382</v>
      </c>
      <c r="X61" s="470">
        <f>T61/W61*100-100</f>
        <v>14.23173803526447</v>
      </c>
      <c r="Y61" s="499">
        <v>7.6999999999999999E-2</v>
      </c>
      <c r="Z61" s="487" t="e">
        <f>#REF!*Y61</f>
        <v>#REF!</v>
      </c>
      <c r="AB61" s="235">
        <v>1867.404</v>
      </c>
      <c r="AC61" s="467"/>
      <c r="AD61" s="500">
        <f>T61-W61</f>
        <v>339</v>
      </c>
      <c r="AE61" s="284"/>
      <c r="AG61" s="466">
        <v>-0.14249999999999999</v>
      </c>
      <c r="AH61" s="285">
        <f t="shared" si="0"/>
        <v>1.1425000000000001</v>
      </c>
      <c r="AI61" s="285">
        <v>1.181</v>
      </c>
      <c r="AK61" s="286">
        <f>ROUND(W61*AI61,2)</f>
        <v>2813.14</v>
      </c>
      <c r="AM61" s="466">
        <v>1.034</v>
      </c>
      <c r="AN61" s="337">
        <v>-0.14249999999999999</v>
      </c>
      <c r="AO61" s="285" t="e">
        <f>#REF!-AM61</f>
        <v>#REF!</v>
      </c>
      <c r="AQ61" s="288">
        <f>Y61-AN61</f>
        <v>0.21949999999999997</v>
      </c>
      <c r="AR61" s="467">
        <v>2286</v>
      </c>
      <c r="AS61" s="127" t="b">
        <f>W61=AR61</f>
        <v>0</v>
      </c>
      <c r="AT61" s="289" t="e">
        <f>ROUND(W61/T61*100-100,2)+#REF!</f>
        <v>#REF!</v>
      </c>
      <c r="AW61">
        <f>ROUND(T61/W61,3)</f>
        <v>1.1419999999999999</v>
      </c>
    </row>
    <row r="62" spans="1:49" ht="18.95" customHeight="1" x14ac:dyDescent="0.3">
      <c r="A62" s="477" t="s">
        <v>651</v>
      </c>
      <c r="B62" s="477" t="s">
        <v>27</v>
      </c>
      <c r="C62" s="475" t="s">
        <v>652</v>
      </c>
      <c r="D62" s="484" t="s">
        <v>650</v>
      </c>
      <c r="E62" s="484" t="s">
        <v>166</v>
      </c>
      <c r="F62" s="471">
        <f>VLOOKUP(E62,'[2]условия, ФОТ'!$A$14:$I$28,9, FALSE)</f>
        <v>251.34</v>
      </c>
      <c r="G62" s="471">
        <v>0.5</v>
      </c>
      <c r="H62" s="471">
        <f>ROUND(F62*G62,2)</f>
        <v>125.67</v>
      </c>
      <c r="I62" s="471">
        <f>ROUND(H62*$I$5,2)</f>
        <v>37.950000000000003</v>
      </c>
      <c r="J62" s="471">
        <f>H62+I62</f>
        <v>163.62</v>
      </c>
      <c r="K62" s="479"/>
      <c r="L62" s="471"/>
      <c r="M62" s="471"/>
      <c r="N62" s="471"/>
      <c r="O62" s="471">
        <f>SUM(O63:O64)</f>
        <v>92.51</v>
      </c>
      <c r="P62" s="471">
        <f>J62+O62</f>
        <v>256.13</v>
      </c>
      <c r="Q62" s="471">
        <f t="shared" si="10"/>
        <v>170.33</v>
      </c>
      <c r="R62" s="472">
        <f>ROUND(T62/1.2,2)</f>
        <v>518.33000000000004</v>
      </c>
      <c r="S62" s="472">
        <f>ROUND(R62*$S$5,2)</f>
        <v>103.67</v>
      </c>
      <c r="T62" s="472">
        <f>ROUND((P62+Q62)*(1+Y62)*1.2,0)</f>
        <v>622</v>
      </c>
      <c r="U62" s="269">
        <v>477</v>
      </c>
      <c r="V62" s="336">
        <f t="shared" ref="V62:V69" si="20">T62/U62*100-100</f>
        <v>30.39832285115304</v>
      </c>
      <c r="W62" s="498">
        <v>530</v>
      </c>
      <c r="X62" s="470">
        <f>T62/W62*100-100</f>
        <v>17.35849056603773</v>
      </c>
      <c r="Y62" s="499">
        <v>0.2145</v>
      </c>
      <c r="Z62" s="487" t="e">
        <f>#REF!*Y62</f>
        <v>#REF!</v>
      </c>
      <c r="AB62" s="235">
        <v>508.72800000000001</v>
      </c>
      <c r="AC62" s="467"/>
      <c r="AD62" s="500">
        <f>T62-W62</f>
        <v>92</v>
      </c>
      <c r="AE62" s="284"/>
      <c r="AG62" s="466">
        <v>0.2429</v>
      </c>
      <c r="AH62" s="285">
        <f t="shared" si="0"/>
        <v>0.2429</v>
      </c>
      <c r="AI62" s="285">
        <v>0</v>
      </c>
      <c r="AK62" s="286"/>
      <c r="AM62" s="466">
        <v>1.034</v>
      </c>
      <c r="AN62" s="337">
        <v>0.2429</v>
      </c>
      <c r="AO62" s="285" t="e">
        <f>#REF!-AM62</f>
        <v>#REF!</v>
      </c>
      <c r="AQ62" s="288">
        <f>Y62-AN62</f>
        <v>-2.8400000000000009E-2</v>
      </c>
      <c r="AR62" s="467">
        <v>509</v>
      </c>
      <c r="AS62" s="127" t="b">
        <f>W62=AR62</f>
        <v>0</v>
      </c>
      <c r="AT62" s="289" t="e">
        <f>ROUND(W62/T62*100-100,2)+#REF!</f>
        <v>#REF!</v>
      </c>
      <c r="AW62">
        <f>ROUND(T62/W62,3)</f>
        <v>1.1739999999999999</v>
      </c>
    </row>
    <row r="63" spans="1:49" ht="18.95" customHeight="1" outlineLevel="1" x14ac:dyDescent="0.3">
      <c r="A63" s="477"/>
      <c r="B63" s="477"/>
      <c r="C63" s="475"/>
      <c r="D63" s="484"/>
      <c r="E63" s="484"/>
      <c r="F63" s="471"/>
      <c r="G63" s="471"/>
      <c r="H63" s="471"/>
      <c r="I63" s="471"/>
      <c r="J63" s="295" t="s">
        <v>366</v>
      </c>
      <c r="K63" s="296" t="s">
        <v>653</v>
      </c>
      <c r="L63" s="478" t="str">
        <f>VLOOKUP(K63,[2]материалы!$A$5:$G$31,5, FALSE)</f>
        <v>шт.</v>
      </c>
      <c r="M63" s="471">
        <f>VLOOKUP(K63,[2]материалы!$A$5:$G$34,7, FALSE)</f>
        <v>41.67</v>
      </c>
      <c r="N63" s="478">
        <v>2</v>
      </c>
      <c r="O63" s="471">
        <f t="shared" ref="O63:O64" si="21">ROUND(M63*N63,2)</f>
        <v>83.34</v>
      </c>
      <c r="P63" s="471"/>
      <c r="Q63" s="471"/>
      <c r="R63" s="472"/>
      <c r="S63" s="472"/>
      <c r="T63" s="472"/>
      <c r="U63" s="269"/>
      <c r="V63" s="336"/>
      <c r="W63" s="498"/>
      <c r="X63" s="470"/>
      <c r="Y63" s="499"/>
      <c r="Z63" s="487"/>
      <c r="AC63" s="467"/>
      <c r="AD63" s="468"/>
      <c r="AE63" s="284"/>
      <c r="AG63" s="466"/>
      <c r="AH63" s="285"/>
      <c r="AI63" s="285"/>
      <c r="AK63" s="286"/>
      <c r="AM63" s="466"/>
      <c r="AN63" s="337"/>
      <c r="AO63" s="285"/>
      <c r="AQ63" s="288"/>
      <c r="AR63" s="467"/>
      <c r="AT63" s="289"/>
    </row>
    <row r="64" spans="1:49" ht="18.95" customHeight="1" outlineLevel="1" x14ac:dyDescent="0.3">
      <c r="A64" s="477"/>
      <c r="B64" s="477"/>
      <c r="C64" s="475"/>
      <c r="D64" s="484"/>
      <c r="E64" s="484"/>
      <c r="F64" s="471"/>
      <c r="G64" s="471"/>
      <c r="H64" s="471"/>
      <c r="I64" s="471"/>
      <c r="J64" s="471"/>
      <c r="K64" s="296" t="s">
        <v>654</v>
      </c>
      <c r="L64" s="478" t="str">
        <f>VLOOKUP(K64,[2]материалы!$A$5:$G$31,5, FALSE)</f>
        <v>кг</v>
      </c>
      <c r="M64" s="471">
        <f>VLOOKUP(K64,[2]материалы!$A$5:$G$34,7, FALSE)</f>
        <v>183.33</v>
      </c>
      <c r="N64" s="478">
        <v>0.05</v>
      </c>
      <c r="O64" s="471">
        <f t="shared" si="21"/>
        <v>9.17</v>
      </c>
      <c r="P64" s="471"/>
      <c r="Q64" s="471"/>
      <c r="R64" s="472"/>
      <c r="S64" s="472"/>
      <c r="T64" s="472"/>
      <c r="U64" s="269"/>
      <c r="V64" s="336"/>
      <c r="W64" s="498"/>
      <c r="X64" s="470"/>
      <c r="Y64" s="499"/>
      <c r="Z64" s="487"/>
      <c r="AC64" s="467"/>
      <c r="AD64" s="468"/>
      <c r="AE64" s="284"/>
      <c r="AG64" s="466"/>
      <c r="AH64" s="285"/>
      <c r="AI64" s="285"/>
      <c r="AK64" s="286"/>
      <c r="AM64" s="466"/>
      <c r="AN64" s="337"/>
      <c r="AO64" s="285"/>
      <c r="AQ64" s="288"/>
      <c r="AR64" s="467"/>
      <c r="AT64" s="289"/>
    </row>
    <row r="65" spans="1:49" ht="42" customHeight="1" x14ac:dyDescent="0.3">
      <c r="A65" s="477" t="s">
        <v>655</v>
      </c>
      <c r="B65" s="477" t="s">
        <v>656</v>
      </c>
      <c r="C65" s="475" t="s">
        <v>657</v>
      </c>
      <c r="D65" s="484" t="s">
        <v>658</v>
      </c>
      <c r="E65" s="484" t="s">
        <v>162</v>
      </c>
      <c r="F65" s="471">
        <f>VLOOKUP(E65,'[2]условия, ФОТ'!$A$14:$I$28,9, FALSE)</f>
        <v>213.84</v>
      </c>
      <c r="G65" s="478">
        <f>1.45/2</f>
        <v>0.72499999999999998</v>
      </c>
      <c r="H65" s="471">
        <f t="shared" ref="H65:H84" si="22">ROUND(F65*G65,2)</f>
        <v>155.03</v>
      </c>
      <c r="I65" s="471">
        <f t="shared" ref="I65:I84" si="23">ROUND(H65*$I$5,2)</f>
        <v>46.82</v>
      </c>
      <c r="J65" s="471">
        <f t="shared" ref="J65:J84" si="24">H65+I65</f>
        <v>201.85</v>
      </c>
      <c r="K65" s="479"/>
      <c r="L65" s="471"/>
      <c r="M65" s="471"/>
      <c r="N65" s="471"/>
      <c r="O65" s="471"/>
      <c r="P65" s="471">
        <f t="shared" ref="P65:P68" si="25">J65+O65</f>
        <v>201.85</v>
      </c>
      <c r="Q65" s="471">
        <f t="shared" ref="Q65:Q68" si="26">ROUND(P65*$Q$5,2)</f>
        <v>134.22999999999999</v>
      </c>
      <c r="R65" s="472">
        <f>ROUND(T65/1.2,2)</f>
        <v>362.5</v>
      </c>
      <c r="S65" s="472">
        <f>ROUND(R65*$S$5,2)</f>
        <v>72.5</v>
      </c>
      <c r="T65" s="472">
        <f>ROUND((P65+Q65)*(1+Y65)*1.2,0)</f>
        <v>435</v>
      </c>
      <c r="U65" s="269">
        <v>305</v>
      </c>
      <c r="V65" s="270">
        <f>T65/U65*100-100</f>
        <v>42.622950819672127</v>
      </c>
      <c r="W65" s="498">
        <v>367</v>
      </c>
      <c r="X65" s="470">
        <f>T65/W65*100-100</f>
        <v>18.528610354223446</v>
      </c>
      <c r="Y65" s="499">
        <v>7.7399999999999997E-2</v>
      </c>
      <c r="Z65" s="487" t="e">
        <f>#REF!*Y65</f>
        <v>#REF!</v>
      </c>
      <c r="AB65" s="235">
        <v>324.67599999999999</v>
      </c>
      <c r="AC65" s="467"/>
      <c r="AD65" s="500">
        <f>T65-W65</f>
        <v>68</v>
      </c>
      <c r="AE65" s="284"/>
      <c r="AG65" s="466">
        <v>-3.1399999999999997E-2</v>
      </c>
      <c r="AH65" s="285">
        <f t="shared" si="0"/>
        <v>1.0314000000000001</v>
      </c>
      <c r="AI65" s="285">
        <v>1.0660000000000001</v>
      </c>
      <c r="AK65" s="286">
        <f>ROUND(W65*AI65,2)</f>
        <v>391.22</v>
      </c>
      <c r="AM65" s="466">
        <v>1.034</v>
      </c>
      <c r="AN65" s="337">
        <v>-3.1399999999999997E-2</v>
      </c>
      <c r="AO65" s="285" t="e">
        <f>#REF!-AM65</f>
        <v>#REF!</v>
      </c>
      <c r="AQ65" s="288">
        <f>Y65-AN65</f>
        <v>0.10879999999999999</v>
      </c>
      <c r="AR65" s="467">
        <v>352</v>
      </c>
      <c r="AS65" s="127" t="b">
        <f>W65=AR65</f>
        <v>0</v>
      </c>
      <c r="AT65" s="289" t="e">
        <f>ROUND(W65/T65*100-100,2)+#REF!</f>
        <v>#REF!</v>
      </c>
      <c r="AW65">
        <f>ROUND(T65/W65,3)</f>
        <v>1.1850000000000001</v>
      </c>
    </row>
    <row r="66" spans="1:49" ht="39.75" customHeight="1" x14ac:dyDescent="0.3">
      <c r="A66" s="477" t="s">
        <v>659</v>
      </c>
      <c r="B66" s="477" t="s">
        <v>656</v>
      </c>
      <c r="C66" s="475" t="s">
        <v>660</v>
      </c>
      <c r="D66" s="484" t="s">
        <v>658</v>
      </c>
      <c r="E66" s="484" t="s">
        <v>162</v>
      </c>
      <c r="F66" s="471">
        <f>VLOOKUP(E66,'[2]условия, ФОТ'!$A$14:$I$28,9, FALSE)</f>
        <v>213.84</v>
      </c>
      <c r="G66" s="471">
        <v>1.45</v>
      </c>
      <c r="H66" s="471">
        <f t="shared" si="22"/>
        <v>310.07</v>
      </c>
      <c r="I66" s="471">
        <f t="shared" si="23"/>
        <v>93.64</v>
      </c>
      <c r="J66" s="471">
        <f t="shared" si="24"/>
        <v>403.71</v>
      </c>
      <c r="K66" s="479"/>
      <c r="L66" s="471"/>
      <c r="M66" s="471"/>
      <c r="N66" s="471"/>
      <c r="O66" s="471"/>
      <c r="P66" s="471">
        <f t="shared" si="25"/>
        <v>403.71</v>
      </c>
      <c r="Q66" s="471">
        <f t="shared" si="26"/>
        <v>268.47000000000003</v>
      </c>
      <c r="R66" s="472">
        <f>ROUND(T66/1.2,2)</f>
        <v>724.17</v>
      </c>
      <c r="S66" s="472">
        <f t="shared" ref="S66:S67" si="27">ROUND(R66*$S$5,2)</f>
        <v>144.83000000000001</v>
      </c>
      <c r="T66" s="472">
        <f>ROUND((P66+Q66)*(1+Y66)*1.2,0)</f>
        <v>869</v>
      </c>
      <c r="U66" s="269">
        <v>609</v>
      </c>
      <c r="V66" s="270">
        <f t="shared" ref="V66:V68" si="28">T66/U66*100-100</f>
        <v>42.692939244663364</v>
      </c>
      <c r="W66" s="498">
        <v>734</v>
      </c>
      <c r="X66" s="470">
        <f>T66/W66*100-100</f>
        <v>18.392370572207085</v>
      </c>
      <c r="Y66" s="499">
        <v>7.7399999999999997E-2</v>
      </c>
      <c r="Z66" s="487" t="e">
        <f>#REF!*Y66</f>
        <v>#REF!</v>
      </c>
      <c r="AB66" s="235">
        <v>650.38599999999997</v>
      </c>
      <c r="AC66" s="467"/>
      <c r="AD66" s="500">
        <f>T66-W66</f>
        <v>135</v>
      </c>
      <c r="AE66" s="284"/>
      <c r="AG66" s="466">
        <v>-2.98E-2</v>
      </c>
      <c r="AH66" s="285">
        <f t="shared" si="0"/>
        <v>1.0298</v>
      </c>
      <c r="AI66" s="285">
        <v>1.0649999999999999</v>
      </c>
      <c r="AK66" s="286">
        <f>ROUND(W66*AI66,2)</f>
        <v>781.71</v>
      </c>
      <c r="AM66" s="466">
        <v>1.034</v>
      </c>
      <c r="AN66" s="337">
        <v>-2.98E-2</v>
      </c>
      <c r="AO66" s="285" t="e">
        <f>#REF!-AM66</f>
        <v>#REF!</v>
      </c>
      <c r="AQ66" s="288">
        <f>Y66-AN66</f>
        <v>0.10719999999999999</v>
      </c>
      <c r="AR66" s="467">
        <v>704</v>
      </c>
      <c r="AS66" s="127" t="b">
        <f>W66=AR66</f>
        <v>0</v>
      </c>
      <c r="AT66" s="289" t="e">
        <f>ROUND(W66/T66*100-100,2)+#REF!</f>
        <v>#REF!</v>
      </c>
      <c r="AW66">
        <f>ROUND(T66/W66,3)</f>
        <v>1.1839999999999999</v>
      </c>
    </row>
    <row r="67" spans="1:49" ht="44.25" customHeight="1" x14ac:dyDescent="0.3">
      <c r="A67" s="477" t="s">
        <v>661</v>
      </c>
      <c r="B67" s="477" t="s">
        <v>662</v>
      </c>
      <c r="C67" s="475" t="s">
        <v>663</v>
      </c>
      <c r="D67" s="484" t="s">
        <v>658</v>
      </c>
      <c r="E67" s="484" t="s">
        <v>162</v>
      </c>
      <c r="F67" s="471">
        <f>VLOOKUP(E67,'[2]условия, ФОТ'!$A$14:$I$28,9, FALSE)</f>
        <v>213.84</v>
      </c>
      <c r="G67" s="478">
        <f>G68-G66+G65</f>
        <v>2.7749999999999999</v>
      </c>
      <c r="H67" s="471">
        <f t="shared" si="22"/>
        <v>593.41</v>
      </c>
      <c r="I67" s="471">
        <f t="shared" si="23"/>
        <v>179.21</v>
      </c>
      <c r="J67" s="471">
        <f t="shared" si="24"/>
        <v>772.62</v>
      </c>
      <c r="K67" s="479"/>
      <c r="L67" s="471"/>
      <c r="M67" s="471"/>
      <c r="N67" s="471"/>
      <c r="O67" s="471"/>
      <c r="P67" s="471">
        <f t="shared" si="25"/>
        <v>772.62</v>
      </c>
      <c r="Q67" s="471">
        <f t="shared" si="26"/>
        <v>513.79</v>
      </c>
      <c r="R67" s="472">
        <f>ROUND(T67/1.2,2)</f>
        <v>1385</v>
      </c>
      <c r="S67" s="472">
        <f t="shared" si="27"/>
        <v>277</v>
      </c>
      <c r="T67" s="472">
        <f>ROUND((P67+Q67)*(1+Y67)*1.2,0)</f>
        <v>1662</v>
      </c>
      <c r="U67" s="269">
        <v>1166</v>
      </c>
      <c r="V67" s="270">
        <f t="shared" si="28"/>
        <v>42.538593481989722</v>
      </c>
      <c r="W67" s="498">
        <v>1403</v>
      </c>
      <c r="X67" s="470">
        <f>T67/W67*100-100</f>
        <v>18.460441910192444</v>
      </c>
      <c r="Y67" s="499">
        <v>7.6399999999999996E-2</v>
      </c>
      <c r="Z67" s="487" t="e">
        <f>#REF!*Y67</f>
        <v>#REF!</v>
      </c>
      <c r="AB67" s="235">
        <v>1244.9360000000001</v>
      </c>
      <c r="AC67" s="467"/>
      <c r="AD67" s="500">
        <f>T67-W67</f>
        <v>259</v>
      </c>
      <c r="AE67" s="284"/>
      <c r="AG67" s="466">
        <v>-2.9700000000000001E-2</v>
      </c>
      <c r="AH67" s="285">
        <f t="shared" si="0"/>
        <v>1.0297000000000001</v>
      </c>
      <c r="AI67" s="285">
        <v>1.0649999999999999</v>
      </c>
      <c r="AK67" s="286">
        <f>ROUND(W67*AI67,2)</f>
        <v>1494.2</v>
      </c>
      <c r="AM67" s="466">
        <v>1.034</v>
      </c>
      <c r="AN67" s="337">
        <v>-2.9700000000000001E-2</v>
      </c>
      <c r="AO67" s="285" t="e">
        <f>#REF!-AM67</f>
        <v>#REF!</v>
      </c>
      <c r="AQ67" s="288">
        <f>Y67-AN67</f>
        <v>0.1061</v>
      </c>
      <c r="AR67" s="467">
        <v>1346</v>
      </c>
      <c r="AS67" s="127" t="b">
        <f>W67=AR67</f>
        <v>0</v>
      </c>
      <c r="AT67" s="289" t="e">
        <f>ROUND(W67/T67*100-100,2)+#REF!</f>
        <v>#REF!</v>
      </c>
      <c r="AW67">
        <f>ROUND(T67/W67,3)</f>
        <v>1.1850000000000001</v>
      </c>
    </row>
    <row r="68" spans="1:49" ht="39.75" customHeight="1" x14ac:dyDescent="0.3">
      <c r="A68" s="477" t="s">
        <v>664</v>
      </c>
      <c r="B68" s="477" t="s">
        <v>662</v>
      </c>
      <c r="C68" s="475" t="s">
        <v>665</v>
      </c>
      <c r="D68" s="484" t="s">
        <v>658</v>
      </c>
      <c r="E68" s="484" t="s">
        <v>162</v>
      </c>
      <c r="F68" s="471">
        <f>VLOOKUP(E68,'[2]условия, ФОТ'!$A$14:$I$28,9, FALSE)</f>
        <v>213.84</v>
      </c>
      <c r="G68" s="471">
        <v>3.5</v>
      </c>
      <c r="H68" s="471">
        <f t="shared" si="22"/>
        <v>748.44</v>
      </c>
      <c r="I68" s="471">
        <f t="shared" si="23"/>
        <v>226.03</v>
      </c>
      <c r="J68" s="471">
        <f t="shared" si="24"/>
        <v>974.47</v>
      </c>
      <c r="K68" s="479"/>
      <c r="L68" s="471"/>
      <c r="M68" s="471"/>
      <c r="N68" s="471"/>
      <c r="O68" s="471"/>
      <c r="P68" s="471">
        <f t="shared" si="25"/>
        <v>974.47</v>
      </c>
      <c r="Q68" s="471">
        <f t="shared" si="26"/>
        <v>648.02</v>
      </c>
      <c r="R68" s="472">
        <f>ROUND(T68/1.2,2)</f>
        <v>1747.5</v>
      </c>
      <c r="S68" s="472">
        <f>ROUND(R68*$S$5,2)</f>
        <v>349.5</v>
      </c>
      <c r="T68" s="472">
        <f>ROUND((P68+Q68)*(1+Y68)*1.2,0)</f>
        <v>2097</v>
      </c>
      <c r="U68" s="269">
        <v>1471</v>
      </c>
      <c r="V68" s="270">
        <f t="shared" si="28"/>
        <v>42.556084296397017</v>
      </c>
      <c r="W68" s="498">
        <v>1770</v>
      </c>
      <c r="X68" s="470">
        <f>T68/W68*100-100</f>
        <v>18.47457627118645</v>
      </c>
      <c r="Y68" s="499">
        <v>7.7200000000000005E-2</v>
      </c>
      <c r="Z68" s="487" t="e">
        <f>#REF!*Y68</f>
        <v>#REF!</v>
      </c>
      <c r="AB68" s="235">
        <v>1569.6120000000001</v>
      </c>
      <c r="AC68" s="467"/>
      <c r="AD68" s="500">
        <f>T68-W68</f>
        <v>327</v>
      </c>
      <c r="AE68" s="284"/>
      <c r="AG68" s="466">
        <v>-0.03</v>
      </c>
      <c r="AH68" s="285">
        <f t="shared" si="0"/>
        <v>1.03</v>
      </c>
      <c r="AI68" s="285">
        <v>1.0649999999999999</v>
      </c>
      <c r="AK68" s="286">
        <f>ROUND(W68*AI68,2)</f>
        <v>1885.05</v>
      </c>
      <c r="AM68" s="466">
        <v>1.034</v>
      </c>
      <c r="AN68" s="337">
        <v>-0.03</v>
      </c>
      <c r="AO68" s="285" t="e">
        <f>#REF!-AM68</f>
        <v>#REF!</v>
      </c>
      <c r="AQ68" s="288">
        <f>Y68-AN68</f>
        <v>0.1072</v>
      </c>
      <c r="AR68" s="467">
        <v>1699</v>
      </c>
      <c r="AS68" s="127" t="b">
        <f>W68=AR68</f>
        <v>0</v>
      </c>
      <c r="AT68" s="289" t="e">
        <f>ROUND(W68/T68*100-100,2)+#REF!</f>
        <v>#REF!</v>
      </c>
      <c r="AW68">
        <f>ROUND(T68/W68,3)</f>
        <v>1.1850000000000001</v>
      </c>
    </row>
    <row r="69" spans="1:49" ht="37.5" customHeight="1" x14ac:dyDescent="0.3">
      <c r="A69" s="477" t="s">
        <v>666</v>
      </c>
      <c r="B69" s="477" t="s">
        <v>27</v>
      </c>
      <c r="C69" s="475" t="s">
        <v>667</v>
      </c>
      <c r="D69" s="484" t="s">
        <v>658</v>
      </c>
      <c r="E69" s="484" t="s">
        <v>162</v>
      </c>
      <c r="F69" s="471">
        <f>VLOOKUP(E69,'[2]условия, ФОТ'!$A$14:$I$28,9, FALSE)</f>
        <v>213.84</v>
      </c>
      <c r="G69" s="471">
        <v>0.5</v>
      </c>
      <c r="H69" s="471">
        <f t="shared" si="22"/>
        <v>106.92</v>
      </c>
      <c r="I69" s="471">
        <f t="shared" si="23"/>
        <v>32.29</v>
      </c>
      <c r="J69" s="471">
        <f t="shared" si="24"/>
        <v>139.21</v>
      </c>
      <c r="K69" s="479"/>
      <c r="L69" s="471"/>
      <c r="M69" s="471"/>
      <c r="N69" s="471"/>
      <c r="O69" s="471">
        <f>SUM(O70:O73)</f>
        <v>79.45</v>
      </c>
      <c r="P69" s="471">
        <f>J69+O69</f>
        <v>218.66000000000003</v>
      </c>
      <c r="Q69" s="471">
        <f t="shared" si="10"/>
        <v>145.41</v>
      </c>
      <c r="R69" s="472">
        <f>ROUND(T69/1.2,2)</f>
        <v>418.33</v>
      </c>
      <c r="S69" s="472">
        <f t="shared" si="11"/>
        <v>83.67</v>
      </c>
      <c r="T69" s="472">
        <f>ROUND((P69+Q69)*(1+Y69)*1.2,0)</f>
        <v>502</v>
      </c>
      <c r="U69" s="269">
        <v>407</v>
      </c>
      <c r="V69" s="336">
        <f t="shared" si="20"/>
        <v>23.341523341523356</v>
      </c>
      <c r="W69" s="498">
        <v>452</v>
      </c>
      <c r="X69" s="470">
        <f>T69/W69*100-100</f>
        <v>11.061946902654867</v>
      </c>
      <c r="Y69" s="499">
        <v>0.1492</v>
      </c>
      <c r="Z69" s="487" t="e">
        <f>#REF!*Y69</f>
        <v>#REF!</v>
      </c>
      <c r="AB69" s="235">
        <v>434.28000000000003</v>
      </c>
      <c r="AC69" s="467"/>
      <c r="AD69" s="500">
        <f>T69-W69</f>
        <v>50</v>
      </c>
      <c r="AE69" s="284"/>
      <c r="AG69" s="466">
        <v>8.5199999999999998E-2</v>
      </c>
      <c r="AH69" s="285">
        <f t="shared" si="0"/>
        <v>8.5199999999999998E-2</v>
      </c>
      <c r="AI69" s="285">
        <v>0</v>
      </c>
      <c r="AK69" s="286"/>
      <c r="AM69" s="466">
        <v>1.034</v>
      </c>
      <c r="AN69" s="337">
        <v>8.5199999999999998E-2</v>
      </c>
      <c r="AO69" s="285" t="e">
        <f>#REF!-AM69</f>
        <v>#REF!</v>
      </c>
      <c r="AQ69" s="288">
        <f>Y69-AN69</f>
        <v>6.4000000000000001E-2</v>
      </c>
      <c r="AR69" s="467">
        <v>434</v>
      </c>
      <c r="AS69" s="127" t="b">
        <f>W69=AR69</f>
        <v>0</v>
      </c>
      <c r="AT69" s="289" t="e">
        <f>ROUND(W69/T69*100-100,2)+#REF!</f>
        <v>#REF!</v>
      </c>
      <c r="AW69">
        <f>ROUND(T69/W69,3)</f>
        <v>1.111</v>
      </c>
    </row>
    <row r="70" spans="1:49" ht="29.25" customHeight="1" outlineLevel="1" x14ac:dyDescent="0.3">
      <c r="A70" s="477"/>
      <c r="B70" s="477"/>
      <c r="C70" s="475"/>
      <c r="D70" s="484"/>
      <c r="E70" s="471"/>
      <c r="F70" s="471"/>
      <c r="G70" s="471"/>
      <c r="H70" s="471"/>
      <c r="I70" s="471"/>
      <c r="J70" s="295" t="s">
        <v>366</v>
      </c>
      <c r="K70" s="121" t="s">
        <v>164</v>
      </c>
      <c r="L70" s="478" t="str">
        <f>VLOOKUP(K70,[2]материалы!$A$5:$G$31,5, FALSE)</f>
        <v>шт.</v>
      </c>
      <c r="M70" s="471">
        <f>VLOOKUP(K70,[2]материалы!$A$5:$G$34,7, FALSE)</f>
        <v>50</v>
      </c>
      <c r="N70" s="471">
        <v>1</v>
      </c>
      <c r="O70" s="471">
        <f>ROUND(M70*N70,2)</f>
        <v>50</v>
      </c>
      <c r="P70" s="471"/>
      <c r="Q70" s="471"/>
      <c r="R70" s="472"/>
      <c r="S70" s="472"/>
      <c r="T70" s="472"/>
      <c r="U70" s="269"/>
      <c r="V70" s="336"/>
      <c r="W70" s="486"/>
      <c r="X70" s="470"/>
      <c r="Y70" s="499"/>
      <c r="Z70" s="487"/>
      <c r="AC70" s="467"/>
      <c r="AD70" s="468"/>
      <c r="AE70" s="284"/>
      <c r="AG70" s="466"/>
      <c r="AH70" s="285"/>
      <c r="AI70" s="285"/>
      <c r="AK70" s="286"/>
      <c r="AM70" s="466"/>
      <c r="AN70" s="337"/>
      <c r="AO70" s="285"/>
      <c r="AQ70" s="288"/>
      <c r="AR70" s="467"/>
      <c r="AT70" s="289"/>
    </row>
    <row r="71" spans="1:49" ht="28.5" customHeight="1" outlineLevel="1" x14ac:dyDescent="0.3">
      <c r="A71" s="477"/>
      <c r="B71" s="477"/>
      <c r="C71" s="475"/>
      <c r="D71" s="484"/>
      <c r="E71" s="471"/>
      <c r="F71" s="471"/>
      <c r="G71" s="471"/>
      <c r="H71" s="471"/>
      <c r="I71" s="471"/>
      <c r="J71" s="471"/>
      <c r="K71" s="121" t="s">
        <v>335</v>
      </c>
      <c r="L71" s="478" t="str">
        <f>VLOOKUP(K71,[2]материалы!$A$5:$G$31,5, FALSE)</f>
        <v>кг</v>
      </c>
      <c r="M71" s="471">
        <f>VLOOKUP(K71,[2]материалы!$A$5:$G$34,7, FALSE)</f>
        <v>720.83</v>
      </c>
      <c r="N71" s="471">
        <v>0.01</v>
      </c>
      <c r="O71" s="471">
        <f t="shared" ref="O71:O73" si="29">ROUND(M71*N71,2)</f>
        <v>7.21</v>
      </c>
      <c r="P71" s="471"/>
      <c r="Q71" s="471"/>
      <c r="R71" s="472"/>
      <c r="S71" s="472"/>
      <c r="T71" s="472"/>
      <c r="U71" s="269"/>
      <c r="V71" s="336"/>
      <c r="W71" s="486"/>
      <c r="X71" s="470"/>
      <c r="Y71" s="499"/>
      <c r="Z71" s="487"/>
      <c r="AC71" s="467"/>
      <c r="AD71" s="468"/>
      <c r="AE71" s="284"/>
      <c r="AG71" s="466"/>
      <c r="AH71" s="285"/>
      <c r="AI71" s="285"/>
      <c r="AK71" s="286"/>
      <c r="AM71" s="466"/>
      <c r="AN71" s="337"/>
      <c r="AO71" s="285"/>
      <c r="AQ71" s="288"/>
      <c r="AR71" s="467"/>
      <c r="AT71" s="289"/>
    </row>
    <row r="72" spans="1:49" ht="38.25" outlineLevel="1" x14ac:dyDescent="0.3">
      <c r="A72" s="477"/>
      <c r="B72" s="477"/>
      <c r="C72" s="475"/>
      <c r="D72" s="484"/>
      <c r="E72" s="471"/>
      <c r="F72" s="471"/>
      <c r="G72" s="471"/>
      <c r="H72" s="471"/>
      <c r="I72" s="471"/>
      <c r="J72" s="471"/>
      <c r="K72" s="121" t="s">
        <v>370</v>
      </c>
      <c r="L72" s="478" t="str">
        <f>VLOOKUP(K72,[2]материалы!$A$5:$G$31,5, FALSE)</f>
        <v>шт.</v>
      </c>
      <c r="M72" s="471">
        <f>VLOOKUP(K72,[2]материалы!$A$5:$G$34,7, FALSE)</f>
        <v>0.57999999999999996</v>
      </c>
      <c r="N72" s="471">
        <v>1</v>
      </c>
      <c r="O72" s="471">
        <f t="shared" si="29"/>
        <v>0.57999999999999996</v>
      </c>
      <c r="P72" s="471"/>
      <c r="Q72" s="471"/>
      <c r="R72" s="472"/>
      <c r="S72" s="472"/>
      <c r="T72" s="472"/>
      <c r="U72" s="269"/>
      <c r="V72" s="336"/>
      <c r="W72" s="486"/>
      <c r="X72" s="470"/>
      <c r="Y72" s="499"/>
      <c r="Z72" s="487"/>
      <c r="AC72" s="467"/>
      <c r="AD72" s="468"/>
      <c r="AE72" s="284"/>
      <c r="AG72" s="466"/>
      <c r="AH72" s="285"/>
      <c r="AI72" s="285"/>
      <c r="AK72" s="286"/>
      <c r="AM72" s="466"/>
      <c r="AN72" s="337"/>
      <c r="AO72" s="285"/>
      <c r="AQ72" s="288"/>
      <c r="AR72" s="467"/>
      <c r="AT72" s="289"/>
    </row>
    <row r="73" spans="1:49" ht="51" outlineLevel="1" x14ac:dyDescent="0.3">
      <c r="A73" s="477"/>
      <c r="B73" s="477"/>
      <c r="C73" s="475"/>
      <c r="D73" s="484"/>
      <c r="E73" s="471"/>
      <c r="F73" s="471"/>
      <c r="G73" s="471"/>
      <c r="H73" s="471"/>
      <c r="I73" s="471"/>
      <c r="J73" s="471"/>
      <c r="K73" s="121" t="s">
        <v>339</v>
      </c>
      <c r="L73" s="478" t="str">
        <f>VLOOKUP(K73,[2]материалы!$A$5:$G$31,5, FALSE)</f>
        <v>шт.</v>
      </c>
      <c r="M73" s="471">
        <f>VLOOKUP(K73,[2]материалы!$A$5:$G$34,7, FALSE)</f>
        <v>10.83</v>
      </c>
      <c r="N73" s="471">
        <v>2</v>
      </c>
      <c r="O73" s="471">
        <f t="shared" si="29"/>
        <v>21.66</v>
      </c>
      <c r="P73" s="471"/>
      <c r="Q73" s="471"/>
      <c r="R73" s="472"/>
      <c r="S73" s="472"/>
      <c r="T73" s="472"/>
      <c r="U73" s="269"/>
      <c r="V73" s="336"/>
      <c r="W73" s="486"/>
      <c r="X73" s="470"/>
      <c r="Y73" s="499"/>
      <c r="Z73" s="487"/>
      <c r="AC73" s="467"/>
      <c r="AD73" s="468"/>
      <c r="AE73" s="284"/>
      <c r="AG73" s="466"/>
      <c r="AH73" s="285"/>
      <c r="AI73" s="285"/>
      <c r="AK73" s="286"/>
      <c r="AM73" s="466"/>
      <c r="AN73" s="337"/>
      <c r="AO73" s="285"/>
      <c r="AQ73" s="288"/>
      <c r="AR73" s="467"/>
      <c r="AT73" s="289"/>
    </row>
    <row r="74" spans="1:49" ht="19.5" customHeight="1" x14ac:dyDescent="0.25">
      <c r="A74" s="647" t="s">
        <v>668</v>
      </c>
      <c r="B74" s="647" t="s">
        <v>27</v>
      </c>
      <c r="C74" s="660" t="s">
        <v>669</v>
      </c>
      <c r="D74" s="649" t="s">
        <v>658</v>
      </c>
      <c r="E74" s="471" t="s">
        <v>162</v>
      </c>
      <c r="F74" s="471">
        <f>VLOOKUP(E74,'[2]условия, ФОТ'!$A$14:$I$28,9, FALSE)</f>
        <v>213.84</v>
      </c>
      <c r="G74" s="471">
        <v>0.5</v>
      </c>
      <c r="H74" s="661">
        <f>ROUND((F74*G74+F75*G75),2)</f>
        <v>232.59</v>
      </c>
      <c r="I74" s="661">
        <f>ROUND(H74*$I$5,2)</f>
        <v>70.239999999999995</v>
      </c>
      <c r="J74" s="661">
        <f>H74+I74</f>
        <v>302.83</v>
      </c>
      <c r="K74" s="669"/>
      <c r="L74" s="661"/>
      <c r="M74" s="661"/>
      <c r="N74" s="661"/>
      <c r="O74" s="661">
        <f>SUM(O76:O83)</f>
        <v>146.15</v>
      </c>
      <c r="P74" s="709">
        <f>J74+O74</f>
        <v>448.98</v>
      </c>
      <c r="Q74" s="709">
        <f>ROUND(P74*$Q$5,2)</f>
        <v>298.57</v>
      </c>
      <c r="R74" s="711">
        <f>ROUND(T74/1.2,2)</f>
        <v>889.17</v>
      </c>
      <c r="S74" s="711">
        <f>ROUND(R74*$S$5,2)</f>
        <v>177.83</v>
      </c>
      <c r="T74" s="665">
        <f>ROUND((P74+Q74)*(1+Y74)*1.2,0)</f>
        <v>1067</v>
      </c>
      <c r="U74" s="666">
        <v>834</v>
      </c>
      <c r="V74" s="713">
        <f>T74/U74*100-100</f>
        <v>27.937649880095933</v>
      </c>
      <c r="W74" s="678">
        <v>926</v>
      </c>
      <c r="X74" s="679">
        <f>T74/W74*100-100</f>
        <v>15.226781857451414</v>
      </c>
      <c r="Y74" s="680">
        <v>0.18970000000000001</v>
      </c>
      <c r="Z74" s="714" t="e">
        <f>#REF!*Y74</f>
        <v>#REF!</v>
      </c>
      <c r="AB74" s="235">
        <v>889.24</v>
      </c>
      <c r="AC74" s="674"/>
      <c r="AD74" s="683">
        <f>T74-W74</f>
        <v>141</v>
      </c>
      <c r="AE74" s="284"/>
      <c r="AG74" s="715">
        <v>0.1588</v>
      </c>
      <c r="AH74" s="670">
        <f t="shared" ref="AH74:AH133" si="30">IF(AG74&lt;0,-AG74+1,AG74)</f>
        <v>0.1588</v>
      </c>
      <c r="AI74" s="670">
        <v>0</v>
      </c>
      <c r="AK74" s="676"/>
      <c r="AM74" s="715">
        <v>1.034</v>
      </c>
      <c r="AN74" s="717">
        <v>0.1588</v>
      </c>
      <c r="AO74" s="670" t="e">
        <f>#REF!-AM74</f>
        <v>#REF!</v>
      </c>
      <c r="AQ74" s="672">
        <f>Y74-AN74</f>
        <v>3.0900000000000011E-2</v>
      </c>
      <c r="AR74" s="674">
        <v>889</v>
      </c>
      <c r="AS74" s="675" t="b">
        <f>W74=AR74</f>
        <v>0</v>
      </c>
      <c r="AT74" s="289" t="e">
        <f>ROUND(W74/T74*100-100,2)+#REF!</f>
        <v>#REF!</v>
      </c>
      <c r="AW74">
        <f>ROUND(T74/W74,3)</f>
        <v>1.1519999999999999</v>
      </c>
    </row>
    <row r="75" spans="1:49" ht="21.75" customHeight="1" x14ac:dyDescent="0.25">
      <c r="A75" s="647"/>
      <c r="B75" s="647"/>
      <c r="C75" s="660"/>
      <c r="D75" s="649"/>
      <c r="E75" s="484" t="s">
        <v>166</v>
      </c>
      <c r="F75" s="471">
        <f>VLOOKUP(E75,'[2]условия, ФОТ'!$A$14:$I$28,9, FALSE)</f>
        <v>251.34</v>
      </c>
      <c r="G75" s="471">
        <v>0.5</v>
      </c>
      <c r="H75" s="661">
        <f t="shared" ref="H75" si="31">ROUND(F75*G75,2)</f>
        <v>125.67</v>
      </c>
      <c r="I75" s="661">
        <f t="shared" ref="I75" si="32">ROUND(H75*$I$5,2)</f>
        <v>37.950000000000003</v>
      </c>
      <c r="J75" s="661">
        <f t="shared" ref="J75" si="33">H75+I75</f>
        <v>163.62</v>
      </c>
      <c r="K75" s="669"/>
      <c r="L75" s="661"/>
      <c r="M75" s="661"/>
      <c r="N75" s="661"/>
      <c r="O75" s="661"/>
      <c r="P75" s="710"/>
      <c r="Q75" s="710"/>
      <c r="R75" s="710"/>
      <c r="S75" s="710"/>
      <c r="T75" s="665">
        <f>ROUND((P75+Q75)*(1+$R$5)*1.18,0)</f>
        <v>0</v>
      </c>
      <c r="U75" s="667"/>
      <c r="V75" s="713"/>
      <c r="W75" s="678">
        <v>0</v>
      </c>
      <c r="X75" s="679"/>
      <c r="Y75" s="680"/>
      <c r="Z75" s="714"/>
      <c r="AC75" s="674"/>
      <c r="AD75" s="684"/>
      <c r="AE75" s="284"/>
      <c r="AG75" s="716"/>
      <c r="AH75" s="671"/>
      <c r="AI75" s="671"/>
      <c r="AK75" s="677"/>
      <c r="AM75" s="716"/>
      <c r="AN75" s="718"/>
      <c r="AO75" s="671"/>
      <c r="AQ75" s="673"/>
      <c r="AR75" s="674"/>
      <c r="AS75" s="675"/>
      <c r="AT75" s="289"/>
    </row>
    <row r="76" spans="1:49" ht="25.5" outlineLevel="1" x14ac:dyDescent="0.3">
      <c r="A76" s="477"/>
      <c r="B76" s="477"/>
      <c r="C76" s="475"/>
      <c r="D76" s="484"/>
      <c r="E76" s="471"/>
      <c r="F76" s="471"/>
      <c r="G76" s="452"/>
      <c r="H76" s="471"/>
      <c r="I76" s="471"/>
      <c r="J76" s="295" t="s">
        <v>366</v>
      </c>
      <c r="K76" s="121" t="s">
        <v>164</v>
      </c>
      <c r="L76" s="478" t="str">
        <f>VLOOKUP(K76,[2]материалы!$A$5:$G$31,5, FALSE)</f>
        <v>шт.</v>
      </c>
      <c r="M76" s="471">
        <f>VLOOKUP(K76,[2]материалы!$A$5:$G$34,7, FALSE)</f>
        <v>50</v>
      </c>
      <c r="N76" s="471">
        <v>1</v>
      </c>
      <c r="O76" s="471">
        <f>ROUND(M76*N76,2)</f>
        <v>50</v>
      </c>
      <c r="P76" s="471"/>
      <c r="Q76" s="471"/>
      <c r="R76" s="472"/>
      <c r="S76" s="472"/>
      <c r="T76" s="472"/>
      <c r="U76" s="269"/>
      <c r="V76" s="338"/>
      <c r="W76" s="486"/>
      <c r="X76" s="470"/>
      <c r="Y76" s="499"/>
      <c r="Z76" s="487"/>
      <c r="AC76" s="467"/>
      <c r="AD76" s="468"/>
      <c r="AE76" s="284"/>
      <c r="AG76" s="466"/>
      <c r="AH76" s="285"/>
      <c r="AI76" s="285"/>
      <c r="AK76" s="286"/>
      <c r="AM76" s="466"/>
      <c r="AN76" s="337"/>
      <c r="AO76" s="285"/>
      <c r="AQ76" s="288"/>
      <c r="AR76" s="467"/>
      <c r="AT76" s="289"/>
    </row>
    <row r="77" spans="1:49" ht="18" customHeight="1" outlineLevel="1" x14ac:dyDescent="0.3">
      <c r="A77" s="477"/>
      <c r="B77" s="477"/>
      <c r="C77" s="475"/>
      <c r="D77" s="484"/>
      <c r="E77" s="471"/>
      <c r="F77" s="471"/>
      <c r="G77" s="452"/>
      <c r="H77" s="471"/>
      <c r="I77" s="471"/>
      <c r="J77" s="471"/>
      <c r="K77" s="121" t="s">
        <v>323</v>
      </c>
      <c r="L77" s="478" t="str">
        <f>VLOOKUP(K77,[2]материалы!$A$5:$G$31,5, FALSE)</f>
        <v>м3</v>
      </c>
      <c r="M77" s="471">
        <f>VLOOKUP(K77,[2]материалы!$A$5:$G$34,7, FALSE)</f>
        <v>486.11</v>
      </c>
      <c r="N77" s="478">
        <v>8.7499999999999994E-2</v>
      </c>
      <c r="O77" s="471">
        <f t="shared" ref="O77:O88" si="34">ROUND(M77*N77,2)</f>
        <v>42.53</v>
      </c>
      <c r="P77" s="471"/>
      <c r="Q77" s="471"/>
      <c r="R77" s="472"/>
      <c r="S77" s="472"/>
      <c r="T77" s="472"/>
      <c r="U77" s="269"/>
      <c r="V77" s="338"/>
      <c r="W77" s="486"/>
      <c r="X77" s="470"/>
      <c r="Y77" s="499"/>
      <c r="Z77" s="487"/>
      <c r="AC77" s="467"/>
      <c r="AD77" s="468"/>
      <c r="AE77" s="284"/>
      <c r="AG77" s="466"/>
      <c r="AH77" s="285"/>
      <c r="AI77" s="285"/>
      <c r="AK77" s="286"/>
      <c r="AM77" s="466"/>
      <c r="AN77" s="337"/>
      <c r="AO77" s="285"/>
      <c r="AQ77" s="288"/>
      <c r="AR77" s="467"/>
      <c r="AT77" s="289"/>
    </row>
    <row r="78" spans="1:49" ht="38.25" outlineLevel="1" x14ac:dyDescent="0.3">
      <c r="A78" s="477"/>
      <c r="B78" s="477"/>
      <c r="C78" s="475"/>
      <c r="D78" s="484"/>
      <c r="E78" s="471"/>
      <c r="F78" s="471"/>
      <c r="G78" s="452"/>
      <c r="H78" s="471"/>
      <c r="I78" s="471"/>
      <c r="J78" s="471"/>
      <c r="K78" s="121" t="s">
        <v>341</v>
      </c>
      <c r="L78" s="478" t="str">
        <f>VLOOKUP(K78,[2]материалы!$A$5:$G$31,5, FALSE)</f>
        <v>кг</v>
      </c>
      <c r="M78" s="471">
        <f>VLOOKUP(K78,[2]материалы!$A$5:$G$34,7, FALSE)</f>
        <v>125</v>
      </c>
      <c r="N78" s="471">
        <v>0.1</v>
      </c>
      <c r="O78" s="471">
        <f t="shared" si="34"/>
        <v>12.5</v>
      </c>
      <c r="P78" s="471"/>
      <c r="Q78" s="471"/>
      <c r="R78" s="472"/>
      <c r="S78" s="472"/>
      <c r="T78" s="472"/>
      <c r="U78" s="269"/>
      <c r="V78" s="338"/>
      <c r="W78" s="486"/>
      <c r="X78" s="470"/>
      <c r="Y78" s="499"/>
      <c r="Z78" s="487"/>
      <c r="AC78" s="467"/>
      <c r="AD78" s="468"/>
      <c r="AE78" s="284"/>
      <c r="AG78" s="466"/>
      <c r="AH78" s="285"/>
      <c r="AI78" s="285"/>
      <c r="AK78" s="286"/>
      <c r="AM78" s="466"/>
      <c r="AN78" s="337"/>
      <c r="AO78" s="285"/>
      <c r="AQ78" s="288"/>
      <c r="AR78" s="467"/>
      <c r="AT78" s="289"/>
    </row>
    <row r="79" spans="1:49" outlineLevel="1" x14ac:dyDescent="0.3">
      <c r="A79" s="477"/>
      <c r="B79" s="477"/>
      <c r="C79" s="475"/>
      <c r="D79" s="484"/>
      <c r="E79" s="471"/>
      <c r="F79" s="471"/>
      <c r="G79" s="452"/>
      <c r="H79" s="471"/>
      <c r="I79" s="471"/>
      <c r="J79" s="471"/>
      <c r="K79" s="121" t="s">
        <v>324</v>
      </c>
      <c r="L79" s="478" t="str">
        <f>VLOOKUP(K79,[2]материалы!$A$5:$G$31,5, FALSE)</f>
        <v>м3</v>
      </c>
      <c r="M79" s="471">
        <f>VLOOKUP(K79,[2]материалы!$A$5:$G$34,7, FALSE)</f>
        <v>152.78</v>
      </c>
      <c r="N79" s="471">
        <v>1.4999999999999999E-2</v>
      </c>
      <c r="O79" s="471">
        <f t="shared" si="34"/>
        <v>2.29</v>
      </c>
      <c r="P79" s="471"/>
      <c r="Q79" s="471"/>
      <c r="R79" s="472"/>
      <c r="S79" s="472"/>
      <c r="T79" s="472"/>
      <c r="U79" s="269"/>
      <c r="V79" s="338"/>
      <c r="W79" s="486"/>
      <c r="X79" s="470"/>
      <c r="Y79" s="499"/>
      <c r="Z79" s="487"/>
      <c r="AC79" s="467"/>
      <c r="AD79" s="468"/>
      <c r="AE79" s="284"/>
      <c r="AG79" s="466"/>
      <c r="AH79" s="285"/>
      <c r="AI79" s="285"/>
      <c r="AK79" s="286"/>
      <c r="AM79" s="466"/>
      <c r="AN79" s="337"/>
      <c r="AO79" s="285"/>
      <c r="AQ79" s="288"/>
      <c r="AR79" s="467"/>
      <c r="AT79" s="289"/>
    </row>
    <row r="80" spans="1:49" ht="33.75" customHeight="1" outlineLevel="1" x14ac:dyDescent="0.3">
      <c r="A80" s="477"/>
      <c r="B80" s="477"/>
      <c r="C80" s="475"/>
      <c r="D80" s="484"/>
      <c r="E80" s="471"/>
      <c r="F80" s="471"/>
      <c r="G80" s="452"/>
      <c r="H80" s="471"/>
      <c r="I80" s="471"/>
      <c r="J80" s="471"/>
      <c r="K80" s="121" t="s">
        <v>342</v>
      </c>
      <c r="L80" s="478" t="str">
        <f>VLOOKUP(K80,[2]материалы!$A$5:$G$31,5, FALSE)</f>
        <v>шт.</v>
      </c>
      <c r="M80" s="471">
        <f>VLOOKUP(K80,[2]материалы!$A$5:$G$34,7, FALSE)</f>
        <v>37.5</v>
      </c>
      <c r="N80" s="471">
        <v>0.25</v>
      </c>
      <c r="O80" s="471">
        <f t="shared" si="34"/>
        <v>9.3800000000000008</v>
      </c>
      <c r="P80" s="471"/>
      <c r="Q80" s="471"/>
      <c r="R80" s="472"/>
      <c r="S80" s="472"/>
      <c r="T80" s="472"/>
      <c r="U80" s="269"/>
      <c r="V80" s="338"/>
      <c r="W80" s="486"/>
      <c r="X80" s="470"/>
      <c r="Y80" s="499"/>
      <c r="Z80" s="487"/>
      <c r="AC80" s="467"/>
      <c r="AD80" s="468"/>
      <c r="AE80" s="284"/>
      <c r="AG80" s="466"/>
      <c r="AH80" s="285"/>
      <c r="AI80" s="285"/>
      <c r="AK80" s="286"/>
      <c r="AM80" s="466"/>
      <c r="AN80" s="337"/>
      <c r="AO80" s="285"/>
      <c r="AQ80" s="288"/>
      <c r="AR80" s="467"/>
      <c r="AT80" s="289"/>
    </row>
    <row r="81" spans="1:49" ht="25.5" outlineLevel="1" x14ac:dyDescent="0.3">
      <c r="A81" s="477"/>
      <c r="B81" s="477"/>
      <c r="C81" s="475"/>
      <c r="D81" s="484"/>
      <c r="E81" s="471"/>
      <c r="F81" s="471"/>
      <c r="G81" s="452"/>
      <c r="H81" s="471"/>
      <c r="I81" s="471"/>
      <c r="J81" s="471"/>
      <c r="K81" s="121" t="s">
        <v>335</v>
      </c>
      <c r="L81" s="478" t="str">
        <f>VLOOKUP(K81,[2]материалы!$A$5:$G$31,5, FALSE)</f>
        <v>кг</v>
      </c>
      <c r="M81" s="471">
        <f>VLOOKUP(K81,[2]материалы!$A$5:$G$34,7, FALSE)</f>
        <v>720.83</v>
      </c>
      <c r="N81" s="471">
        <v>0.01</v>
      </c>
      <c r="O81" s="471">
        <f t="shared" si="34"/>
        <v>7.21</v>
      </c>
      <c r="P81" s="471"/>
      <c r="Q81" s="471"/>
      <c r="R81" s="472"/>
      <c r="S81" s="472"/>
      <c r="T81" s="472"/>
      <c r="U81" s="269"/>
      <c r="V81" s="338"/>
      <c r="W81" s="486"/>
      <c r="X81" s="470"/>
      <c r="Y81" s="499"/>
      <c r="Z81" s="487"/>
      <c r="AC81" s="467"/>
      <c r="AD81" s="468"/>
      <c r="AE81" s="284"/>
      <c r="AG81" s="466"/>
      <c r="AH81" s="285"/>
      <c r="AI81" s="285"/>
      <c r="AK81" s="286"/>
      <c r="AM81" s="466"/>
      <c r="AN81" s="337"/>
      <c r="AO81" s="285"/>
      <c r="AQ81" s="288"/>
      <c r="AR81" s="467"/>
      <c r="AT81" s="289"/>
    </row>
    <row r="82" spans="1:49" ht="38.25" outlineLevel="1" x14ac:dyDescent="0.3">
      <c r="A82" s="477"/>
      <c r="B82" s="477"/>
      <c r="C82" s="475"/>
      <c r="D82" s="484"/>
      <c r="E82" s="471"/>
      <c r="F82" s="471"/>
      <c r="G82" s="452"/>
      <c r="H82" s="471"/>
      <c r="I82" s="471"/>
      <c r="J82" s="471"/>
      <c r="K82" s="121" t="s">
        <v>370</v>
      </c>
      <c r="L82" s="478" t="str">
        <f>VLOOKUP(K82,[2]материалы!$A$5:$G$31,5, FALSE)</f>
        <v>шт.</v>
      </c>
      <c r="M82" s="471">
        <f>VLOOKUP(K82,[2]материалы!$A$5:$G$34,7, FALSE)</f>
        <v>0.57999999999999996</v>
      </c>
      <c r="N82" s="471">
        <v>1</v>
      </c>
      <c r="O82" s="471">
        <f t="shared" si="34"/>
        <v>0.57999999999999996</v>
      </c>
      <c r="P82" s="471"/>
      <c r="Q82" s="471"/>
      <c r="R82" s="472"/>
      <c r="S82" s="472"/>
      <c r="T82" s="472"/>
      <c r="U82" s="269"/>
      <c r="V82" s="338"/>
      <c r="W82" s="486"/>
      <c r="X82" s="470"/>
      <c r="Y82" s="499"/>
      <c r="Z82" s="487"/>
      <c r="AC82" s="467"/>
      <c r="AD82" s="468"/>
      <c r="AE82" s="284"/>
      <c r="AG82" s="466"/>
      <c r="AH82" s="285"/>
      <c r="AI82" s="285"/>
      <c r="AK82" s="286"/>
      <c r="AM82" s="466"/>
      <c r="AN82" s="337"/>
      <c r="AO82" s="285"/>
      <c r="AQ82" s="288"/>
      <c r="AR82" s="467"/>
      <c r="AT82" s="289"/>
    </row>
    <row r="83" spans="1:49" ht="51" outlineLevel="1" x14ac:dyDescent="0.3">
      <c r="A83" s="477"/>
      <c r="B83" s="477"/>
      <c r="C83" s="475"/>
      <c r="D83" s="484"/>
      <c r="E83" s="471"/>
      <c r="F83" s="471"/>
      <c r="G83" s="452"/>
      <c r="H83" s="471"/>
      <c r="I83" s="471"/>
      <c r="J83" s="471"/>
      <c r="K83" s="121" t="s">
        <v>339</v>
      </c>
      <c r="L83" s="478" t="str">
        <f>VLOOKUP(K83,[2]материалы!$A$5:$G$31,5, FALSE)</f>
        <v>шт.</v>
      </c>
      <c r="M83" s="471">
        <f>VLOOKUP(K83,[2]материалы!$A$5:$G$34,7, FALSE)</f>
        <v>10.83</v>
      </c>
      <c r="N83" s="471">
        <v>2</v>
      </c>
      <c r="O83" s="471">
        <f t="shared" si="34"/>
        <v>21.66</v>
      </c>
      <c r="P83" s="471"/>
      <c r="Q83" s="471"/>
      <c r="R83" s="472"/>
      <c r="S83" s="472"/>
      <c r="T83" s="472"/>
      <c r="U83" s="269"/>
      <c r="V83" s="338"/>
      <c r="W83" s="486"/>
      <c r="X83" s="470"/>
      <c r="Y83" s="499"/>
      <c r="Z83" s="487"/>
      <c r="AC83" s="467"/>
      <c r="AD83" s="468"/>
      <c r="AE83" s="284"/>
      <c r="AG83" s="466"/>
      <c r="AH83" s="285"/>
      <c r="AI83" s="285"/>
      <c r="AK83" s="286"/>
      <c r="AM83" s="466"/>
      <c r="AN83" s="337"/>
      <c r="AO83" s="285"/>
      <c r="AQ83" s="288"/>
      <c r="AR83" s="467"/>
      <c r="AT83" s="289"/>
    </row>
    <row r="84" spans="1:49" ht="33.75" customHeight="1" x14ac:dyDescent="0.3">
      <c r="A84" s="477" t="s">
        <v>670</v>
      </c>
      <c r="B84" s="477" t="s">
        <v>27</v>
      </c>
      <c r="C84" s="475" t="s">
        <v>671</v>
      </c>
      <c r="D84" s="484" t="s">
        <v>658</v>
      </c>
      <c r="E84" s="471" t="s">
        <v>162</v>
      </c>
      <c r="F84" s="471">
        <f>VLOOKUP(E84,'[2]условия, ФОТ'!$A$14:$I$28,9, FALSE)</f>
        <v>213.84</v>
      </c>
      <c r="G84" s="471">
        <v>0.5</v>
      </c>
      <c r="H84" s="471">
        <f t="shared" si="22"/>
        <v>106.92</v>
      </c>
      <c r="I84" s="471">
        <f t="shared" si="23"/>
        <v>32.29</v>
      </c>
      <c r="J84" s="471">
        <f t="shared" si="24"/>
        <v>139.21</v>
      </c>
      <c r="K84" s="479"/>
      <c r="L84" s="471"/>
      <c r="M84" s="471"/>
      <c r="N84" s="471"/>
      <c r="O84" s="471">
        <f>SUM(O85:O88)</f>
        <v>80.03</v>
      </c>
      <c r="P84" s="471">
        <f>J84+O84</f>
        <v>219.24</v>
      </c>
      <c r="Q84" s="471">
        <f t="shared" si="10"/>
        <v>145.79</v>
      </c>
      <c r="R84" s="472">
        <f>ROUND(T84/1.2,2)</f>
        <v>500</v>
      </c>
      <c r="S84" s="472">
        <f t="shared" si="11"/>
        <v>100</v>
      </c>
      <c r="T84" s="472">
        <f>ROUND((P84+Q84)*(1+Y84)*1.2,0)</f>
        <v>600</v>
      </c>
      <c r="U84" s="269">
        <v>487</v>
      </c>
      <c r="V84" s="713">
        <f>T84/U84*100-100</f>
        <v>23.203285420944567</v>
      </c>
      <c r="W84" s="498">
        <v>541</v>
      </c>
      <c r="X84" s="470">
        <f>T84/W84*100-100</f>
        <v>10.905730129390022</v>
      </c>
      <c r="Y84" s="499">
        <v>0.37019999999999997</v>
      </c>
      <c r="Z84" s="487" t="e">
        <f>#REF!*Y84</f>
        <v>#REF!</v>
      </c>
      <c r="AB84" s="235">
        <v>519.06799999999998</v>
      </c>
      <c r="AC84" s="467"/>
      <c r="AD84" s="500">
        <f>T84-W84</f>
        <v>59</v>
      </c>
      <c r="AE84" s="284"/>
      <c r="AG84" s="466">
        <v>0.10150000000000001</v>
      </c>
      <c r="AH84" s="285">
        <f t="shared" si="30"/>
        <v>0.10150000000000001</v>
      </c>
      <c r="AI84" s="285">
        <v>0</v>
      </c>
      <c r="AK84" s="286"/>
      <c r="AM84" s="466">
        <v>1.034</v>
      </c>
      <c r="AN84" s="337">
        <v>0.10150000000000001</v>
      </c>
      <c r="AO84" s="285" t="e">
        <f>#REF!-AM84</f>
        <v>#REF!</v>
      </c>
      <c r="AQ84" s="288">
        <f>Y84-AN84</f>
        <v>0.26869999999999994</v>
      </c>
      <c r="AR84" s="467">
        <v>519</v>
      </c>
      <c r="AS84" s="127" t="b">
        <f>W84=AR84</f>
        <v>0</v>
      </c>
      <c r="AT84" s="289" t="e">
        <f>ROUND(W84/T84*100-100,2)+#REF!</f>
        <v>#REF!</v>
      </c>
      <c r="AW84">
        <f>ROUND(T84/W84,3)</f>
        <v>1.109</v>
      </c>
    </row>
    <row r="85" spans="1:49" ht="25.5" outlineLevel="1" x14ac:dyDescent="0.3">
      <c r="A85" s="477"/>
      <c r="B85" s="477"/>
      <c r="C85" s="475"/>
      <c r="D85" s="484"/>
      <c r="E85" s="471"/>
      <c r="F85" s="452"/>
      <c r="G85" s="452"/>
      <c r="H85" s="471"/>
      <c r="I85" s="471"/>
      <c r="J85" s="295" t="s">
        <v>366</v>
      </c>
      <c r="K85" s="121" t="s">
        <v>165</v>
      </c>
      <c r="L85" s="478" t="str">
        <f>VLOOKUP(K85,[2]материалы!$A$5:$G$31,5, FALSE)</f>
        <v>шт.</v>
      </c>
      <c r="M85" s="471">
        <f>VLOOKUP(K85,[2]материалы!$A$5:$G$34,7, FALSE)</f>
        <v>50</v>
      </c>
      <c r="N85" s="471">
        <v>1</v>
      </c>
      <c r="O85" s="471">
        <f t="shared" si="34"/>
        <v>50</v>
      </c>
      <c r="P85" s="471"/>
      <c r="Q85" s="471"/>
      <c r="R85" s="472"/>
      <c r="S85" s="472"/>
      <c r="T85" s="472"/>
      <c r="U85" s="269"/>
      <c r="V85" s="713"/>
      <c r="W85" s="486"/>
      <c r="X85" s="470"/>
      <c r="Y85" s="499"/>
      <c r="Z85" s="487"/>
      <c r="AC85" s="467"/>
      <c r="AD85" s="468"/>
      <c r="AE85" s="284"/>
      <c r="AG85" s="466"/>
      <c r="AH85" s="285"/>
      <c r="AI85" s="285"/>
      <c r="AK85" s="286"/>
      <c r="AM85" s="466"/>
      <c r="AN85" s="337"/>
      <c r="AO85" s="285"/>
      <c r="AQ85" s="288"/>
      <c r="AR85" s="467"/>
      <c r="AT85" s="289"/>
    </row>
    <row r="86" spans="1:49" ht="25.5" outlineLevel="1" x14ac:dyDescent="0.3">
      <c r="A86" s="477"/>
      <c r="B86" s="477"/>
      <c r="C86" s="475"/>
      <c r="D86" s="484"/>
      <c r="E86" s="471"/>
      <c r="F86" s="452"/>
      <c r="G86" s="452"/>
      <c r="H86" s="471"/>
      <c r="I86" s="471"/>
      <c r="J86" s="471"/>
      <c r="K86" s="121" t="s">
        <v>335</v>
      </c>
      <c r="L86" s="478" t="str">
        <f>VLOOKUP(K86,[2]материалы!$A$5:$G$31,5, FALSE)</f>
        <v>кг</v>
      </c>
      <c r="M86" s="471">
        <f>VLOOKUP(K86,[2]материалы!$A$5:$G$34,7, FALSE)</f>
        <v>720.83</v>
      </c>
      <c r="N86" s="471">
        <v>0.01</v>
      </c>
      <c r="O86" s="471">
        <f t="shared" si="34"/>
        <v>7.21</v>
      </c>
      <c r="P86" s="471"/>
      <c r="Q86" s="471"/>
      <c r="R86" s="472"/>
      <c r="S86" s="472"/>
      <c r="T86" s="472"/>
      <c r="U86" s="269"/>
      <c r="V86" s="469"/>
      <c r="W86" s="486"/>
      <c r="X86" s="470"/>
      <c r="Y86" s="499"/>
      <c r="Z86" s="487"/>
      <c r="AC86" s="467"/>
      <c r="AD86" s="468"/>
      <c r="AE86" s="284"/>
      <c r="AG86" s="466"/>
      <c r="AH86" s="285"/>
      <c r="AI86" s="285"/>
      <c r="AK86" s="286"/>
      <c r="AM86" s="466"/>
      <c r="AN86" s="337"/>
      <c r="AO86" s="285"/>
      <c r="AQ86" s="288"/>
      <c r="AR86" s="467"/>
      <c r="AT86" s="289"/>
    </row>
    <row r="87" spans="1:49" ht="38.25" outlineLevel="1" x14ac:dyDescent="0.3">
      <c r="A87" s="477"/>
      <c r="B87" s="477"/>
      <c r="C87" s="475"/>
      <c r="D87" s="484"/>
      <c r="E87" s="471"/>
      <c r="F87" s="452"/>
      <c r="G87" s="452"/>
      <c r="H87" s="471"/>
      <c r="I87" s="471"/>
      <c r="J87" s="471"/>
      <c r="K87" s="121" t="s">
        <v>370</v>
      </c>
      <c r="L87" s="478" t="str">
        <f>VLOOKUP(K87,[2]материалы!$A$5:$G$31,5, FALSE)</f>
        <v>шт.</v>
      </c>
      <c r="M87" s="471">
        <f>VLOOKUP(K87,[2]материалы!$A$5:$G$34,7, FALSE)</f>
        <v>0.57999999999999996</v>
      </c>
      <c r="N87" s="471">
        <v>2</v>
      </c>
      <c r="O87" s="471">
        <f t="shared" si="34"/>
        <v>1.1599999999999999</v>
      </c>
      <c r="P87" s="471"/>
      <c r="Q87" s="471"/>
      <c r="R87" s="472"/>
      <c r="S87" s="472"/>
      <c r="T87" s="472"/>
      <c r="U87" s="269"/>
      <c r="V87" s="469"/>
      <c r="W87" s="486"/>
      <c r="X87" s="470"/>
      <c r="Y87" s="499"/>
      <c r="Z87" s="487"/>
      <c r="AC87" s="467"/>
      <c r="AD87" s="468"/>
      <c r="AE87" s="284"/>
      <c r="AG87" s="466"/>
      <c r="AH87" s="285"/>
      <c r="AI87" s="285"/>
      <c r="AK87" s="286"/>
      <c r="AM87" s="466"/>
      <c r="AN87" s="337"/>
      <c r="AO87" s="285"/>
      <c r="AQ87" s="288"/>
      <c r="AR87" s="467"/>
      <c r="AT87" s="289"/>
    </row>
    <row r="88" spans="1:49" ht="51" outlineLevel="1" x14ac:dyDescent="0.3">
      <c r="A88" s="477"/>
      <c r="B88" s="477"/>
      <c r="C88" s="475"/>
      <c r="D88" s="484"/>
      <c r="E88" s="471"/>
      <c r="F88" s="452"/>
      <c r="G88" s="452"/>
      <c r="H88" s="471"/>
      <c r="I88" s="471"/>
      <c r="J88" s="471"/>
      <c r="K88" s="121" t="s">
        <v>339</v>
      </c>
      <c r="L88" s="478" t="str">
        <f>VLOOKUP(K88,[2]материалы!$A$5:$G$31,5, FALSE)</f>
        <v>шт.</v>
      </c>
      <c r="M88" s="471">
        <f>VLOOKUP(K88,[2]материалы!$A$5:$G$34,7, FALSE)</f>
        <v>10.83</v>
      </c>
      <c r="N88" s="471">
        <v>2</v>
      </c>
      <c r="O88" s="471">
        <f t="shared" si="34"/>
        <v>21.66</v>
      </c>
      <c r="P88" s="471"/>
      <c r="Q88" s="471"/>
      <c r="R88" s="472"/>
      <c r="S88" s="472"/>
      <c r="T88" s="472"/>
      <c r="U88" s="269"/>
      <c r="V88" s="469"/>
      <c r="W88" s="486"/>
      <c r="X88" s="470"/>
      <c r="Y88" s="499"/>
      <c r="Z88" s="487"/>
      <c r="AC88" s="467"/>
      <c r="AD88" s="468"/>
      <c r="AE88" s="284"/>
      <c r="AG88" s="466"/>
      <c r="AH88" s="285"/>
      <c r="AI88" s="285"/>
      <c r="AK88" s="286"/>
      <c r="AM88" s="466"/>
      <c r="AN88" s="337"/>
      <c r="AO88" s="285"/>
      <c r="AQ88" s="288"/>
      <c r="AR88" s="467"/>
      <c r="AT88" s="289"/>
    </row>
    <row r="89" spans="1:49" ht="17.25" customHeight="1" x14ac:dyDescent="0.25">
      <c r="A89" s="647" t="s">
        <v>672</v>
      </c>
      <c r="B89" s="647" t="s">
        <v>27</v>
      </c>
      <c r="C89" s="660" t="s">
        <v>673</v>
      </c>
      <c r="D89" s="649" t="s">
        <v>658</v>
      </c>
      <c r="E89" s="471" t="s">
        <v>162</v>
      </c>
      <c r="F89" s="471">
        <f>VLOOKUP(E89,'[2]условия, ФОТ'!$A$14:$I$28,9, FALSE)</f>
        <v>213.84</v>
      </c>
      <c r="G89" s="471">
        <v>0.5</v>
      </c>
      <c r="H89" s="661">
        <f>ROUND((F89*G89+F90*G90),2)</f>
        <v>232.59</v>
      </c>
      <c r="I89" s="661">
        <f>ROUND(H89*$I$5,2)</f>
        <v>70.239999999999995</v>
      </c>
      <c r="J89" s="661">
        <f>H89+I89</f>
        <v>302.83</v>
      </c>
      <c r="K89" s="669"/>
      <c r="L89" s="661"/>
      <c r="M89" s="661"/>
      <c r="N89" s="661"/>
      <c r="O89" s="661">
        <f>SUM(O91:O98)</f>
        <v>146.72999999999999</v>
      </c>
      <c r="P89" s="709">
        <f>J89+O89</f>
        <v>449.55999999999995</v>
      </c>
      <c r="Q89" s="709">
        <f>ROUND(P89*$Q$5,2)</f>
        <v>298.95999999999998</v>
      </c>
      <c r="R89" s="711">
        <f>ROUND(T89/1.2,2)</f>
        <v>975</v>
      </c>
      <c r="S89" s="711">
        <f>ROUND(R89*$S$5,2)</f>
        <v>195</v>
      </c>
      <c r="T89" s="665">
        <f>ROUND((P89+Q89)*(1+Y89)*1.2,0)</f>
        <v>1170</v>
      </c>
      <c r="U89" s="666">
        <v>913</v>
      </c>
      <c r="V89" s="713">
        <f>T89/U89*100-100</f>
        <v>28.148959474260693</v>
      </c>
      <c r="W89" s="678">
        <v>1016</v>
      </c>
      <c r="X89" s="679">
        <f>T89/W89*100-100</f>
        <v>15.157480314960623</v>
      </c>
      <c r="Y89" s="680">
        <v>0.30280000000000001</v>
      </c>
      <c r="Z89" s="714" t="e">
        <f>#REF!*Y89</f>
        <v>#REF!</v>
      </c>
      <c r="AB89" s="235">
        <v>975.06200000000001</v>
      </c>
      <c r="AC89" s="674"/>
      <c r="AD89" s="683">
        <f>T89-W89</f>
        <v>154</v>
      </c>
      <c r="AE89" s="284"/>
      <c r="AG89" s="715">
        <v>0.16289999999999999</v>
      </c>
      <c r="AH89" s="670">
        <f t="shared" si="30"/>
        <v>0.16289999999999999</v>
      </c>
      <c r="AI89" s="670">
        <v>0</v>
      </c>
      <c r="AK89" s="676"/>
      <c r="AM89" s="715">
        <v>1.034</v>
      </c>
      <c r="AN89" s="717">
        <v>0.16289999999999999</v>
      </c>
      <c r="AO89" s="670" t="e">
        <f>#REF!-AM89</f>
        <v>#REF!</v>
      </c>
      <c r="AQ89" s="672">
        <f>Y89-AN89</f>
        <v>0.13990000000000002</v>
      </c>
      <c r="AR89" s="674">
        <v>975</v>
      </c>
      <c r="AS89" s="675" t="b">
        <f>W89=AR89</f>
        <v>0</v>
      </c>
      <c r="AT89" s="289" t="e">
        <f>ROUND(W89/T89*100-100,2)+#REF!</f>
        <v>#REF!</v>
      </c>
      <c r="AW89">
        <f>ROUND(T89/W89,3)</f>
        <v>1.1519999999999999</v>
      </c>
    </row>
    <row r="90" spans="1:49" ht="23.25" customHeight="1" x14ac:dyDescent="0.25">
      <c r="A90" s="647"/>
      <c r="B90" s="647"/>
      <c r="C90" s="660"/>
      <c r="D90" s="649"/>
      <c r="E90" s="484" t="s">
        <v>166</v>
      </c>
      <c r="F90" s="471">
        <f>VLOOKUP(E90,'[2]условия, ФОТ'!$A$14:$I$28,9, FALSE)</f>
        <v>251.34</v>
      </c>
      <c r="G90" s="471">
        <v>0.5</v>
      </c>
      <c r="H90" s="661">
        <f t="shared" ref="H90" si="35">ROUND(F90*G90,2)</f>
        <v>125.67</v>
      </c>
      <c r="I90" s="661">
        <f t="shared" ref="I90" si="36">ROUND(H90*$I$5,2)</f>
        <v>37.950000000000003</v>
      </c>
      <c r="J90" s="661">
        <f t="shared" ref="J90" si="37">H90+I90</f>
        <v>163.62</v>
      </c>
      <c r="K90" s="669"/>
      <c r="L90" s="661"/>
      <c r="M90" s="661"/>
      <c r="N90" s="661"/>
      <c r="O90" s="661"/>
      <c r="P90" s="710"/>
      <c r="Q90" s="710"/>
      <c r="R90" s="710"/>
      <c r="S90" s="710"/>
      <c r="T90" s="665">
        <f>ROUND((P90+Q90)*(1+$R$5)*1.18,0)</f>
        <v>0</v>
      </c>
      <c r="U90" s="667"/>
      <c r="V90" s="713"/>
      <c r="W90" s="678">
        <v>0</v>
      </c>
      <c r="X90" s="679"/>
      <c r="Y90" s="680"/>
      <c r="Z90" s="714"/>
      <c r="AC90" s="674"/>
      <c r="AD90" s="684"/>
      <c r="AE90" s="284"/>
      <c r="AG90" s="716"/>
      <c r="AH90" s="671"/>
      <c r="AI90" s="671"/>
      <c r="AK90" s="677"/>
      <c r="AM90" s="716"/>
      <c r="AN90" s="718"/>
      <c r="AO90" s="671"/>
      <c r="AQ90" s="673"/>
      <c r="AR90" s="674"/>
      <c r="AS90" s="675"/>
      <c r="AT90" s="289"/>
    </row>
    <row r="91" spans="1:49" ht="25.5" outlineLevel="1" x14ac:dyDescent="0.3">
      <c r="A91" s="477"/>
      <c r="B91" s="477"/>
      <c r="C91" s="475"/>
      <c r="D91" s="484"/>
      <c r="E91" s="471"/>
      <c r="F91" s="452"/>
      <c r="G91" s="452"/>
      <c r="H91" s="471"/>
      <c r="I91" s="471"/>
      <c r="J91" s="295" t="s">
        <v>366</v>
      </c>
      <c r="K91" s="121" t="s">
        <v>165</v>
      </c>
      <c r="L91" s="478" t="str">
        <f>VLOOKUP(K91,[2]материалы!$A$5:$G$31,5, FALSE)</f>
        <v>шт.</v>
      </c>
      <c r="M91" s="471">
        <f>VLOOKUP(K91,[2]материалы!$A$5:$G$34,7, FALSE)</f>
        <v>50</v>
      </c>
      <c r="N91" s="471">
        <v>1</v>
      </c>
      <c r="O91" s="471">
        <f t="shared" ref="O91:O98" si="38">ROUND(M91*N91,2)</f>
        <v>50</v>
      </c>
      <c r="P91" s="471"/>
      <c r="Q91" s="471"/>
      <c r="R91" s="472"/>
      <c r="S91" s="472"/>
      <c r="T91" s="472"/>
      <c r="U91" s="269"/>
      <c r="V91" s="338"/>
      <c r="W91" s="486"/>
      <c r="X91" s="470"/>
      <c r="Y91" s="499"/>
      <c r="Z91" s="487"/>
      <c r="AC91" s="467"/>
      <c r="AD91" s="468"/>
      <c r="AE91" s="284"/>
      <c r="AG91" s="466"/>
      <c r="AH91" s="285"/>
      <c r="AI91" s="285"/>
      <c r="AK91" s="286"/>
      <c r="AM91" s="466"/>
      <c r="AN91" s="337"/>
      <c r="AO91" s="285"/>
      <c r="AQ91" s="288"/>
      <c r="AR91" s="467"/>
      <c r="AT91" s="289"/>
    </row>
    <row r="92" spans="1:49" outlineLevel="1" x14ac:dyDescent="0.3">
      <c r="A92" s="477"/>
      <c r="B92" s="477"/>
      <c r="C92" s="475"/>
      <c r="D92" s="484"/>
      <c r="E92" s="471"/>
      <c r="F92" s="452"/>
      <c r="G92" s="452"/>
      <c r="H92" s="471"/>
      <c r="I92" s="471"/>
      <c r="J92" s="471"/>
      <c r="K92" s="121" t="s">
        <v>323</v>
      </c>
      <c r="L92" s="478" t="str">
        <f>VLOOKUP(K92,[2]материалы!$A$5:$G$31,5, FALSE)</f>
        <v>м3</v>
      </c>
      <c r="M92" s="471">
        <f>VLOOKUP(K92,[2]материалы!$A$5:$G$34,7, FALSE)</f>
        <v>486.11</v>
      </c>
      <c r="N92" s="478">
        <v>8.7499999999999994E-2</v>
      </c>
      <c r="O92" s="471">
        <f t="shared" si="38"/>
        <v>42.53</v>
      </c>
      <c r="P92" s="471"/>
      <c r="Q92" s="471"/>
      <c r="R92" s="472"/>
      <c r="S92" s="472"/>
      <c r="T92" s="472"/>
      <c r="U92" s="269"/>
      <c r="V92" s="338"/>
      <c r="W92" s="486"/>
      <c r="X92" s="470"/>
      <c r="Y92" s="499"/>
      <c r="Z92" s="487"/>
      <c r="AC92" s="467"/>
      <c r="AD92" s="468"/>
      <c r="AE92" s="284"/>
      <c r="AG92" s="466"/>
      <c r="AH92" s="285"/>
      <c r="AI92" s="285"/>
      <c r="AK92" s="286"/>
      <c r="AM92" s="466"/>
      <c r="AN92" s="337"/>
      <c r="AO92" s="285"/>
      <c r="AQ92" s="288"/>
      <c r="AR92" s="467"/>
      <c r="AT92" s="289"/>
    </row>
    <row r="93" spans="1:49" ht="38.25" outlineLevel="1" x14ac:dyDescent="0.3">
      <c r="A93" s="477"/>
      <c r="B93" s="477"/>
      <c r="C93" s="475"/>
      <c r="D93" s="484"/>
      <c r="E93" s="471"/>
      <c r="F93" s="452"/>
      <c r="G93" s="452"/>
      <c r="H93" s="471"/>
      <c r="I93" s="471"/>
      <c r="J93" s="471"/>
      <c r="K93" s="121" t="s">
        <v>341</v>
      </c>
      <c r="L93" s="478" t="str">
        <f>VLOOKUP(K93,[2]материалы!$A$5:$G$31,5, FALSE)</f>
        <v>кг</v>
      </c>
      <c r="M93" s="471">
        <f>VLOOKUP(K93,[2]материалы!$A$5:$G$34,7, FALSE)</f>
        <v>125</v>
      </c>
      <c r="N93" s="471">
        <v>0.1</v>
      </c>
      <c r="O93" s="471">
        <f>ROUND(M93*N93,2)</f>
        <v>12.5</v>
      </c>
      <c r="P93" s="471"/>
      <c r="Q93" s="471"/>
      <c r="R93" s="472"/>
      <c r="S93" s="472"/>
      <c r="T93" s="472"/>
      <c r="U93" s="269"/>
      <c r="V93" s="338"/>
      <c r="W93" s="486"/>
      <c r="X93" s="470"/>
      <c r="Y93" s="499"/>
      <c r="Z93" s="487"/>
      <c r="AC93" s="467"/>
      <c r="AD93" s="468"/>
      <c r="AE93" s="284"/>
      <c r="AG93" s="466"/>
      <c r="AH93" s="285"/>
      <c r="AI93" s="285"/>
      <c r="AK93" s="286"/>
      <c r="AM93" s="466"/>
      <c r="AN93" s="337"/>
      <c r="AO93" s="285"/>
      <c r="AQ93" s="288"/>
      <c r="AR93" s="467"/>
      <c r="AT93" s="289"/>
    </row>
    <row r="94" spans="1:49" outlineLevel="1" x14ac:dyDescent="0.3">
      <c r="A94" s="477"/>
      <c r="B94" s="477"/>
      <c r="C94" s="475"/>
      <c r="D94" s="484"/>
      <c r="E94" s="471"/>
      <c r="F94" s="452"/>
      <c r="G94" s="452"/>
      <c r="H94" s="471"/>
      <c r="I94" s="471"/>
      <c r="J94" s="471"/>
      <c r="K94" s="121" t="s">
        <v>324</v>
      </c>
      <c r="L94" s="478" t="str">
        <f>VLOOKUP(K94,[2]материалы!$A$5:$G$31,5, FALSE)</f>
        <v>м3</v>
      </c>
      <c r="M94" s="471">
        <f>VLOOKUP(K94,[2]материалы!$A$5:$G$34,7, FALSE)</f>
        <v>152.78</v>
      </c>
      <c r="N94" s="471">
        <v>1.4999999999999999E-2</v>
      </c>
      <c r="O94" s="471">
        <f t="shared" si="38"/>
        <v>2.29</v>
      </c>
      <c r="P94" s="471"/>
      <c r="Q94" s="471"/>
      <c r="R94" s="472"/>
      <c r="S94" s="472"/>
      <c r="T94" s="472"/>
      <c r="U94" s="269"/>
      <c r="V94" s="338"/>
      <c r="W94" s="486"/>
      <c r="X94" s="470"/>
      <c r="Y94" s="499"/>
      <c r="Z94" s="487"/>
      <c r="AC94" s="467"/>
      <c r="AD94" s="468"/>
      <c r="AE94" s="284"/>
      <c r="AG94" s="466"/>
      <c r="AH94" s="285"/>
      <c r="AI94" s="285"/>
      <c r="AK94" s="286"/>
      <c r="AM94" s="466"/>
      <c r="AN94" s="337"/>
      <c r="AO94" s="285"/>
      <c r="AQ94" s="288"/>
      <c r="AR94" s="467"/>
      <c r="AT94" s="289"/>
    </row>
    <row r="95" spans="1:49" ht="29.25" customHeight="1" outlineLevel="1" x14ac:dyDescent="0.3">
      <c r="A95" s="477"/>
      <c r="B95" s="477"/>
      <c r="C95" s="475"/>
      <c r="D95" s="484"/>
      <c r="E95" s="471"/>
      <c r="F95" s="452"/>
      <c r="G95" s="452"/>
      <c r="H95" s="471"/>
      <c r="I95" s="471"/>
      <c r="J95" s="471"/>
      <c r="K95" s="121" t="s">
        <v>342</v>
      </c>
      <c r="L95" s="478" t="str">
        <f>VLOOKUP(K95,[2]материалы!$A$5:$G$31,5, FALSE)</f>
        <v>шт.</v>
      </c>
      <c r="M95" s="471">
        <f>VLOOKUP(K95,[2]материалы!$A$5:$G$34,7, FALSE)</f>
        <v>37.5</v>
      </c>
      <c r="N95" s="471">
        <v>0.25</v>
      </c>
      <c r="O95" s="471">
        <f t="shared" si="38"/>
        <v>9.3800000000000008</v>
      </c>
      <c r="P95" s="471"/>
      <c r="Q95" s="471"/>
      <c r="R95" s="472"/>
      <c r="S95" s="472"/>
      <c r="T95" s="472"/>
      <c r="U95" s="269"/>
      <c r="V95" s="338"/>
      <c r="W95" s="486"/>
      <c r="X95" s="470"/>
      <c r="Y95" s="499"/>
      <c r="Z95" s="487"/>
      <c r="AC95" s="467"/>
      <c r="AD95" s="468"/>
      <c r="AE95" s="284"/>
      <c r="AG95" s="466"/>
      <c r="AH95" s="285"/>
      <c r="AI95" s="285"/>
      <c r="AK95" s="286"/>
      <c r="AM95" s="466"/>
      <c r="AN95" s="337"/>
      <c r="AO95" s="285"/>
      <c r="AQ95" s="288"/>
      <c r="AR95" s="467"/>
      <c r="AT95" s="289"/>
    </row>
    <row r="96" spans="1:49" ht="25.5" outlineLevel="1" x14ac:dyDescent="0.3">
      <c r="A96" s="477"/>
      <c r="B96" s="477"/>
      <c r="C96" s="475"/>
      <c r="D96" s="484"/>
      <c r="E96" s="471"/>
      <c r="F96" s="452"/>
      <c r="G96" s="452"/>
      <c r="H96" s="471"/>
      <c r="I96" s="471"/>
      <c r="J96" s="471"/>
      <c r="K96" s="121" t="s">
        <v>335</v>
      </c>
      <c r="L96" s="478" t="str">
        <f>VLOOKUP(K96,[2]материалы!$A$5:$G$31,5, FALSE)</f>
        <v>кг</v>
      </c>
      <c r="M96" s="471">
        <f>VLOOKUP(K96,[2]материалы!$A$5:$G$34,7, FALSE)</f>
        <v>720.83</v>
      </c>
      <c r="N96" s="471">
        <v>0.01</v>
      </c>
      <c r="O96" s="471">
        <f t="shared" si="38"/>
        <v>7.21</v>
      </c>
      <c r="P96" s="471"/>
      <c r="Q96" s="471"/>
      <c r="R96" s="472"/>
      <c r="S96" s="472"/>
      <c r="T96" s="472"/>
      <c r="U96" s="269"/>
      <c r="V96" s="338"/>
      <c r="W96" s="486"/>
      <c r="X96" s="470"/>
      <c r="Y96" s="499"/>
      <c r="Z96" s="487"/>
      <c r="AC96" s="467"/>
      <c r="AD96" s="468"/>
      <c r="AE96" s="284"/>
      <c r="AG96" s="466"/>
      <c r="AH96" s="285"/>
      <c r="AI96" s="285"/>
      <c r="AK96" s="286"/>
      <c r="AM96" s="466"/>
      <c r="AN96" s="337"/>
      <c r="AO96" s="285"/>
      <c r="AQ96" s="288"/>
      <c r="AR96" s="467"/>
      <c r="AT96" s="289"/>
    </row>
    <row r="97" spans="1:49" ht="38.25" outlineLevel="1" x14ac:dyDescent="0.3">
      <c r="A97" s="477"/>
      <c r="B97" s="477"/>
      <c r="C97" s="475"/>
      <c r="D97" s="484"/>
      <c r="E97" s="471"/>
      <c r="F97" s="452"/>
      <c r="G97" s="452"/>
      <c r="H97" s="471"/>
      <c r="I97" s="471"/>
      <c r="J97" s="471"/>
      <c r="K97" s="121" t="s">
        <v>370</v>
      </c>
      <c r="L97" s="478" t="str">
        <f>VLOOKUP(K97,[2]материалы!$A$5:$G$31,5, FALSE)</f>
        <v>шт.</v>
      </c>
      <c r="M97" s="471">
        <f>VLOOKUP(K97,[2]материалы!$A$5:$G$34,7, FALSE)</f>
        <v>0.57999999999999996</v>
      </c>
      <c r="N97" s="471">
        <v>2</v>
      </c>
      <c r="O97" s="471">
        <f t="shared" si="38"/>
        <v>1.1599999999999999</v>
      </c>
      <c r="P97" s="471"/>
      <c r="Q97" s="471"/>
      <c r="R97" s="472"/>
      <c r="S97" s="472"/>
      <c r="T97" s="472"/>
      <c r="U97" s="269"/>
      <c r="V97" s="338"/>
      <c r="W97" s="486"/>
      <c r="X97" s="470"/>
      <c r="Y97" s="499"/>
      <c r="Z97" s="487"/>
      <c r="AC97" s="467"/>
      <c r="AD97" s="468"/>
      <c r="AE97" s="284"/>
      <c r="AG97" s="466"/>
      <c r="AH97" s="285"/>
      <c r="AI97" s="285"/>
      <c r="AK97" s="286"/>
      <c r="AM97" s="466"/>
      <c r="AN97" s="337"/>
      <c r="AO97" s="285"/>
      <c r="AQ97" s="288"/>
      <c r="AR97" s="467"/>
      <c r="AT97" s="289"/>
    </row>
    <row r="98" spans="1:49" ht="51" outlineLevel="1" x14ac:dyDescent="0.3">
      <c r="A98" s="477"/>
      <c r="B98" s="477"/>
      <c r="C98" s="475"/>
      <c r="D98" s="484"/>
      <c r="E98" s="471"/>
      <c r="F98" s="452"/>
      <c r="G98" s="452"/>
      <c r="H98" s="471"/>
      <c r="I98" s="471"/>
      <c r="J98" s="471"/>
      <c r="K98" s="121" t="s">
        <v>339</v>
      </c>
      <c r="L98" s="478" t="str">
        <f>VLOOKUP(K98,[2]материалы!$A$5:$G$31,5, FALSE)</f>
        <v>шт.</v>
      </c>
      <c r="M98" s="471">
        <f>VLOOKUP(K98,[2]материалы!$A$5:$G$34,7, FALSE)</f>
        <v>10.83</v>
      </c>
      <c r="N98" s="471">
        <v>2</v>
      </c>
      <c r="O98" s="471">
        <f t="shared" si="38"/>
        <v>21.66</v>
      </c>
      <c r="P98" s="471"/>
      <c r="Q98" s="471"/>
      <c r="R98" s="472"/>
      <c r="S98" s="472"/>
      <c r="T98" s="472"/>
      <c r="U98" s="269"/>
      <c r="V98" s="338"/>
      <c r="W98" s="486"/>
      <c r="X98" s="470"/>
      <c r="Y98" s="499"/>
      <c r="Z98" s="487"/>
      <c r="AC98" s="467"/>
      <c r="AD98" s="468"/>
      <c r="AE98" s="284"/>
      <c r="AG98" s="466"/>
      <c r="AH98" s="285"/>
      <c r="AI98" s="285"/>
      <c r="AK98" s="286"/>
      <c r="AM98" s="466"/>
      <c r="AN98" s="337"/>
      <c r="AO98" s="285"/>
      <c r="AQ98" s="288"/>
      <c r="AR98" s="467"/>
      <c r="AT98" s="289"/>
    </row>
    <row r="99" spans="1:49" ht="44.25" customHeight="1" x14ac:dyDescent="0.3">
      <c r="A99" s="477" t="s">
        <v>674</v>
      </c>
      <c r="B99" s="477" t="s">
        <v>675</v>
      </c>
      <c r="C99" s="475" t="s">
        <v>676</v>
      </c>
      <c r="D99" s="484" t="s">
        <v>18</v>
      </c>
      <c r="E99" s="471" t="s">
        <v>162</v>
      </c>
      <c r="F99" s="471">
        <f>VLOOKUP(E99,'[2]условия, ФОТ'!$A$14:$I$28,9, FALSE)</f>
        <v>213.84</v>
      </c>
      <c r="G99" s="471">
        <v>1.44</v>
      </c>
      <c r="H99" s="471">
        <f t="shared" ref="H99" si="39">ROUND(F99*G99,2)</f>
        <v>307.93</v>
      </c>
      <c r="I99" s="471">
        <f t="shared" ref="I99" si="40">ROUND(H99*$I$5,2)</f>
        <v>92.99</v>
      </c>
      <c r="J99" s="471">
        <f t="shared" ref="J99" si="41">H99+I99</f>
        <v>400.92</v>
      </c>
      <c r="K99" s="479"/>
      <c r="L99" s="471"/>
      <c r="M99" s="471"/>
      <c r="N99" s="471"/>
      <c r="O99" s="471"/>
      <c r="P99" s="471">
        <f t="shared" ref="P99" si="42">J99+O99</f>
        <v>400.92</v>
      </c>
      <c r="Q99" s="471">
        <f t="shared" ref="Q99" si="43">ROUND(P99*$Q$5,2)</f>
        <v>266.61</v>
      </c>
      <c r="R99" s="472">
        <f>ROUND(T99/1.2,2)</f>
        <v>719.17</v>
      </c>
      <c r="S99" s="472">
        <f t="shared" ref="S99" si="44">ROUND(R99*$S$5,2)</f>
        <v>143.83000000000001</v>
      </c>
      <c r="T99" s="472">
        <f>ROUND((P99+Q99)*(1+Y99)*1.2,0)</f>
        <v>863</v>
      </c>
      <c r="U99" s="269">
        <v>605</v>
      </c>
      <c r="V99" s="336">
        <f t="shared" ref="V99:V101" si="45">T99/U99*100-100</f>
        <v>42.644628099173559</v>
      </c>
      <c r="W99" s="498">
        <v>728</v>
      </c>
      <c r="X99" s="470">
        <f>T99/W99*100-100</f>
        <v>18.543956043956044</v>
      </c>
      <c r="Y99" s="499">
        <v>7.7200000000000005E-2</v>
      </c>
      <c r="Z99" s="487" t="e">
        <f>#REF!*Y99</f>
        <v>#REF!</v>
      </c>
      <c r="AB99" s="235">
        <v>646.25</v>
      </c>
      <c r="AC99" s="467"/>
      <c r="AD99" s="500">
        <f>T99-W99</f>
        <v>135</v>
      </c>
      <c r="AE99" s="284"/>
      <c r="AG99" s="466">
        <v>-2.93E-2</v>
      </c>
      <c r="AH99" s="285">
        <f t="shared" si="30"/>
        <v>1.0293000000000001</v>
      </c>
      <c r="AI99" s="285">
        <v>1.0640000000000001</v>
      </c>
      <c r="AK99" s="286">
        <f>ROUND(W99*AI99,2)</f>
        <v>774.59</v>
      </c>
      <c r="AM99" s="466">
        <v>1.034</v>
      </c>
      <c r="AN99" s="337">
        <v>-2.93E-2</v>
      </c>
      <c r="AO99" s="285" t="e">
        <f>#REF!-AM99</f>
        <v>#REF!</v>
      </c>
      <c r="AQ99" s="288">
        <f>Y99-AN99</f>
        <v>0.10650000000000001</v>
      </c>
      <c r="AR99" s="467">
        <v>699</v>
      </c>
      <c r="AS99" s="127" t="b">
        <f>W99=AR99</f>
        <v>0</v>
      </c>
      <c r="AT99" s="289" t="e">
        <f>ROUND(W99/T99*100-100,2)+#REF!</f>
        <v>#REF!</v>
      </c>
      <c r="AW99">
        <f>ROUND(T99/W99,3)</f>
        <v>1.1850000000000001</v>
      </c>
    </row>
    <row r="100" spans="1:49" s="86" customFormat="1" ht="24" customHeight="1" x14ac:dyDescent="0.3">
      <c r="A100" s="651" t="s">
        <v>677</v>
      </c>
      <c r="B100" s="652"/>
      <c r="C100" s="652"/>
      <c r="D100" s="652"/>
      <c r="E100" s="652"/>
      <c r="F100" s="652"/>
      <c r="G100" s="652"/>
      <c r="H100" s="652"/>
      <c r="I100" s="652"/>
      <c r="J100" s="652"/>
      <c r="K100" s="652"/>
      <c r="L100" s="652"/>
      <c r="M100" s="652"/>
      <c r="N100" s="652"/>
      <c r="O100" s="652"/>
      <c r="P100" s="652"/>
      <c r="Q100" s="652"/>
      <c r="R100" s="652"/>
      <c r="S100" s="652"/>
      <c r="T100" s="653"/>
      <c r="U100" s="340"/>
      <c r="V100" s="261"/>
      <c r="W100" s="486"/>
      <c r="X100" s="470"/>
      <c r="Y100" s="499"/>
      <c r="Z100" s="487"/>
      <c r="AA100" s="278"/>
      <c r="AB100" s="235"/>
      <c r="AC100" s="341"/>
      <c r="AD100" s="468"/>
      <c r="AE100" s="284"/>
      <c r="AG100" s="292"/>
      <c r="AH100" s="285"/>
      <c r="AI100" s="285"/>
      <c r="AK100" s="286"/>
      <c r="AL100" s="293"/>
      <c r="AM100" s="292"/>
      <c r="AN100" s="294"/>
      <c r="AO100" s="285"/>
      <c r="AQ100" s="288"/>
      <c r="AR100" s="341"/>
      <c r="AS100" s="127"/>
      <c r="AT100" s="289"/>
      <c r="AU100"/>
      <c r="AV100"/>
      <c r="AW100"/>
    </row>
    <row r="101" spans="1:49" s="546" customFormat="1" ht="39" customHeight="1" x14ac:dyDescent="0.3">
      <c r="A101" s="528" t="s">
        <v>426</v>
      </c>
      <c r="B101" s="529" t="s">
        <v>343</v>
      </c>
      <c r="C101" s="530" t="s">
        <v>361</v>
      </c>
      <c r="D101" s="531" t="s">
        <v>167</v>
      </c>
      <c r="E101" s="531" t="s">
        <v>161</v>
      </c>
      <c r="F101" s="532">
        <f>VLOOKUP(E101,'[2]условия, ФОТ'!$A$14:$I$28,9, FALSE)</f>
        <v>206.19</v>
      </c>
      <c r="G101" s="532">
        <v>0.4</v>
      </c>
      <c r="H101" s="532">
        <f>ROUND(F101*G101,2)</f>
        <v>82.48</v>
      </c>
      <c r="I101" s="532">
        <f>ROUND(H101*$I$5,2)</f>
        <v>24.91</v>
      </c>
      <c r="J101" s="532">
        <f>H101+I101</f>
        <v>107.39</v>
      </c>
      <c r="K101" s="533"/>
      <c r="L101" s="534"/>
      <c r="M101" s="534"/>
      <c r="N101" s="534"/>
      <c r="O101" s="534"/>
      <c r="P101" s="532">
        <f>J101+O101</f>
        <v>107.39</v>
      </c>
      <c r="Q101" s="532">
        <f>ROUND(P101*$Q$5,2)</f>
        <v>71.41</v>
      </c>
      <c r="R101" s="535">
        <f>ROUND(T101/1.2,2)</f>
        <v>192.5</v>
      </c>
      <c r="S101" s="535">
        <f>ROUND(R101*$S$5,2)</f>
        <v>38.5</v>
      </c>
      <c r="T101" s="535">
        <f>ROUND((P101+Q101)*(1+Y101)*1.2,0)</f>
        <v>231</v>
      </c>
      <c r="U101" s="535">
        <v>149</v>
      </c>
      <c r="V101" s="536">
        <f t="shared" si="45"/>
        <v>55.033557046979865</v>
      </c>
      <c r="W101" s="537">
        <v>202</v>
      </c>
      <c r="X101" s="538">
        <f>T101/W101*100-100</f>
        <v>14.356435643564353</v>
      </c>
      <c r="Y101" s="539">
        <v>7.6399999999999996E-2</v>
      </c>
      <c r="Z101" s="540" t="e">
        <f>#REF!*Y101</f>
        <v>#REF!</v>
      </c>
      <c r="AA101" s="541"/>
      <c r="AB101" s="542">
        <v>158.202</v>
      </c>
      <c r="AC101" s="543"/>
      <c r="AD101" s="544">
        <f>T101-W101</f>
        <v>29</v>
      </c>
      <c r="AE101" s="545"/>
      <c r="AG101" s="547">
        <v>-0.1447</v>
      </c>
      <c r="AH101" s="548">
        <f t="shared" si="30"/>
        <v>1.1447000000000001</v>
      </c>
      <c r="AI101" s="548">
        <v>1.1839999999999999</v>
      </c>
      <c r="AK101" s="549">
        <f>ROUND(W101*AI101,2)</f>
        <v>239.17</v>
      </c>
      <c r="AL101" s="550"/>
      <c r="AM101" s="547">
        <v>1.034</v>
      </c>
      <c r="AN101" s="551">
        <v>-0.1447</v>
      </c>
      <c r="AO101" s="548" t="e">
        <f>#REF!-AM101</f>
        <v>#REF!</v>
      </c>
      <c r="AQ101" s="552">
        <f>Y101-AN101</f>
        <v>0.22109999999999999</v>
      </c>
      <c r="AR101" s="543">
        <v>194</v>
      </c>
      <c r="AS101" s="553" t="b">
        <f>W101=AR101</f>
        <v>0</v>
      </c>
      <c r="AT101" s="554" t="e">
        <f>ROUND(W101/T101*100-100,2)+#REF!</f>
        <v>#REF!</v>
      </c>
      <c r="AW101" s="546">
        <f>ROUND(T101/W101,3)</f>
        <v>1.1439999999999999</v>
      </c>
    </row>
    <row r="102" spans="1:49" ht="31.7" customHeight="1" x14ac:dyDescent="0.3">
      <c r="A102" s="719" t="s">
        <v>678</v>
      </c>
      <c r="B102" s="720"/>
      <c r="C102" s="720"/>
      <c r="D102" s="720"/>
      <c r="E102" s="720"/>
      <c r="F102" s="720"/>
      <c r="G102" s="720"/>
      <c r="H102" s="720"/>
      <c r="I102" s="720"/>
      <c r="J102" s="720"/>
      <c r="K102" s="720"/>
      <c r="L102" s="720"/>
      <c r="M102" s="720"/>
      <c r="N102" s="720"/>
      <c r="O102" s="720"/>
      <c r="P102" s="720"/>
      <c r="Q102" s="720"/>
      <c r="R102" s="343"/>
      <c r="S102" s="343"/>
      <c r="T102" s="343"/>
      <c r="U102" s="344"/>
      <c r="V102" s="338"/>
      <c r="W102" s="486"/>
      <c r="X102" s="470"/>
      <c r="Y102" s="499"/>
      <c r="Z102" s="487"/>
      <c r="AC102" s="341"/>
      <c r="AD102" s="468"/>
      <c r="AE102" s="284"/>
      <c r="AG102" s="466"/>
      <c r="AH102" s="285"/>
      <c r="AI102" s="285"/>
      <c r="AK102" s="286"/>
      <c r="AM102" s="466"/>
      <c r="AN102" s="337"/>
      <c r="AO102" s="285"/>
      <c r="AQ102" s="288"/>
      <c r="AR102" s="341"/>
      <c r="AT102" s="289"/>
    </row>
    <row r="103" spans="1:49" ht="37.5" customHeight="1" x14ac:dyDescent="0.3">
      <c r="A103" s="477" t="s">
        <v>427</v>
      </c>
      <c r="B103" s="477" t="s">
        <v>171</v>
      </c>
      <c r="C103" s="475" t="s">
        <v>371</v>
      </c>
      <c r="D103" s="484" t="s">
        <v>30</v>
      </c>
      <c r="E103" s="484" t="s">
        <v>162</v>
      </c>
      <c r="F103" s="471">
        <f>VLOOKUP(E103,'[2]условия, ФОТ'!$A$14:$I$28,9, FALSE)</f>
        <v>213.84</v>
      </c>
      <c r="G103" s="478">
        <v>1</v>
      </c>
      <c r="H103" s="471">
        <f>ROUND(F103*G103,2)</f>
        <v>213.84</v>
      </c>
      <c r="I103" s="471">
        <f>ROUND(H103*$I$5,2)</f>
        <v>64.58</v>
      </c>
      <c r="J103" s="471">
        <f>H103+I103</f>
        <v>278.42</v>
      </c>
      <c r="K103" s="479"/>
      <c r="L103" s="471"/>
      <c r="M103" s="471"/>
      <c r="N103" s="471"/>
      <c r="O103" s="471">
        <f>SUM(O104:O106)</f>
        <v>4.3500000000000005</v>
      </c>
      <c r="P103" s="471">
        <f>J103+O103</f>
        <v>282.77000000000004</v>
      </c>
      <c r="Q103" s="471">
        <f>ROUND(P103*$Q$5,2)</f>
        <v>188.04</v>
      </c>
      <c r="R103" s="472">
        <f>ROUND(T103/1.2,2)</f>
        <v>506.67</v>
      </c>
      <c r="S103" s="472">
        <f>ROUND(R103*$S$5,2)</f>
        <v>101.33</v>
      </c>
      <c r="T103" s="472">
        <f>ROUND((P103+Q103)*(1+Y103)*1.2,0)</f>
        <v>608</v>
      </c>
      <c r="U103" s="269">
        <v>431</v>
      </c>
      <c r="V103" s="336">
        <f>T103/U103*100-100</f>
        <v>41.067285382830619</v>
      </c>
      <c r="W103" s="498">
        <v>515</v>
      </c>
      <c r="X103" s="470">
        <f>T103/W103*100-100</f>
        <v>18.058252427184456</v>
      </c>
      <c r="Y103" s="499">
        <v>7.6300000000000007E-2</v>
      </c>
      <c r="Z103" s="487" t="e">
        <f>#REF!*Y103</f>
        <v>#REF!</v>
      </c>
      <c r="AB103" s="235">
        <v>459.096</v>
      </c>
      <c r="AC103" s="467"/>
      <c r="AD103" s="500">
        <f>T103-W103</f>
        <v>93</v>
      </c>
      <c r="AE103" s="284"/>
      <c r="AG103" s="466">
        <v>-2.5100000000000001E-2</v>
      </c>
      <c r="AH103" s="285">
        <f t="shared" si="30"/>
        <v>1.0250999999999999</v>
      </c>
      <c r="AI103" s="285">
        <v>1.06</v>
      </c>
      <c r="AK103" s="286">
        <f>ROUND(W103*AI103,2)</f>
        <v>545.9</v>
      </c>
      <c r="AM103" s="466">
        <v>1.034</v>
      </c>
      <c r="AN103" s="337">
        <v>-2.5100000000000001E-2</v>
      </c>
      <c r="AO103" s="285" t="e">
        <f>#REF!-AM103</f>
        <v>#REF!</v>
      </c>
      <c r="AQ103" s="288">
        <f>Y103-AN103</f>
        <v>0.1014</v>
      </c>
      <c r="AR103" s="467">
        <v>494</v>
      </c>
      <c r="AS103" s="127" t="b">
        <f>W103=AR103</f>
        <v>0</v>
      </c>
      <c r="AT103" s="289" t="e">
        <f>ROUND(W103/T103*100-100,2)+#REF!</f>
        <v>#REF!</v>
      </c>
      <c r="AW103">
        <f>ROUND(T103/W103,3)</f>
        <v>1.181</v>
      </c>
    </row>
    <row r="104" spans="1:49" ht="26.25" customHeight="1" outlineLevel="1" x14ac:dyDescent="0.3">
      <c r="A104" s="477"/>
      <c r="B104" s="477"/>
      <c r="C104" s="475"/>
      <c r="D104" s="484"/>
      <c r="E104" s="484"/>
      <c r="F104" s="471"/>
      <c r="G104" s="478"/>
      <c r="H104" s="471"/>
      <c r="I104" s="471"/>
      <c r="J104" s="295" t="s">
        <v>366</v>
      </c>
      <c r="K104" s="121" t="s">
        <v>335</v>
      </c>
      <c r="L104" s="478" t="str">
        <f>VLOOKUP(K104,[2]материалы!$A$5:$G$31,5, FALSE)</f>
        <v>кг</v>
      </c>
      <c r="M104" s="471">
        <f>VLOOKUP(K104,[2]материалы!$A$5:$G$34,7, FALSE)</f>
        <v>720.83</v>
      </c>
      <c r="N104" s="471">
        <v>5.0000000000000001E-3</v>
      </c>
      <c r="O104" s="471">
        <f>ROUND(M104*N104,2)</f>
        <v>3.6</v>
      </c>
      <c r="P104" s="471"/>
      <c r="Q104" s="471"/>
      <c r="R104" s="472"/>
      <c r="S104" s="472"/>
      <c r="T104" s="472"/>
      <c r="U104" s="269"/>
      <c r="V104" s="336"/>
      <c r="W104" s="486"/>
      <c r="X104" s="470"/>
      <c r="Y104" s="499"/>
      <c r="Z104" s="487"/>
      <c r="AC104" s="467"/>
      <c r="AD104" s="468"/>
      <c r="AE104" s="284"/>
      <c r="AG104" s="466"/>
      <c r="AH104" s="285"/>
      <c r="AI104" s="285"/>
      <c r="AK104" s="286"/>
      <c r="AM104" s="466"/>
      <c r="AN104" s="337"/>
      <c r="AO104" s="285"/>
      <c r="AQ104" s="288"/>
      <c r="AR104" s="467"/>
      <c r="AT104" s="289"/>
    </row>
    <row r="105" spans="1:49" ht="18.95" customHeight="1" outlineLevel="1" x14ac:dyDescent="0.3">
      <c r="A105" s="477"/>
      <c r="B105" s="477"/>
      <c r="C105" s="475"/>
      <c r="D105" s="484"/>
      <c r="E105" s="484"/>
      <c r="F105" s="471"/>
      <c r="G105" s="478"/>
      <c r="H105" s="471"/>
      <c r="I105" s="471"/>
      <c r="J105" s="471"/>
      <c r="K105" s="296" t="s">
        <v>329</v>
      </c>
      <c r="L105" s="478" t="str">
        <f>VLOOKUP(K105,[2]материалы!$A$5:$G$31,5, FALSE)</f>
        <v>кг</v>
      </c>
      <c r="M105" s="471">
        <f>VLOOKUP(K105,[2]материалы!$A$5:$G$34,7, FALSE)</f>
        <v>79.17</v>
      </c>
      <c r="N105" s="301">
        <v>1E-3</v>
      </c>
      <c r="O105" s="471">
        <f>ROUND(M105*N105,2)</f>
        <v>0.08</v>
      </c>
      <c r="P105" s="471"/>
      <c r="Q105" s="471"/>
      <c r="R105" s="472"/>
      <c r="S105" s="472"/>
      <c r="T105" s="472"/>
      <c r="U105" s="269"/>
      <c r="V105" s="336"/>
      <c r="W105" s="486"/>
      <c r="X105" s="470"/>
      <c r="Y105" s="499"/>
      <c r="Z105" s="487"/>
      <c r="AC105" s="467"/>
      <c r="AD105" s="468"/>
      <c r="AE105" s="284"/>
      <c r="AG105" s="466"/>
      <c r="AH105" s="285"/>
      <c r="AI105" s="285"/>
      <c r="AK105" s="286"/>
      <c r="AM105" s="466"/>
      <c r="AN105" s="337"/>
      <c r="AO105" s="285"/>
      <c r="AQ105" s="288"/>
      <c r="AR105" s="467"/>
      <c r="AT105" s="289"/>
    </row>
    <row r="106" spans="1:49" ht="21" customHeight="1" outlineLevel="1" x14ac:dyDescent="0.3">
      <c r="A106" s="477"/>
      <c r="B106" s="477"/>
      <c r="C106" s="475"/>
      <c r="D106" s="484"/>
      <c r="E106" s="484"/>
      <c r="F106" s="471"/>
      <c r="G106" s="478"/>
      <c r="H106" s="471"/>
      <c r="I106" s="471"/>
      <c r="J106" s="471"/>
      <c r="K106" s="296" t="s">
        <v>330</v>
      </c>
      <c r="L106" s="478" t="str">
        <f>VLOOKUP(K106,[2]материалы!$A$5:$G$31,5, FALSE)</f>
        <v>кг</v>
      </c>
      <c r="M106" s="471">
        <f>VLOOKUP(K106,[2]материалы!$A$5:$G$34,7, FALSE)</f>
        <v>66.67</v>
      </c>
      <c r="N106" s="478">
        <v>0.01</v>
      </c>
      <c r="O106" s="471">
        <f>ROUND(M106*N106,2)</f>
        <v>0.67</v>
      </c>
      <c r="P106" s="471"/>
      <c r="Q106" s="471"/>
      <c r="R106" s="472"/>
      <c r="S106" s="472"/>
      <c r="T106" s="472"/>
      <c r="U106" s="269"/>
      <c r="V106" s="336"/>
      <c r="W106" s="486"/>
      <c r="X106" s="470"/>
      <c r="Y106" s="499"/>
      <c r="Z106" s="487"/>
      <c r="AC106" s="467"/>
      <c r="AD106" s="468"/>
      <c r="AE106" s="284"/>
      <c r="AG106" s="466"/>
      <c r="AH106" s="285"/>
      <c r="AI106" s="285"/>
      <c r="AK106" s="286"/>
      <c r="AM106" s="466"/>
      <c r="AN106" s="337"/>
      <c r="AO106" s="285"/>
      <c r="AQ106" s="288"/>
      <c r="AR106" s="467"/>
      <c r="AT106" s="289"/>
    </row>
    <row r="107" spans="1:49" ht="39.75" customHeight="1" x14ac:dyDescent="0.3">
      <c r="A107" s="477" t="s">
        <v>428</v>
      </c>
      <c r="B107" s="660" t="s">
        <v>679</v>
      </c>
      <c r="C107" s="660"/>
      <c r="D107" s="484" t="s">
        <v>30</v>
      </c>
      <c r="E107" s="452"/>
      <c r="F107" s="471"/>
      <c r="G107" s="478"/>
      <c r="H107" s="471"/>
      <c r="I107" s="471"/>
      <c r="J107" s="471"/>
      <c r="K107" s="479"/>
      <c r="L107" s="471"/>
      <c r="M107" s="471"/>
      <c r="N107" s="471"/>
      <c r="O107" s="471"/>
      <c r="P107" s="471"/>
      <c r="Q107" s="471"/>
      <c r="R107" s="472"/>
      <c r="S107" s="472"/>
      <c r="T107" s="472"/>
      <c r="U107" s="269"/>
      <c r="V107" s="336"/>
      <c r="W107" s="486"/>
      <c r="X107" s="470"/>
      <c r="Y107" s="499"/>
      <c r="Z107" s="487"/>
      <c r="AC107" s="467"/>
      <c r="AD107" s="468"/>
      <c r="AE107" s="284"/>
      <c r="AG107" s="466"/>
      <c r="AH107" s="285"/>
      <c r="AI107" s="285"/>
      <c r="AK107" s="286"/>
      <c r="AM107" s="466"/>
      <c r="AN107" s="337"/>
      <c r="AO107" s="285"/>
      <c r="AQ107" s="288"/>
      <c r="AR107" s="467"/>
      <c r="AT107" s="289"/>
    </row>
    <row r="108" spans="1:49" ht="23.25" customHeight="1" x14ac:dyDescent="0.25">
      <c r="A108" s="647" t="s">
        <v>351</v>
      </c>
      <c r="B108" s="647" t="s">
        <v>169</v>
      </c>
      <c r="C108" s="660" t="s">
        <v>21</v>
      </c>
      <c r="D108" s="649" t="s">
        <v>22</v>
      </c>
      <c r="E108" s="484" t="s">
        <v>166</v>
      </c>
      <c r="F108" s="471">
        <f>VLOOKUP(E108,'[2]условия, ФОТ'!$A$14:$I$28,9, FALSE)</f>
        <v>251.34</v>
      </c>
      <c r="G108" s="478">
        <v>0.68</v>
      </c>
      <c r="H108" s="661">
        <f>ROUND(F108*G108+F109*G109,2)</f>
        <v>316.32</v>
      </c>
      <c r="I108" s="661">
        <f t="shared" ref="I108:I109" si="46">ROUND(H108*$I$5,2)</f>
        <v>95.53</v>
      </c>
      <c r="J108" s="661">
        <f t="shared" ref="J108:J109" si="47">H108+I108</f>
        <v>411.85</v>
      </c>
      <c r="K108" s="669"/>
      <c r="L108" s="661"/>
      <c r="M108" s="661"/>
      <c r="N108" s="661"/>
      <c r="O108" s="661">
        <f>SUM(O110:O116)</f>
        <v>117.25</v>
      </c>
      <c r="P108" s="661">
        <f>J108+O108</f>
        <v>529.1</v>
      </c>
      <c r="Q108" s="661">
        <f t="shared" ref="Q108:Q109" si="48">ROUND(P108*$Q$5,2)</f>
        <v>351.85</v>
      </c>
      <c r="R108" s="665">
        <f>ROUND(T108/1.2,2)</f>
        <v>991.67</v>
      </c>
      <c r="S108" s="665">
        <f t="shared" ref="S108:S109" si="49">ROUND(R108*$S$5,2)</f>
        <v>198.33</v>
      </c>
      <c r="T108" s="665">
        <f>ROUND((P108+Q108)*(1+Y108)*1.2,0)</f>
        <v>1190</v>
      </c>
      <c r="U108" s="666">
        <v>907</v>
      </c>
      <c r="V108" s="336">
        <f t="shared" ref="V108:V258" si="50">T108/U108*100-100</f>
        <v>31.201764057331872</v>
      </c>
      <c r="W108" s="678">
        <v>1009</v>
      </c>
      <c r="X108" s="679">
        <f>T108/W108*100-100</f>
        <v>17.938553022794849</v>
      </c>
      <c r="Y108" s="680">
        <v>0.12559999999999999</v>
      </c>
      <c r="Z108" s="681" t="e">
        <f>#REF!*Y108</f>
        <v>#REF!</v>
      </c>
      <c r="AB108" s="235">
        <v>967.82400000000007</v>
      </c>
      <c r="AC108" s="674"/>
      <c r="AD108" s="683">
        <f>T108-W108</f>
        <v>181</v>
      </c>
      <c r="AE108" s="284"/>
      <c r="AG108" s="715">
        <v>0.1414</v>
      </c>
      <c r="AH108" s="670">
        <f t="shared" si="30"/>
        <v>0.1414</v>
      </c>
      <c r="AI108" s="670">
        <v>0</v>
      </c>
      <c r="AK108" s="286"/>
      <c r="AM108" s="715">
        <v>1.034</v>
      </c>
      <c r="AN108" s="717">
        <v>0.1414</v>
      </c>
      <c r="AO108" s="670" t="e">
        <f>#REF!-AM108</f>
        <v>#REF!</v>
      </c>
      <c r="AQ108" s="672">
        <f>Y108-AN108</f>
        <v>-1.5800000000000008E-2</v>
      </c>
      <c r="AR108" s="674">
        <v>968</v>
      </c>
      <c r="AS108" s="675" t="b">
        <f>W108=AR108</f>
        <v>0</v>
      </c>
      <c r="AT108" s="289" t="e">
        <f>ROUND(W108/T108*100-100,2)+#REF!</f>
        <v>#REF!</v>
      </c>
      <c r="AW108">
        <f>ROUND(T108/W108,3)</f>
        <v>1.179</v>
      </c>
    </row>
    <row r="109" spans="1:49" ht="24" customHeight="1" x14ac:dyDescent="0.25">
      <c r="A109" s="647"/>
      <c r="B109" s="647"/>
      <c r="C109" s="660"/>
      <c r="D109" s="649"/>
      <c r="E109" s="484" t="s">
        <v>162</v>
      </c>
      <c r="F109" s="471">
        <f>VLOOKUP(E109,'[2]условия, ФОТ'!$A$14:$I$28,9, FALSE)</f>
        <v>213.84</v>
      </c>
      <c r="G109" s="478">
        <v>0.68</v>
      </c>
      <c r="H109" s="661"/>
      <c r="I109" s="661">
        <f t="shared" si="46"/>
        <v>0</v>
      </c>
      <c r="J109" s="661">
        <f t="shared" si="47"/>
        <v>0</v>
      </c>
      <c r="K109" s="669"/>
      <c r="L109" s="661"/>
      <c r="M109" s="661"/>
      <c r="N109" s="661"/>
      <c r="O109" s="661"/>
      <c r="P109" s="661"/>
      <c r="Q109" s="661">
        <f t="shared" si="48"/>
        <v>0</v>
      </c>
      <c r="R109" s="665">
        <f t="shared" ref="R109" si="51">ROUND(T109/1.18,2)</f>
        <v>0</v>
      </c>
      <c r="S109" s="665">
        <f t="shared" si="49"/>
        <v>0</v>
      </c>
      <c r="T109" s="665">
        <f>ROUND((P109+Q109)*(1+$R$5)*1.18,0)</f>
        <v>0</v>
      </c>
      <c r="U109" s="667"/>
      <c r="V109" s="336"/>
      <c r="W109" s="678">
        <v>0</v>
      </c>
      <c r="X109" s="679"/>
      <c r="Y109" s="680"/>
      <c r="Z109" s="682"/>
      <c r="AC109" s="674"/>
      <c r="AD109" s="684"/>
      <c r="AE109" s="284"/>
      <c r="AG109" s="716"/>
      <c r="AH109" s="671"/>
      <c r="AI109" s="671"/>
      <c r="AK109" s="286"/>
      <c r="AM109" s="716"/>
      <c r="AN109" s="718"/>
      <c r="AO109" s="671"/>
      <c r="AQ109" s="673"/>
      <c r="AR109" s="674"/>
      <c r="AS109" s="675"/>
      <c r="AT109" s="289"/>
    </row>
    <row r="110" spans="1:49" ht="17.25" customHeight="1" outlineLevel="1" x14ac:dyDescent="0.3">
      <c r="A110" s="647"/>
      <c r="B110" s="477"/>
      <c r="C110" s="475"/>
      <c r="D110" s="484"/>
      <c r="E110" s="484"/>
      <c r="F110" s="471"/>
      <c r="G110" s="478"/>
      <c r="H110" s="471"/>
      <c r="I110" s="471"/>
      <c r="J110" s="295" t="s">
        <v>366</v>
      </c>
      <c r="K110" s="296" t="s">
        <v>323</v>
      </c>
      <c r="L110" s="478" t="str">
        <f>VLOOKUP(K110,[2]материалы!$A$5:$G$31,5, FALSE)</f>
        <v>м3</v>
      </c>
      <c r="M110" s="471">
        <f>VLOOKUP(K110,[2]материалы!$A$5:$G$34,7, FALSE)</f>
        <v>486.11</v>
      </c>
      <c r="N110" s="478">
        <v>8.7499999999999994E-2</v>
      </c>
      <c r="O110" s="471">
        <f>ROUND(M110*N110,2)</f>
        <v>42.53</v>
      </c>
      <c r="P110" s="471"/>
      <c r="Q110" s="471"/>
      <c r="R110" s="472"/>
      <c r="S110" s="472"/>
      <c r="T110" s="472"/>
      <c r="U110" s="269"/>
      <c r="V110" s="336"/>
      <c r="W110" s="486"/>
      <c r="X110" s="470"/>
      <c r="Y110" s="499"/>
      <c r="Z110" s="487"/>
      <c r="AC110" s="467"/>
      <c r="AD110" s="468"/>
      <c r="AE110" s="284"/>
      <c r="AG110" s="466"/>
      <c r="AH110" s="285"/>
      <c r="AI110" s="285"/>
      <c r="AK110" s="286"/>
      <c r="AM110" s="466"/>
      <c r="AN110" s="337"/>
      <c r="AO110" s="285"/>
      <c r="AQ110" s="288"/>
      <c r="AR110" s="467"/>
      <c r="AT110" s="289"/>
    </row>
    <row r="111" spans="1:49" ht="17.25" customHeight="1" outlineLevel="1" x14ac:dyDescent="0.3">
      <c r="A111" s="647"/>
      <c r="B111" s="477"/>
      <c r="C111" s="475"/>
      <c r="D111" s="484"/>
      <c r="E111" s="484"/>
      <c r="F111" s="471"/>
      <c r="G111" s="478"/>
      <c r="H111" s="471"/>
      <c r="I111" s="471"/>
      <c r="J111" s="471"/>
      <c r="K111" s="296" t="s">
        <v>324</v>
      </c>
      <c r="L111" s="478" t="str">
        <f>VLOOKUP(K111,[2]материалы!$A$5:$G$31,5, FALSE)</f>
        <v>м3</v>
      </c>
      <c r="M111" s="471">
        <f>VLOOKUP(K111,[2]материалы!$A$5:$G$34,7, FALSE)</f>
        <v>152.78</v>
      </c>
      <c r="N111" s="471">
        <v>0.15</v>
      </c>
      <c r="O111" s="471">
        <f t="shared" ref="O111:O116" si="52">ROUND(M111*N111,2)</f>
        <v>22.92</v>
      </c>
      <c r="P111" s="471"/>
      <c r="Q111" s="471"/>
      <c r="R111" s="472"/>
      <c r="S111" s="472"/>
      <c r="T111" s="472"/>
      <c r="U111" s="269"/>
      <c r="V111" s="336"/>
      <c r="W111" s="486"/>
      <c r="X111" s="470"/>
      <c r="Y111" s="499"/>
      <c r="Z111" s="487"/>
      <c r="AC111" s="467"/>
      <c r="AD111" s="468"/>
      <c r="AE111" s="284"/>
      <c r="AG111" s="466"/>
      <c r="AH111" s="285"/>
      <c r="AI111" s="285"/>
      <c r="AK111" s="286"/>
      <c r="AM111" s="466"/>
      <c r="AN111" s="337"/>
      <c r="AO111" s="285"/>
      <c r="AQ111" s="288"/>
      <c r="AR111" s="467"/>
      <c r="AT111" s="289"/>
    </row>
    <row r="112" spans="1:49" ht="42.75" customHeight="1" outlineLevel="1" x14ac:dyDescent="0.3">
      <c r="A112" s="647"/>
      <c r="B112" s="477"/>
      <c r="C112" s="475"/>
      <c r="D112" s="484"/>
      <c r="E112" s="484"/>
      <c r="F112" s="471"/>
      <c r="G112" s="478"/>
      <c r="H112" s="471"/>
      <c r="I112" s="471"/>
      <c r="J112" s="471"/>
      <c r="K112" s="296" t="s">
        <v>341</v>
      </c>
      <c r="L112" s="478" t="str">
        <f>VLOOKUP(K112,[2]материалы!$A$5:$G$31,5, FALSE)</f>
        <v>кг</v>
      </c>
      <c r="M112" s="471">
        <f>VLOOKUP(K112,[2]материалы!$A$5:$G$34,7, FALSE)</f>
        <v>125</v>
      </c>
      <c r="N112" s="471">
        <v>0.1</v>
      </c>
      <c r="O112" s="471">
        <f t="shared" si="52"/>
        <v>12.5</v>
      </c>
      <c r="P112" s="471"/>
      <c r="Q112" s="471"/>
      <c r="R112" s="472"/>
      <c r="S112" s="472"/>
      <c r="T112" s="472"/>
      <c r="U112" s="269"/>
      <c r="V112" s="336"/>
      <c r="W112" s="486"/>
      <c r="X112" s="470"/>
      <c r="Y112" s="499"/>
      <c r="Z112" s="487"/>
      <c r="AC112" s="467"/>
      <c r="AD112" s="468"/>
      <c r="AE112" s="284"/>
      <c r="AG112" s="466"/>
      <c r="AH112" s="285"/>
      <c r="AI112" s="285"/>
      <c r="AK112" s="286"/>
      <c r="AM112" s="466"/>
      <c r="AN112" s="337"/>
      <c r="AO112" s="285"/>
      <c r="AQ112" s="288"/>
      <c r="AR112" s="467"/>
      <c r="AT112" s="289"/>
    </row>
    <row r="113" spans="1:49" ht="24" customHeight="1" outlineLevel="1" x14ac:dyDescent="0.3">
      <c r="A113" s="647"/>
      <c r="B113" s="477"/>
      <c r="C113" s="475"/>
      <c r="D113" s="484"/>
      <c r="E113" s="484"/>
      <c r="F113" s="471"/>
      <c r="G113" s="478"/>
      <c r="H113" s="471"/>
      <c r="I113" s="471"/>
      <c r="J113" s="471"/>
      <c r="K113" s="296" t="s">
        <v>346</v>
      </c>
      <c r="L113" s="478" t="str">
        <f>VLOOKUP(K113,[2]материалы!$A$5:$G$31,5, FALSE)</f>
        <v>шт.</v>
      </c>
      <c r="M113" s="471">
        <f>VLOOKUP(K113,[2]материалы!$A$5:$G$34,7, FALSE)</f>
        <v>29.17</v>
      </c>
      <c r="N113" s="471">
        <v>1</v>
      </c>
      <c r="O113" s="471">
        <f t="shared" si="52"/>
        <v>29.17</v>
      </c>
      <c r="P113" s="471"/>
      <c r="Q113" s="471"/>
      <c r="R113" s="472"/>
      <c r="S113" s="472"/>
      <c r="T113" s="472"/>
      <c r="U113" s="269"/>
      <c r="V113" s="336"/>
      <c r="W113" s="486"/>
      <c r="X113" s="470"/>
      <c r="Y113" s="499"/>
      <c r="Z113" s="487"/>
      <c r="AC113" s="467"/>
      <c r="AD113" s="468"/>
      <c r="AE113" s="284"/>
      <c r="AG113" s="466"/>
      <c r="AH113" s="285"/>
      <c r="AI113" s="285"/>
      <c r="AK113" s="286"/>
      <c r="AM113" s="466"/>
      <c r="AN113" s="337"/>
      <c r="AO113" s="285"/>
      <c r="AQ113" s="288"/>
      <c r="AR113" s="467"/>
      <c r="AT113" s="289"/>
    </row>
    <row r="114" spans="1:49" ht="32.25" customHeight="1" outlineLevel="1" x14ac:dyDescent="0.3">
      <c r="A114" s="647"/>
      <c r="B114" s="477"/>
      <c r="C114" s="475"/>
      <c r="D114" s="484"/>
      <c r="E114" s="484"/>
      <c r="F114" s="471"/>
      <c r="G114" s="478"/>
      <c r="H114" s="471"/>
      <c r="I114" s="471"/>
      <c r="J114" s="471"/>
      <c r="K114" s="296" t="s">
        <v>342</v>
      </c>
      <c r="L114" s="478" t="str">
        <f>VLOOKUP(K114,[2]материалы!$A$5:$G$31,5, FALSE)</f>
        <v>шт.</v>
      </c>
      <c r="M114" s="471">
        <f>VLOOKUP(K114,[2]материалы!$A$5:$G$34,7, FALSE)</f>
        <v>37.5</v>
      </c>
      <c r="N114" s="471">
        <v>0.25</v>
      </c>
      <c r="O114" s="471">
        <f t="shared" si="52"/>
        <v>9.3800000000000008</v>
      </c>
      <c r="P114" s="471"/>
      <c r="Q114" s="471"/>
      <c r="R114" s="472"/>
      <c r="S114" s="472"/>
      <c r="T114" s="472"/>
      <c r="U114" s="269"/>
      <c r="V114" s="336"/>
      <c r="W114" s="486"/>
      <c r="X114" s="470"/>
      <c r="Y114" s="499"/>
      <c r="Z114" s="487"/>
      <c r="AC114" s="467"/>
      <c r="AD114" s="468"/>
      <c r="AE114" s="284"/>
      <c r="AG114" s="466"/>
      <c r="AH114" s="285"/>
      <c r="AI114" s="285"/>
      <c r="AK114" s="286"/>
      <c r="AM114" s="466"/>
      <c r="AN114" s="337"/>
      <c r="AO114" s="285"/>
      <c r="AQ114" s="288"/>
      <c r="AR114" s="467"/>
      <c r="AT114" s="289"/>
    </row>
    <row r="115" spans="1:49" ht="20.25" customHeight="1" outlineLevel="1" x14ac:dyDescent="0.3">
      <c r="A115" s="647"/>
      <c r="B115" s="477"/>
      <c r="C115" s="475"/>
      <c r="D115" s="484"/>
      <c r="E115" s="484"/>
      <c r="F115" s="471"/>
      <c r="G115" s="478"/>
      <c r="H115" s="471"/>
      <c r="I115" s="471"/>
      <c r="J115" s="471"/>
      <c r="K115" s="296" t="s">
        <v>330</v>
      </c>
      <c r="L115" s="478" t="str">
        <f>VLOOKUP(K115,[2]материалы!$A$5:$G$31,5, FALSE)</f>
        <v>кг</v>
      </c>
      <c r="M115" s="471">
        <f>VLOOKUP(K115,[2]материалы!$A$5:$G$34,7, FALSE)</f>
        <v>66.67</v>
      </c>
      <c r="N115" s="478">
        <f>0.01</f>
        <v>0.01</v>
      </c>
      <c r="O115" s="471">
        <f t="shared" si="52"/>
        <v>0.67</v>
      </c>
      <c r="P115" s="471"/>
      <c r="Q115" s="471"/>
      <c r="R115" s="472"/>
      <c r="S115" s="472"/>
      <c r="T115" s="472"/>
      <c r="U115" s="269"/>
      <c r="V115" s="336"/>
      <c r="W115" s="486"/>
      <c r="X115" s="470"/>
      <c r="Y115" s="499"/>
      <c r="Z115" s="487"/>
      <c r="AC115" s="467"/>
      <c r="AD115" s="468"/>
      <c r="AE115" s="284"/>
      <c r="AG115" s="466"/>
      <c r="AH115" s="285"/>
      <c r="AI115" s="285"/>
      <c r="AK115" s="286"/>
      <c r="AM115" s="466"/>
      <c r="AN115" s="337"/>
      <c r="AO115" s="285"/>
      <c r="AQ115" s="288"/>
      <c r="AR115" s="467"/>
      <c r="AT115" s="289"/>
    </row>
    <row r="116" spans="1:49" ht="16.5" customHeight="1" outlineLevel="1" x14ac:dyDescent="0.3">
      <c r="A116" s="647"/>
      <c r="B116" s="477"/>
      <c r="C116" s="475"/>
      <c r="D116" s="484"/>
      <c r="E116" s="484"/>
      <c r="F116" s="471"/>
      <c r="G116" s="478"/>
      <c r="H116" s="471"/>
      <c r="I116" s="471"/>
      <c r="J116" s="471"/>
      <c r="K116" s="296" t="s">
        <v>329</v>
      </c>
      <c r="L116" s="478" t="str">
        <f>VLOOKUP(K116,[2]материалы!$A$5:$G$31,5, FALSE)</f>
        <v>кг</v>
      </c>
      <c r="M116" s="471">
        <f>VLOOKUP(K116,[2]материалы!$A$5:$G$34,7, FALSE)</f>
        <v>79.17</v>
      </c>
      <c r="N116" s="301">
        <f>0.001</f>
        <v>1E-3</v>
      </c>
      <c r="O116" s="471">
        <f t="shared" si="52"/>
        <v>0.08</v>
      </c>
      <c r="P116" s="471"/>
      <c r="Q116" s="471"/>
      <c r="R116" s="472"/>
      <c r="S116" s="472"/>
      <c r="T116" s="472"/>
      <c r="U116" s="269"/>
      <c r="V116" s="336"/>
      <c r="W116" s="486"/>
      <c r="X116" s="470"/>
      <c r="Y116" s="499"/>
      <c r="Z116" s="487"/>
      <c r="AC116" s="467"/>
      <c r="AD116" s="468"/>
      <c r="AE116" s="284"/>
      <c r="AG116" s="466"/>
      <c r="AH116" s="285"/>
      <c r="AI116" s="285"/>
      <c r="AK116" s="286"/>
      <c r="AM116" s="466"/>
      <c r="AN116" s="337"/>
      <c r="AO116" s="285"/>
      <c r="AQ116" s="288"/>
      <c r="AR116" s="467"/>
      <c r="AT116" s="289"/>
    </row>
    <row r="117" spans="1:49" s="308" customFormat="1" ht="18" customHeight="1" x14ac:dyDescent="0.25">
      <c r="A117" s="647"/>
      <c r="B117" s="647" t="s">
        <v>344</v>
      </c>
      <c r="C117" s="660" t="s">
        <v>345</v>
      </c>
      <c r="D117" s="649" t="s">
        <v>28</v>
      </c>
      <c r="E117" s="484" t="s">
        <v>166</v>
      </c>
      <c r="F117" s="471">
        <f>VLOOKUP(E117,'[2]условия, ФОТ'!$A$14:$I$28,9, FALSE)</f>
        <v>251.34</v>
      </c>
      <c r="G117" s="478">
        <v>0.2</v>
      </c>
      <c r="H117" s="661">
        <f>ROUND(F117*G117+F118*G118,2)</f>
        <v>93.04</v>
      </c>
      <c r="I117" s="661">
        <f t="shared" ref="I117:I120" si="53">ROUND(H117*$I$5,2)</f>
        <v>28.1</v>
      </c>
      <c r="J117" s="661">
        <f t="shared" ref="J117:J120" si="54">H117+I117</f>
        <v>121.14000000000001</v>
      </c>
      <c r="K117" s="669"/>
      <c r="L117" s="661"/>
      <c r="M117" s="661"/>
      <c r="N117" s="661"/>
      <c r="O117" s="661">
        <f>O119</f>
        <v>110.83</v>
      </c>
      <c r="P117" s="661">
        <f>J117+O117</f>
        <v>231.97000000000003</v>
      </c>
      <c r="Q117" s="661">
        <f>ROUND(P117*$Q$5,2)</f>
        <v>154.26</v>
      </c>
      <c r="R117" s="665">
        <f>ROUND(T117/1.2,2)</f>
        <v>402.5</v>
      </c>
      <c r="S117" s="665">
        <f>ROUND(R117*$S$5,2)</f>
        <v>80.5</v>
      </c>
      <c r="T117" s="665">
        <f>ROUND((P117+Q117)*(1+Y117)*1.2,0)</f>
        <v>483</v>
      </c>
      <c r="U117" s="705">
        <v>321</v>
      </c>
      <c r="V117" s="345">
        <f t="shared" ref="V117" si="55">T117/U117*100-100</f>
        <v>50.467289719626166</v>
      </c>
      <c r="W117" s="721">
        <v>434</v>
      </c>
      <c r="X117" s="691">
        <f>T117/W117*100-100</f>
        <v>11.290322580645153</v>
      </c>
      <c r="Y117" s="692">
        <v>4.2200000000000001E-2</v>
      </c>
      <c r="Z117" s="693" t="e">
        <f>#REF!*Y117</f>
        <v>#REF!</v>
      </c>
      <c r="AA117" s="703"/>
      <c r="AB117" s="303">
        <v>342.25400000000002</v>
      </c>
      <c r="AC117" s="702"/>
      <c r="AD117" s="683">
        <f>T117-W117</f>
        <v>49</v>
      </c>
      <c r="AE117" s="304"/>
      <c r="AG117" s="722">
        <v>0.1615</v>
      </c>
      <c r="AH117" s="698">
        <f t="shared" si="30"/>
        <v>0.1615</v>
      </c>
      <c r="AI117" s="698">
        <v>0</v>
      </c>
      <c r="AK117" s="323"/>
      <c r="AL117" s="346"/>
      <c r="AM117" s="722">
        <v>1.034</v>
      </c>
      <c r="AN117" s="724">
        <v>0.1615</v>
      </c>
      <c r="AO117" s="698" t="e">
        <f>#REF!-AM117</f>
        <v>#REF!</v>
      </c>
      <c r="AQ117" s="700">
        <f>Y117-AN117</f>
        <v>-0.1193</v>
      </c>
      <c r="AR117" s="702">
        <v>342</v>
      </c>
      <c r="AS117" s="695" t="b">
        <f>W117=AR117</f>
        <v>0</v>
      </c>
      <c r="AT117" s="307" t="e">
        <f>ROUND(W117/T117*100-100,2)+#REF!</f>
        <v>#REF!</v>
      </c>
      <c r="AW117" s="308">
        <f>ROUND(T117/W117,3)</f>
        <v>1.113</v>
      </c>
    </row>
    <row r="118" spans="1:49" s="308" customFormat="1" ht="27.95" customHeight="1" x14ac:dyDescent="0.25">
      <c r="A118" s="647"/>
      <c r="B118" s="647"/>
      <c r="C118" s="660"/>
      <c r="D118" s="649"/>
      <c r="E118" s="484" t="s">
        <v>162</v>
      </c>
      <c r="F118" s="471">
        <f>VLOOKUP(E118,'[2]условия, ФОТ'!$A$14:$I$28,9, FALSE)</f>
        <v>213.84</v>
      </c>
      <c r="G118" s="478">
        <v>0.2</v>
      </c>
      <c r="H118" s="661"/>
      <c r="I118" s="661">
        <f t="shared" si="53"/>
        <v>0</v>
      </c>
      <c r="J118" s="661">
        <f t="shared" si="54"/>
        <v>0</v>
      </c>
      <c r="K118" s="669"/>
      <c r="L118" s="661"/>
      <c r="M118" s="661"/>
      <c r="N118" s="661"/>
      <c r="O118" s="661"/>
      <c r="P118" s="661">
        <f t="shared" ref="P118:P120" si="56">J118+O118</f>
        <v>0</v>
      </c>
      <c r="Q118" s="661">
        <f t="shared" ref="Q118:Q120" si="57">ROUND(P118*$Q$5,2)</f>
        <v>0</v>
      </c>
      <c r="R118" s="665">
        <f t="shared" ref="R118" si="58">ROUND(T118/1.18,2)</f>
        <v>0</v>
      </c>
      <c r="S118" s="665">
        <f t="shared" ref="S118" si="59">ROUND(R118*$S$5,2)</f>
        <v>0</v>
      </c>
      <c r="T118" s="665">
        <f>ROUND((P118+Q118)*(1+$R$5)*1.18,0)</f>
        <v>0</v>
      </c>
      <c r="U118" s="706"/>
      <c r="V118" s="345"/>
      <c r="W118" s="721">
        <v>0</v>
      </c>
      <c r="X118" s="691"/>
      <c r="Y118" s="692"/>
      <c r="Z118" s="694"/>
      <c r="AA118" s="704"/>
      <c r="AB118" s="303"/>
      <c r="AC118" s="702"/>
      <c r="AD118" s="684"/>
      <c r="AE118" s="304"/>
      <c r="AG118" s="723"/>
      <c r="AH118" s="699"/>
      <c r="AI118" s="699"/>
      <c r="AK118" s="323"/>
      <c r="AL118" s="346"/>
      <c r="AM118" s="723"/>
      <c r="AN118" s="725"/>
      <c r="AO118" s="699"/>
      <c r="AQ118" s="701"/>
      <c r="AR118" s="702"/>
      <c r="AS118" s="695"/>
      <c r="AT118" s="307"/>
    </row>
    <row r="119" spans="1:49" s="308" customFormat="1" ht="31.7" customHeight="1" outlineLevel="1" x14ac:dyDescent="0.3">
      <c r="A119" s="647"/>
      <c r="B119" s="477"/>
      <c r="C119" s="475"/>
      <c r="D119" s="484"/>
      <c r="E119" s="484"/>
      <c r="F119" s="471"/>
      <c r="G119" s="478"/>
      <c r="H119" s="471"/>
      <c r="I119" s="471"/>
      <c r="J119" s="295" t="s">
        <v>366</v>
      </c>
      <c r="K119" s="296" t="s">
        <v>369</v>
      </c>
      <c r="L119" s="478" t="str">
        <f>VLOOKUP(K119,[2]материалы!$A$5:$G$31,5, FALSE)</f>
        <v>м</v>
      </c>
      <c r="M119" s="471">
        <f>VLOOKUP(K119,[2]материалы!$A$5:$G$34,7, FALSE)</f>
        <v>110.83</v>
      </c>
      <c r="N119" s="478">
        <v>1</v>
      </c>
      <c r="O119" s="471">
        <f t="shared" ref="O119" si="60">ROUND(M119*N119,2)</f>
        <v>110.83</v>
      </c>
      <c r="P119" s="471"/>
      <c r="Q119" s="471"/>
      <c r="R119" s="472"/>
      <c r="S119" s="472"/>
      <c r="T119" s="472"/>
      <c r="U119" s="309"/>
      <c r="V119" s="345"/>
      <c r="W119" s="311"/>
      <c r="X119" s="483"/>
      <c r="Y119" s="501"/>
      <c r="Z119" s="317"/>
      <c r="AA119" s="318"/>
      <c r="AB119" s="303"/>
      <c r="AC119" s="480"/>
      <c r="AD119" s="481"/>
      <c r="AE119" s="304"/>
      <c r="AG119" s="347"/>
      <c r="AH119" s="322"/>
      <c r="AI119" s="322"/>
      <c r="AK119" s="323"/>
      <c r="AL119" s="346"/>
      <c r="AM119" s="347"/>
      <c r="AN119" s="348"/>
      <c r="AO119" s="322"/>
      <c r="AQ119" s="324"/>
      <c r="AR119" s="480"/>
      <c r="AS119" s="325"/>
      <c r="AT119" s="307"/>
    </row>
    <row r="120" spans="1:49" ht="35.25" customHeight="1" x14ac:dyDescent="0.3">
      <c r="A120" s="647"/>
      <c r="B120" s="477" t="s">
        <v>171</v>
      </c>
      <c r="C120" s="349" t="s">
        <v>353</v>
      </c>
      <c r="D120" s="484" t="s">
        <v>30</v>
      </c>
      <c r="E120" s="484" t="s">
        <v>162</v>
      </c>
      <c r="F120" s="471">
        <f>VLOOKUP(E120,'[2]условия, ФОТ'!$A$14:$I$28,9, FALSE)</f>
        <v>213.84</v>
      </c>
      <c r="G120" s="478">
        <v>1</v>
      </c>
      <c r="H120" s="471">
        <f t="shared" ref="H120" si="61">ROUND(F120*G120,2)</f>
        <v>213.84</v>
      </c>
      <c r="I120" s="471">
        <f t="shared" si="53"/>
        <v>64.58</v>
      </c>
      <c r="J120" s="471">
        <f t="shared" si="54"/>
        <v>278.42</v>
      </c>
      <c r="K120" s="479"/>
      <c r="L120" s="471"/>
      <c r="M120" s="471"/>
      <c r="N120" s="471"/>
      <c r="O120" s="471">
        <f>SUM(O121:O123)</f>
        <v>4.3500000000000005</v>
      </c>
      <c r="P120" s="471">
        <f t="shared" si="56"/>
        <v>282.77000000000004</v>
      </c>
      <c r="Q120" s="471">
        <f t="shared" si="57"/>
        <v>188.04</v>
      </c>
      <c r="R120" s="472">
        <f>ROUND(T120/1.2,2)</f>
        <v>506.67</v>
      </c>
      <c r="S120" s="472">
        <f>ROUND(R120*$S$5,2)</f>
        <v>101.33</v>
      </c>
      <c r="T120" s="472">
        <f>ROUND((P120+Q120)*(1+Y120)*1.2,0)</f>
        <v>608</v>
      </c>
      <c r="U120" s="269">
        <v>431</v>
      </c>
      <c r="V120" s="336">
        <f t="shared" ref="V120" si="62">T120/U120*100-100</f>
        <v>41.067285382830619</v>
      </c>
      <c r="W120" s="498">
        <v>515</v>
      </c>
      <c r="X120" s="470">
        <f>T120/W120*100-100</f>
        <v>18.058252427184456</v>
      </c>
      <c r="Y120" s="499">
        <v>7.6300000000000007E-2</v>
      </c>
      <c r="Z120" s="487" t="e">
        <f>#REF!*Y120</f>
        <v>#REF!</v>
      </c>
      <c r="AB120" s="235">
        <v>459.096</v>
      </c>
      <c r="AC120" s="467"/>
      <c r="AD120" s="500">
        <f>T120-W120</f>
        <v>93</v>
      </c>
      <c r="AE120" s="284"/>
      <c r="AG120" s="466">
        <v>-2.5100000000000001E-2</v>
      </c>
      <c r="AH120" s="285">
        <f t="shared" si="30"/>
        <v>1.0250999999999999</v>
      </c>
      <c r="AI120" s="285">
        <v>1.06</v>
      </c>
      <c r="AK120" s="286">
        <f>ROUND(W120*AI120,2)</f>
        <v>545.9</v>
      </c>
      <c r="AM120" s="466">
        <v>1.034</v>
      </c>
      <c r="AN120" s="337">
        <v>-2.5100000000000001E-2</v>
      </c>
      <c r="AO120" s="285" t="e">
        <f>#REF!-AM120</f>
        <v>#REF!</v>
      </c>
      <c r="AQ120" s="288">
        <f>Y120-AN120</f>
        <v>0.1014</v>
      </c>
      <c r="AR120" s="467">
        <v>494</v>
      </c>
      <c r="AS120" s="127" t="b">
        <f>W120=AR120</f>
        <v>0</v>
      </c>
      <c r="AT120" s="289" t="e">
        <f>ROUND(W120/T120*100-100,2)+#REF!</f>
        <v>#REF!</v>
      </c>
      <c r="AW120">
        <f>ROUND(T120/W120,3)</f>
        <v>1.181</v>
      </c>
    </row>
    <row r="121" spans="1:49" ht="24.75" customHeight="1" outlineLevel="1" x14ac:dyDescent="0.3">
      <c r="A121" s="647"/>
      <c r="B121" s="477"/>
      <c r="C121" s="349"/>
      <c r="D121" s="484"/>
      <c r="E121" s="484"/>
      <c r="F121" s="471"/>
      <c r="G121" s="478"/>
      <c r="H121" s="471"/>
      <c r="I121" s="471"/>
      <c r="J121" s="295" t="s">
        <v>366</v>
      </c>
      <c r="K121" s="121" t="s">
        <v>335</v>
      </c>
      <c r="L121" s="478" t="str">
        <f>VLOOKUP(K121,[2]материалы!$A$5:$G$31,5, FALSE)</f>
        <v>кг</v>
      </c>
      <c r="M121" s="471">
        <f>VLOOKUP(K121,[2]материалы!$A$5:$G$34,7, FALSE)</f>
        <v>720.83</v>
      </c>
      <c r="N121" s="471">
        <v>5.0000000000000001E-3</v>
      </c>
      <c r="O121" s="471">
        <f>ROUND(M121*N121,2)</f>
        <v>3.6</v>
      </c>
      <c r="P121" s="471"/>
      <c r="Q121" s="471"/>
      <c r="R121" s="472"/>
      <c r="S121" s="472"/>
      <c r="T121" s="472"/>
      <c r="U121" s="269"/>
      <c r="V121" s="336"/>
      <c r="W121" s="486"/>
      <c r="X121" s="470"/>
      <c r="Y121" s="499"/>
      <c r="Z121" s="487"/>
      <c r="AC121" s="467"/>
      <c r="AD121" s="468"/>
      <c r="AE121" s="284"/>
      <c r="AG121" s="466"/>
      <c r="AH121" s="285"/>
      <c r="AI121" s="285"/>
      <c r="AK121" s="286"/>
      <c r="AM121" s="466"/>
      <c r="AN121" s="337"/>
      <c r="AO121" s="285"/>
      <c r="AQ121" s="288"/>
      <c r="AR121" s="467"/>
      <c r="AT121" s="289"/>
    </row>
    <row r="122" spans="1:49" ht="19.5" customHeight="1" outlineLevel="1" x14ac:dyDescent="0.3">
      <c r="A122" s="647"/>
      <c r="B122" s="477"/>
      <c r="C122" s="349"/>
      <c r="D122" s="484"/>
      <c r="E122" s="484"/>
      <c r="F122" s="471"/>
      <c r="G122" s="478"/>
      <c r="H122" s="471"/>
      <c r="I122" s="471"/>
      <c r="J122" s="471"/>
      <c r="K122" s="296" t="s">
        <v>329</v>
      </c>
      <c r="L122" s="478" t="str">
        <f>VLOOKUP(K122,[2]материалы!$A$5:$G$31,5, FALSE)</f>
        <v>кг</v>
      </c>
      <c r="M122" s="471">
        <f>VLOOKUP(K122,[2]материалы!$A$5:$G$34,7, FALSE)</f>
        <v>79.17</v>
      </c>
      <c r="N122" s="301">
        <v>1E-3</v>
      </c>
      <c r="O122" s="471">
        <f>ROUND(M122*N122,2)</f>
        <v>0.08</v>
      </c>
      <c r="P122" s="471"/>
      <c r="Q122" s="471"/>
      <c r="R122" s="472"/>
      <c r="S122" s="472"/>
      <c r="T122" s="472"/>
      <c r="U122" s="269"/>
      <c r="V122" s="336"/>
      <c r="W122" s="486"/>
      <c r="X122" s="470"/>
      <c r="Y122" s="499"/>
      <c r="Z122" s="487"/>
      <c r="AC122" s="467"/>
      <c r="AD122" s="468"/>
      <c r="AE122" s="284"/>
      <c r="AG122" s="466"/>
      <c r="AH122" s="285"/>
      <c r="AI122" s="285"/>
      <c r="AK122" s="286"/>
      <c r="AM122" s="466"/>
      <c r="AN122" s="337"/>
      <c r="AO122" s="285"/>
      <c r="AQ122" s="288"/>
      <c r="AR122" s="467"/>
      <c r="AT122" s="289"/>
    </row>
    <row r="123" spans="1:49" ht="16.5" customHeight="1" outlineLevel="1" x14ac:dyDescent="0.3">
      <c r="A123" s="647"/>
      <c r="B123" s="477"/>
      <c r="C123" s="349"/>
      <c r="D123" s="484"/>
      <c r="E123" s="484"/>
      <c r="F123" s="471"/>
      <c r="G123" s="478"/>
      <c r="H123" s="471"/>
      <c r="I123" s="471"/>
      <c r="J123" s="471"/>
      <c r="K123" s="296" t="s">
        <v>330</v>
      </c>
      <c r="L123" s="478" t="str">
        <f>VLOOKUP(K123,[2]материалы!$A$5:$G$31,5, FALSE)</f>
        <v>кг</v>
      </c>
      <c r="M123" s="471">
        <f>VLOOKUP(K123,[2]материалы!$A$5:$G$34,7, FALSE)</f>
        <v>66.67</v>
      </c>
      <c r="N123" s="478">
        <v>0.01</v>
      </c>
      <c r="O123" s="471">
        <f>ROUND(M123*N123,2)</f>
        <v>0.67</v>
      </c>
      <c r="P123" s="471"/>
      <c r="Q123" s="471"/>
      <c r="R123" s="472"/>
      <c r="S123" s="472"/>
      <c r="T123" s="472"/>
      <c r="U123" s="269"/>
      <c r="V123" s="336"/>
      <c r="W123" s="486"/>
      <c r="X123" s="470"/>
      <c r="Y123" s="499"/>
      <c r="Z123" s="487"/>
      <c r="AC123" s="467"/>
      <c r="AD123" s="468"/>
      <c r="AE123" s="284"/>
      <c r="AG123" s="466"/>
      <c r="AH123" s="285"/>
      <c r="AI123" s="285"/>
      <c r="AK123" s="286"/>
      <c r="AM123" s="466"/>
      <c r="AN123" s="337"/>
      <c r="AO123" s="285"/>
      <c r="AQ123" s="288"/>
      <c r="AR123" s="467"/>
      <c r="AT123" s="289"/>
    </row>
    <row r="124" spans="1:49" ht="46.5" customHeight="1" x14ac:dyDescent="0.3">
      <c r="A124" s="647"/>
      <c r="B124" s="477" t="s">
        <v>170</v>
      </c>
      <c r="C124" s="475" t="s">
        <v>559</v>
      </c>
      <c r="D124" s="484" t="s">
        <v>26</v>
      </c>
      <c r="E124" s="484" t="s">
        <v>162</v>
      </c>
      <c r="F124" s="471">
        <f>VLOOKUP(E124,'[2]условия, ФОТ'!$A$14:$I$28,9, FALSE)</f>
        <v>213.84</v>
      </c>
      <c r="G124" s="478">
        <v>0.25</v>
      </c>
      <c r="H124" s="471">
        <f t="shared" ref="H124" si="63">ROUND(F124*G124,2)</f>
        <v>53.46</v>
      </c>
      <c r="I124" s="471">
        <f t="shared" ref="I124" si="64">ROUND(H124*$I$5,2)</f>
        <v>16.14</v>
      </c>
      <c r="J124" s="471">
        <f t="shared" ref="J124" si="65">H124+I124</f>
        <v>69.599999999999994</v>
      </c>
      <c r="K124" s="479"/>
      <c r="L124" s="471"/>
      <c r="M124" s="471"/>
      <c r="N124" s="471"/>
      <c r="O124" s="471">
        <f>SUM(O125:O127)</f>
        <v>4.3500000000000005</v>
      </c>
      <c r="P124" s="471">
        <f t="shared" ref="P124" si="66">J124+O124</f>
        <v>73.949999999999989</v>
      </c>
      <c r="Q124" s="471">
        <f t="shared" ref="Q124" si="67">ROUND(P124*$Q$5,2)</f>
        <v>49.18</v>
      </c>
      <c r="R124" s="472">
        <f>ROUND(T124/1.2,2)</f>
        <v>132.5</v>
      </c>
      <c r="S124" s="472">
        <f>ROUND(R124*$S$5,2)</f>
        <v>26.5</v>
      </c>
      <c r="T124" s="472">
        <f>ROUND((P124+Q124)*(1+Y124)*1.2,0)</f>
        <v>159</v>
      </c>
      <c r="U124" s="269">
        <v>115</v>
      </c>
      <c r="V124" s="336">
        <f t="shared" ref="V124" si="68">T124/U124*100-100</f>
        <v>38.260869565217405</v>
      </c>
      <c r="W124" s="498">
        <v>135</v>
      </c>
      <c r="X124" s="470">
        <f>T124/W124*100-100</f>
        <v>17.777777777777786</v>
      </c>
      <c r="Y124" s="499">
        <v>7.4200000000000002E-2</v>
      </c>
      <c r="Z124" s="487" t="e">
        <f>#REF!*Y124</f>
        <v>#REF!</v>
      </c>
      <c r="AB124" s="235">
        <v>123.04600000000001</v>
      </c>
      <c r="AC124" s="467"/>
      <c r="AD124" s="500">
        <f>T124-W124</f>
        <v>24</v>
      </c>
      <c r="AE124" s="284"/>
      <c r="AG124" s="466">
        <v>-9.2999999999999992E-3</v>
      </c>
      <c r="AH124" s="285">
        <f t="shared" si="30"/>
        <v>1.0093000000000001</v>
      </c>
      <c r="AI124" s="285">
        <v>1.044</v>
      </c>
      <c r="AK124" s="286">
        <f>ROUND(W124*AI124,2)</f>
        <v>140.94</v>
      </c>
      <c r="AM124" s="466">
        <v>1.034</v>
      </c>
      <c r="AN124" s="337">
        <v>-9.2999999999999992E-3</v>
      </c>
      <c r="AO124" s="285" t="e">
        <f>#REF!-AM124</f>
        <v>#REF!</v>
      </c>
      <c r="AQ124" s="288">
        <f>Y124-AN124</f>
        <v>8.3500000000000005E-2</v>
      </c>
      <c r="AR124" s="467">
        <v>130</v>
      </c>
      <c r="AS124" s="127" t="b">
        <f>W124=AR124</f>
        <v>0</v>
      </c>
      <c r="AT124" s="289" t="e">
        <f>ROUND(W124/T124*100-100,2)+#REF!</f>
        <v>#REF!</v>
      </c>
      <c r="AW124">
        <f>ROUND(T124/W124,3)</f>
        <v>1.1779999999999999</v>
      </c>
    </row>
    <row r="125" spans="1:49" ht="30.75" customHeight="1" x14ac:dyDescent="0.3">
      <c r="A125" s="712" t="s">
        <v>576</v>
      </c>
      <c r="B125" s="712"/>
      <c r="C125" s="712"/>
      <c r="D125" s="712"/>
      <c r="E125" s="712"/>
      <c r="F125" s="712"/>
      <c r="G125" s="712"/>
      <c r="H125" s="712"/>
      <c r="I125" s="712"/>
      <c r="J125" s="295" t="s">
        <v>366</v>
      </c>
      <c r="K125" s="121" t="s">
        <v>335</v>
      </c>
      <c r="L125" s="478" t="str">
        <f>VLOOKUP(K125,[2]материалы!$A$5:$G$31,5, FALSE)</f>
        <v>кг</v>
      </c>
      <c r="M125" s="471">
        <f>VLOOKUP(K125,[2]материалы!$A$5:$G$34,7, FALSE)</f>
        <v>720.83</v>
      </c>
      <c r="N125" s="471">
        <v>5.0000000000000001E-3</v>
      </c>
      <c r="O125" s="471">
        <f t="shared" ref="O125:O127" si="69">ROUND(M125*N125,2)</f>
        <v>3.6</v>
      </c>
      <c r="P125" s="471"/>
      <c r="Q125" s="471"/>
      <c r="R125" s="472"/>
      <c r="S125" s="472"/>
      <c r="T125" s="472"/>
      <c r="U125" s="269"/>
      <c r="V125" s="336"/>
      <c r="W125" s="486"/>
      <c r="X125" s="470"/>
      <c r="Y125" s="499"/>
      <c r="Z125" s="487"/>
      <c r="AC125" s="467"/>
      <c r="AD125" s="468"/>
      <c r="AE125" s="284"/>
      <c r="AG125" s="466"/>
      <c r="AH125" s="285"/>
      <c r="AI125" s="285"/>
      <c r="AK125" s="286"/>
      <c r="AM125" s="466"/>
      <c r="AN125" s="337"/>
      <c r="AO125" s="285"/>
      <c r="AQ125" s="288"/>
      <c r="AR125" s="467"/>
      <c r="AT125" s="289"/>
    </row>
    <row r="126" spans="1:49" ht="24.75" customHeight="1" x14ac:dyDescent="0.3">
      <c r="A126" s="712"/>
      <c r="B126" s="712"/>
      <c r="C126" s="712"/>
      <c r="D126" s="712"/>
      <c r="E126" s="712"/>
      <c r="F126" s="712"/>
      <c r="G126" s="712"/>
      <c r="H126" s="712"/>
      <c r="I126" s="712"/>
      <c r="J126" s="471"/>
      <c r="K126" s="296" t="s">
        <v>329</v>
      </c>
      <c r="L126" s="478" t="str">
        <f>VLOOKUP(K126,[2]материалы!$A$5:$G$31,5, FALSE)</f>
        <v>кг</v>
      </c>
      <c r="M126" s="471">
        <f>VLOOKUP(K126,[2]материалы!$A$5:$G$34,7, FALSE)</f>
        <v>79.17</v>
      </c>
      <c r="N126" s="301">
        <f>0.001</f>
        <v>1E-3</v>
      </c>
      <c r="O126" s="471">
        <f t="shared" si="69"/>
        <v>0.08</v>
      </c>
      <c r="P126" s="471"/>
      <c r="Q126" s="471"/>
      <c r="R126" s="472"/>
      <c r="S126" s="472"/>
      <c r="T126" s="472"/>
      <c r="U126" s="269"/>
      <c r="V126" s="336"/>
      <c r="W126" s="486"/>
      <c r="X126" s="470"/>
      <c r="Y126" s="499"/>
      <c r="Z126" s="487"/>
      <c r="AC126" s="467"/>
      <c r="AD126" s="468"/>
      <c r="AE126" s="284"/>
      <c r="AG126" s="466"/>
      <c r="AH126" s="285"/>
      <c r="AI126" s="285"/>
      <c r="AK126" s="286"/>
      <c r="AM126" s="466"/>
      <c r="AN126" s="337"/>
      <c r="AO126" s="285"/>
      <c r="AQ126" s="288"/>
      <c r="AR126" s="467"/>
      <c r="AT126" s="289"/>
    </row>
    <row r="127" spans="1:49" ht="27" customHeight="1" x14ac:dyDescent="0.3">
      <c r="A127" s="712"/>
      <c r="B127" s="712"/>
      <c r="C127" s="712"/>
      <c r="D127" s="712"/>
      <c r="E127" s="712"/>
      <c r="F127" s="712"/>
      <c r="G127" s="712"/>
      <c r="H127" s="712"/>
      <c r="I127" s="712"/>
      <c r="J127" s="471"/>
      <c r="K127" s="296" t="s">
        <v>330</v>
      </c>
      <c r="L127" s="478" t="str">
        <f>VLOOKUP(K127,[2]материалы!$A$5:$G$31,5, FALSE)</f>
        <v>кг</v>
      </c>
      <c r="M127" s="471">
        <f>VLOOKUP(K127,[2]материалы!$A$5:$G$34,7, FALSE)</f>
        <v>66.67</v>
      </c>
      <c r="N127" s="478">
        <f>0.01</f>
        <v>0.01</v>
      </c>
      <c r="O127" s="471">
        <f t="shared" si="69"/>
        <v>0.67</v>
      </c>
      <c r="P127" s="471"/>
      <c r="Q127" s="471"/>
      <c r="R127" s="472"/>
      <c r="S127" s="472"/>
      <c r="T127" s="472"/>
      <c r="U127" s="269"/>
      <c r="V127" s="336"/>
      <c r="W127" s="486"/>
      <c r="X127" s="470"/>
      <c r="Y127" s="499"/>
      <c r="Z127" s="487"/>
      <c r="AC127" s="467"/>
      <c r="AD127" s="468"/>
      <c r="AE127" s="284"/>
      <c r="AG127" s="466"/>
      <c r="AH127" s="285"/>
      <c r="AI127" s="285"/>
      <c r="AK127" s="286"/>
      <c r="AM127" s="466"/>
      <c r="AN127" s="337"/>
      <c r="AO127" s="285"/>
      <c r="AQ127" s="288"/>
      <c r="AR127" s="467"/>
      <c r="AT127" s="289"/>
    </row>
    <row r="128" spans="1:49" ht="44.25" customHeight="1" x14ac:dyDescent="0.3">
      <c r="A128" s="477" t="s">
        <v>429</v>
      </c>
      <c r="B128" s="660" t="s">
        <v>680</v>
      </c>
      <c r="C128" s="660"/>
      <c r="D128" s="484" t="s">
        <v>30</v>
      </c>
      <c r="E128" s="484"/>
      <c r="F128" s="471"/>
      <c r="G128" s="478"/>
      <c r="H128" s="471"/>
      <c r="I128" s="471"/>
      <c r="J128" s="471"/>
      <c r="K128" s="479"/>
      <c r="L128" s="471"/>
      <c r="M128" s="471"/>
      <c r="N128" s="471"/>
      <c r="O128" s="471"/>
      <c r="P128" s="471"/>
      <c r="Q128" s="471"/>
      <c r="R128" s="472"/>
      <c r="S128" s="472"/>
      <c r="T128" s="472"/>
      <c r="U128" s="269"/>
      <c r="V128" s="336"/>
      <c r="W128" s="486"/>
      <c r="X128" s="470"/>
      <c r="Y128" s="499"/>
      <c r="Z128" s="487"/>
      <c r="AC128" s="467"/>
      <c r="AD128" s="468"/>
      <c r="AE128" s="284"/>
      <c r="AG128" s="466"/>
      <c r="AH128" s="285"/>
      <c r="AI128" s="285"/>
      <c r="AK128" s="286"/>
      <c r="AM128" s="466"/>
      <c r="AN128" s="337"/>
      <c r="AO128" s="285"/>
      <c r="AQ128" s="288"/>
      <c r="AR128" s="467"/>
      <c r="AT128" s="289"/>
    </row>
    <row r="129" spans="1:49" s="223" customFormat="1" ht="29.25" customHeight="1" x14ac:dyDescent="0.3">
      <c r="A129" s="647" t="s">
        <v>351</v>
      </c>
      <c r="B129" s="477" t="s">
        <v>355</v>
      </c>
      <c r="C129" s="349" t="s">
        <v>354</v>
      </c>
      <c r="D129" s="484" t="s">
        <v>356</v>
      </c>
      <c r="E129" s="471" t="s">
        <v>161</v>
      </c>
      <c r="F129" s="471">
        <f>VLOOKUP(E129,'[2]условия, ФОТ'!$A$14:$I$28,9, FALSE)</f>
        <v>206.19</v>
      </c>
      <c r="G129" s="478">
        <v>3</v>
      </c>
      <c r="H129" s="471">
        <f t="shared" ref="H129" si="70">ROUND(F129*G129,2)</f>
        <v>618.57000000000005</v>
      </c>
      <c r="I129" s="471">
        <f t="shared" ref="I129:I141" si="71">ROUND(H129*$I$5,2)</f>
        <v>186.81</v>
      </c>
      <c r="J129" s="471">
        <f t="shared" ref="J129:J141" si="72">H129+I129</f>
        <v>805.38000000000011</v>
      </c>
      <c r="K129" s="479"/>
      <c r="L129" s="471"/>
      <c r="M129" s="471"/>
      <c r="N129" s="471"/>
      <c r="O129" s="471"/>
      <c r="P129" s="471">
        <f t="shared" ref="P129" si="73">J129+O129</f>
        <v>805.38000000000011</v>
      </c>
      <c r="Q129" s="471">
        <f t="shared" ref="Q129:Q141" si="74">ROUND(P129*$Q$5,2)</f>
        <v>535.58000000000004</v>
      </c>
      <c r="R129" s="472">
        <f>ROUND(T129/1.2,2)</f>
        <v>1488.33</v>
      </c>
      <c r="S129" s="472">
        <f>ROUND(R129*$S$5,2)</f>
        <v>297.67</v>
      </c>
      <c r="T129" s="472">
        <f>ROUND((P129+Q129)*(1+Y129)*1.2,0)</f>
        <v>1786</v>
      </c>
      <c r="U129" s="269">
        <v>186</v>
      </c>
      <c r="V129" s="336">
        <f t="shared" ref="V129:V130" si="75">T129/U129*100-100</f>
        <v>860.21505376344078</v>
      </c>
      <c r="W129" s="503">
        <v>1563</v>
      </c>
      <c r="X129" s="351">
        <f>T129/W129*100-100</f>
        <v>14.267434420985282</v>
      </c>
      <c r="Y129" s="499">
        <v>0.1096</v>
      </c>
      <c r="Z129" s="354" t="e">
        <f>#REF!*Y129</f>
        <v>#REF!</v>
      </c>
      <c r="AA129" s="355"/>
      <c r="AB129" s="356">
        <v>198.52800000000002</v>
      </c>
      <c r="AC129" s="357"/>
      <c r="AD129" s="500">
        <f>T129-W129</f>
        <v>223</v>
      </c>
      <c r="AE129" s="360"/>
      <c r="AG129" s="361">
        <v>-0.14119999999999999</v>
      </c>
      <c r="AH129" s="362">
        <f t="shared" si="30"/>
        <v>1.1412</v>
      </c>
      <c r="AI129" s="362">
        <v>1.18</v>
      </c>
      <c r="AK129" s="363">
        <f>ROUND(W129*AI129,2)</f>
        <v>1844.34</v>
      </c>
      <c r="AL129" s="492"/>
      <c r="AM129" s="361">
        <v>1.034</v>
      </c>
      <c r="AN129" s="18">
        <v>-0.14119999999999999</v>
      </c>
      <c r="AO129" s="362" t="e">
        <f>#REF!-AM129</f>
        <v>#REF!</v>
      </c>
      <c r="AQ129" s="364">
        <f>Y129-AN129</f>
        <v>0.25080000000000002</v>
      </c>
      <c r="AR129" s="357">
        <v>1500</v>
      </c>
      <c r="AS129" s="127" t="b">
        <f>W129=AR129</f>
        <v>0</v>
      </c>
      <c r="AT129" s="289" t="e">
        <f>ROUND(W129/T129*100-100,2)+#REF!</f>
        <v>#REF!</v>
      </c>
      <c r="AU129"/>
      <c r="AV129"/>
      <c r="AW129">
        <f>ROUND(T129/W129,3)</f>
        <v>1.143</v>
      </c>
    </row>
    <row r="130" spans="1:49" s="308" customFormat="1" ht="24.75" customHeight="1" x14ac:dyDescent="0.25">
      <c r="A130" s="647"/>
      <c r="B130" s="647" t="s">
        <v>344</v>
      </c>
      <c r="C130" s="660" t="s">
        <v>345</v>
      </c>
      <c r="D130" s="649" t="s">
        <v>28</v>
      </c>
      <c r="E130" s="484" t="s">
        <v>166</v>
      </c>
      <c r="F130" s="471">
        <f>VLOOKUP(E130,'[2]условия, ФОТ'!$A$14:$I$28,9, FALSE)</f>
        <v>251.34</v>
      </c>
      <c r="G130" s="478">
        <v>0.2</v>
      </c>
      <c r="H130" s="661">
        <f>ROUND(F130*G130+F131*G131,2)</f>
        <v>93.04</v>
      </c>
      <c r="I130" s="661">
        <f t="shared" si="71"/>
        <v>28.1</v>
      </c>
      <c r="J130" s="661">
        <f t="shared" si="72"/>
        <v>121.14000000000001</v>
      </c>
      <c r="K130" s="669"/>
      <c r="L130" s="661"/>
      <c r="M130" s="661"/>
      <c r="N130" s="661"/>
      <c r="O130" s="661">
        <f>O132</f>
        <v>110.83</v>
      </c>
      <c r="P130" s="661">
        <f>J130+O130</f>
        <v>231.97000000000003</v>
      </c>
      <c r="Q130" s="661">
        <f t="shared" si="74"/>
        <v>154.26</v>
      </c>
      <c r="R130" s="665">
        <f>ROUND(T130/1.2,2)</f>
        <v>402.5</v>
      </c>
      <c r="S130" s="665">
        <f t="shared" ref="S130:S133" si="76">ROUND(R130*$S$5,2)</f>
        <v>80.5</v>
      </c>
      <c r="T130" s="665">
        <f>ROUND((P130+Q130)*(1+Y130)*1.2,0)</f>
        <v>483</v>
      </c>
      <c r="U130" s="705">
        <v>321</v>
      </c>
      <c r="V130" s="345">
        <f t="shared" si="75"/>
        <v>50.467289719626166</v>
      </c>
      <c r="W130" s="721">
        <v>434</v>
      </c>
      <c r="X130" s="691">
        <f>T130/W130*100-100</f>
        <v>11.290322580645153</v>
      </c>
      <c r="Y130" s="692">
        <v>4.2200000000000001E-2</v>
      </c>
      <c r="Z130" s="693" t="e">
        <f>#REF!*Y130</f>
        <v>#REF!</v>
      </c>
      <c r="AA130" s="703"/>
      <c r="AB130" s="303">
        <v>342.25400000000002</v>
      </c>
      <c r="AC130" s="702"/>
      <c r="AD130" s="683">
        <f>T130-W130</f>
        <v>49</v>
      </c>
      <c r="AE130" s="304"/>
      <c r="AG130" s="722">
        <v>0.1615</v>
      </c>
      <c r="AH130" s="698">
        <f t="shared" si="30"/>
        <v>0.1615</v>
      </c>
      <c r="AI130" s="698">
        <v>0</v>
      </c>
      <c r="AK130" s="323"/>
      <c r="AL130" s="346"/>
      <c r="AM130" s="347">
        <v>1.034</v>
      </c>
      <c r="AN130" s="348">
        <v>0.1615</v>
      </c>
      <c r="AO130" s="322" t="e">
        <f>#REF!-AM130</f>
        <v>#REF!</v>
      </c>
      <c r="AQ130" s="324">
        <f>Y130-AN130</f>
        <v>-0.1193</v>
      </c>
      <c r="AR130" s="702">
        <v>342</v>
      </c>
      <c r="AS130" s="695" t="b">
        <f>W130=AR130</f>
        <v>0</v>
      </c>
      <c r="AT130" s="307" t="e">
        <f>ROUND(W130/T130*100-100,2)+#REF!</f>
        <v>#REF!</v>
      </c>
      <c r="AW130" s="308">
        <f>ROUND(T130/W130,3)</f>
        <v>1.113</v>
      </c>
    </row>
    <row r="131" spans="1:49" s="308" customFormat="1" ht="22.7" customHeight="1" x14ac:dyDescent="0.25">
      <c r="A131" s="647"/>
      <c r="B131" s="647"/>
      <c r="C131" s="660"/>
      <c r="D131" s="649"/>
      <c r="E131" s="484" t="s">
        <v>162</v>
      </c>
      <c r="F131" s="471">
        <f>VLOOKUP(E131,'[2]условия, ФОТ'!$A$14:$I$28,9, FALSE)</f>
        <v>213.84</v>
      </c>
      <c r="G131" s="478">
        <v>0.2</v>
      </c>
      <c r="H131" s="661"/>
      <c r="I131" s="661"/>
      <c r="J131" s="661"/>
      <c r="K131" s="669"/>
      <c r="L131" s="661"/>
      <c r="M131" s="661"/>
      <c r="N131" s="661"/>
      <c r="O131" s="661"/>
      <c r="P131" s="661"/>
      <c r="Q131" s="661">
        <f t="shared" si="74"/>
        <v>0</v>
      </c>
      <c r="R131" s="665">
        <f t="shared" ref="R131" si="77">ROUND(T131/1.18,2)</f>
        <v>0</v>
      </c>
      <c r="S131" s="665">
        <f t="shared" si="76"/>
        <v>0</v>
      </c>
      <c r="T131" s="665">
        <f>ROUND((P131+Q131)*(1+$R$5)*1.18,0)</f>
        <v>0</v>
      </c>
      <c r="U131" s="706"/>
      <c r="V131" s="345"/>
      <c r="W131" s="721">
        <v>0</v>
      </c>
      <c r="X131" s="691"/>
      <c r="Y131" s="692"/>
      <c r="Z131" s="694"/>
      <c r="AA131" s="704"/>
      <c r="AB131" s="303"/>
      <c r="AC131" s="702"/>
      <c r="AD131" s="684"/>
      <c r="AE131" s="304"/>
      <c r="AG131" s="723"/>
      <c r="AH131" s="699"/>
      <c r="AI131" s="699"/>
      <c r="AK131" s="323"/>
      <c r="AL131" s="346"/>
      <c r="AM131" s="347"/>
      <c r="AN131" s="348"/>
      <c r="AO131" s="322"/>
      <c r="AQ131" s="324"/>
      <c r="AR131" s="702"/>
      <c r="AS131" s="695"/>
      <c r="AT131" s="307"/>
    </row>
    <row r="132" spans="1:49" s="308" customFormat="1" ht="27" customHeight="1" outlineLevel="1" x14ac:dyDescent="0.3">
      <c r="A132" s="647"/>
      <c r="B132" s="477"/>
      <c r="C132" s="475"/>
      <c r="D132" s="484"/>
      <c r="E132" s="484"/>
      <c r="F132" s="471"/>
      <c r="G132" s="478"/>
      <c r="H132" s="471"/>
      <c r="I132" s="471"/>
      <c r="J132" s="295" t="s">
        <v>366</v>
      </c>
      <c r="K132" s="296" t="s">
        <v>369</v>
      </c>
      <c r="L132" s="478" t="str">
        <f>VLOOKUP(K132,[2]материалы!$A$5:$G$31,5, FALSE)</f>
        <v>м</v>
      </c>
      <c r="M132" s="471">
        <f>VLOOKUP(K132,[2]материалы!$A$5:$G$34,7, FALSE)</f>
        <v>110.83</v>
      </c>
      <c r="N132" s="478">
        <v>1</v>
      </c>
      <c r="O132" s="471">
        <f t="shared" ref="O132" si="78">ROUND(M132*N132,2)</f>
        <v>110.83</v>
      </c>
      <c r="P132" s="471"/>
      <c r="Q132" s="471"/>
      <c r="R132" s="472"/>
      <c r="S132" s="472"/>
      <c r="T132" s="472"/>
      <c r="U132" s="309"/>
      <c r="V132" s="345"/>
      <c r="W132" s="311"/>
      <c r="X132" s="483"/>
      <c r="Y132" s="501"/>
      <c r="Z132" s="317"/>
      <c r="AA132" s="318"/>
      <c r="AB132" s="303"/>
      <c r="AC132" s="480"/>
      <c r="AD132" s="481"/>
      <c r="AE132" s="304"/>
      <c r="AG132" s="347"/>
      <c r="AH132" s="322"/>
      <c r="AI132" s="322"/>
      <c r="AK132" s="323"/>
      <c r="AL132" s="346"/>
      <c r="AM132" s="347"/>
      <c r="AN132" s="348"/>
      <c r="AO132" s="322"/>
      <c r="AQ132" s="324"/>
      <c r="AR132" s="480"/>
      <c r="AS132" s="325"/>
      <c r="AT132" s="307"/>
    </row>
    <row r="133" spans="1:49" ht="46.5" customHeight="1" x14ac:dyDescent="0.3">
      <c r="A133" s="647"/>
      <c r="B133" s="477" t="s">
        <v>169</v>
      </c>
      <c r="C133" s="349" t="s">
        <v>365</v>
      </c>
      <c r="D133" s="484" t="s">
        <v>22</v>
      </c>
      <c r="E133" s="484" t="s">
        <v>162</v>
      </c>
      <c r="F133" s="471">
        <f>VLOOKUP(E133,'[2]условия, ФОТ'!$A$14:$I$28,9, FALSE)</f>
        <v>213.84</v>
      </c>
      <c r="G133" s="301">
        <f>G20</f>
        <v>0.47599999999999998</v>
      </c>
      <c r="H133" s="471">
        <f t="shared" ref="H133" si="79">ROUND(F133*G133,2)</f>
        <v>101.79</v>
      </c>
      <c r="I133" s="471">
        <f t="shared" ref="I133" si="80">ROUND(H133*$I$5,2)</f>
        <v>30.74</v>
      </c>
      <c r="J133" s="471">
        <f t="shared" ref="J133" si="81">H133+I133</f>
        <v>132.53</v>
      </c>
      <c r="K133" s="479"/>
      <c r="L133" s="471"/>
      <c r="M133" s="471"/>
      <c r="N133" s="471"/>
      <c r="O133" s="471">
        <f>SUM(O134:O139)</f>
        <v>88.08</v>
      </c>
      <c r="P133" s="471">
        <f t="shared" ref="P133:P141" si="82">J133+O133</f>
        <v>220.61</v>
      </c>
      <c r="Q133" s="471">
        <f t="shared" si="74"/>
        <v>146.71</v>
      </c>
      <c r="R133" s="472">
        <f>ROUND(T133/1.2,2)</f>
        <v>382.5</v>
      </c>
      <c r="S133" s="472">
        <f t="shared" si="76"/>
        <v>76.5</v>
      </c>
      <c r="T133" s="472">
        <f>ROUND((P133+Q133)*(1+Y133)*1.2,0)</f>
        <v>459</v>
      </c>
      <c r="U133" s="269">
        <v>338</v>
      </c>
      <c r="V133" s="336">
        <f t="shared" ref="V133" si="83">T133/U133*100-100</f>
        <v>35.798816568047329</v>
      </c>
      <c r="W133" s="498">
        <v>416</v>
      </c>
      <c r="X133" s="470">
        <f>T133/W133*100-100</f>
        <v>10.336538461538453</v>
      </c>
      <c r="Y133" s="504">
        <v>4.19E-2</v>
      </c>
      <c r="Z133" s="487" t="e">
        <f>#REF!*Y133</f>
        <v>#REF!</v>
      </c>
      <c r="AA133" s="366"/>
      <c r="AB133" s="235">
        <v>360.86599999999999</v>
      </c>
      <c r="AC133" s="467"/>
      <c r="AD133" s="500">
        <f>T133-W133</f>
        <v>43</v>
      </c>
      <c r="AE133" s="284"/>
      <c r="AG133" s="466">
        <v>7.5600000000000001E-2</v>
      </c>
      <c r="AH133" s="285">
        <f t="shared" si="30"/>
        <v>7.5600000000000001E-2</v>
      </c>
      <c r="AI133" s="285">
        <v>0</v>
      </c>
      <c r="AK133" s="286"/>
      <c r="AM133" s="466">
        <v>1.034</v>
      </c>
      <c r="AN133" s="337">
        <v>7.5600000000000001E-2</v>
      </c>
      <c r="AO133" s="285" t="e">
        <f>#REF!-AM133</f>
        <v>#REF!</v>
      </c>
      <c r="AQ133" s="288">
        <f>Y133-AN133</f>
        <v>-3.3700000000000001E-2</v>
      </c>
      <c r="AR133" s="467">
        <v>361</v>
      </c>
      <c r="AS133" s="127" t="b">
        <f>W133=AR133</f>
        <v>0</v>
      </c>
      <c r="AT133" s="289" t="e">
        <f>ROUND(W133/T133*100-100,2)+#REF!</f>
        <v>#REF!</v>
      </c>
      <c r="AW133">
        <f>ROUND(T133/W133,3)</f>
        <v>1.103</v>
      </c>
    </row>
    <row r="134" spans="1:49" ht="25.5" customHeight="1" outlineLevel="1" x14ac:dyDescent="0.3">
      <c r="A134" s="647"/>
      <c r="B134" s="477"/>
      <c r="C134" s="349"/>
      <c r="D134" s="484"/>
      <c r="E134" s="484"/>
      <c r="F134" s="471"/>
      <c r="G134" s="301"/>
      <c r="H134" s="471"/>
      <c r="I134" s="471"/>
      <c r="J134" s="295" t="s">
        <v>366</v>
      </c>
      <c r="K134" s="296" t="s">
        <v>323</v>
      </c>
      <c r="L134" s="478" t="str">
        <f>VLOOKUP(K134,[2]материалы!$A$5:$G$31,5, FALSE)</f>
        <v>м3</v>
      </c>
      <c r="M134" s="471">
        <f>VLOOKUP(K134,[2]материалы!$A$5:$G$34,7, FALSE)</f>
        <v>486.11</v>
      </c>
      <c r="N134" s="478">
        <v>8.7499999999999994E-2</v>
      </c>
      <c r="O134" s="471">
        <f>ROUND(M134*N134,2)</f>
        <v>42.53</v>
      </c>
      <c r="P134" s="471"/>
      <c r="Q134" s="471"/>
      <c r="R134" s="472"/>
      <c r="S134" s="472"/>
      <c r="T134" s="472"/>
      <c r="U134" s="269"/>
      <c r="V134" s="336"/>
      <c r="W134" s="498"/>
      <c r="X134" s="470"/>
      <c r="Y134" s="499"/>
      <c r="Z134" s="487"/>
      <c r="AC134" s="467"/>
      <c r="AD134" s="468"/>
      <c r="AE134" s="284"/>
      <c r="AG134" s="466"/>
      <c r="AH134" s="285"/>
      <c r="AI134" s="285"/>
      <c r="AK134" s="286"/>
      <c r="AM134" s="466"/>
      <c r="AN134" s="337"/>
      <c r="AO134" s="285"/>
      <c r="AQ134" s="288"/>
      <c r="AR134" s="467"/>
      <c r="AT134" s="289"/>
    </row>
    <row r="135" spans="1:49" ht="17.25" customHeight="1" outlineLevel="1" x14ac:dyDescent="0.3">
      <c r="A135" s="647"/>
      <c r="B135" s="477"/>
      <c r="C135" s="349"/>
      <c r="D135" s="484"/>
      <c r="E135" s="484"/>
      <c r="F135" s="471"/>
      <c r="G135" s="301"/>
      <c r="H135" s="471"/>
      <c r="I135" s="471"/>
      <c r="J135" s="471"/>
      <c r="K135" s="296" t="s">
        <v>324</v>
      </c>
      <c r="L135" s="478" t="str">
        <f>VLOOKUP(K135,[2]материалы!$A$5:$G$31,5, FALSE)</f>
        <v>м3</v>
      </c>
      <c r="M135" s="471">
        <f>VLOOKUP(K135,[2]материалы!$A$5:$G$34,7, FALSE)</f>
        <v>152.78</v>
      </c>
      <c r="N135" s="471">
        <v>0.15</v>
      </c>
      <c r="O135" s="471">
        <f t="shared" ref="O135:O139" si="84">ROUND(M135*N135,2)</f>
        <v>22.92</v>
      </c>
      <c r="P135" s="471"/>
      <c r="Q135" s="471"/>
      <c r="R135" s="472"/>
      <c r="S135" s="472"/>
      <c r="T135" s="472"/>
      <c r="U135" s="269"/>
      <c r="V135" s="336"/>
      <c r="W135" s="498"/>
      <c r="X135" s="470"/>
      <c r="Y135" s="499"/>
      <c r="Z135" s="487"/>
      <c r="AC135" s="467"/>
      <c r="AD135" s="468"/>
      <c r="AE135" s="284"/>
      <c r="AG135" s="466"/>
      <c r="AH135" s="285"/>
      <c r="AI135" s="285"/>
      <c r="AK135" s="286"/>
      <c r="AM135" s="466"/>
      <c r="AN135" s="337"/>
      <c r="AO135" s="285"/>
      <c r="AQ135" s="288"/>
      <c r="AR135" s="467"/>
      <c r="AT135" s="289"/>
    </row>
    <row r="136" spans="1:49" ht="41.25" customHeight="1" outlineLevel="1" x14ac:dyDescent="0.3">
      <c r="A136" s="647"/>
      <c r="B136" s="477"/>
      <c r="C136" s="349"/>
      <c r="D136" s="484"/>
      <c r="E136" s="484"/>
      <c r="F136" s="471"/>
      <c r="G136" s="301"/>
      <c r="H136" s="471"/>
      <c r="I136" s="471"/>
      <c r="J136" s="471"/>
      <c r="K136" s="296" t="s">
        <v>341</v>
      </c>
      <c r="L136" s="478" t="str">
        <f>VLOOKUP(K136,[2]материалы!$A$5:$G$31,5, FALSE)</f>
        <v>кг</v>
      </c>
      <c r="M136" s="471">
        <f>VLOOKUP(K136,[2]материалы!$A$5:$G$34,7, FALSE)</f>
        <v>125</v>
      </c>
      <c r="N136" s="471">
        <v>0.1</v>
      </c>
      <c r="O136" s="471">
        <f t="shared" si="84"/>
        <v>12.5</v>
      </c>
      <c r="P136" s="471"/>
      <c r="Q136" s="471"/>
      <c r="R136" s="472"/>
      <c r="S136" s="472"/>
      <c r="T136" s="472"/>
      <c r="U136" s="269"/>
      <c r="V136" s="336"/>
      <c r="W136" s="498"/>
      <c r="X136" s="470"/>
      <c r="Y136" s="499"/>
      <c r="Z136" s="487"/>
      <c r="AC136" s="467"/>
      <c r="AD136" s="468"/>
      <c r="AE136" s="284"/>
      <c r="AG136" s="466"/>
      <c r="AH136" s="285"/>
      <c r="AI136" s="285"/>
      <c r="AK136" s="286"/>
      <c r="AM136" s="466"/>
      <c r="AN136" s="337"/>
      <c r="AO136" s="285"/>
      <c r="AQ136" s="288"/>
      <c r="AR136" s="467"/>
      <c r="AT136" s="289"/>
    </row>
    <row r="137" spans="1:49" ht="38.25" customHeight="1" outlineLevel="1" x14ac:dyDescent="0.3">
      <c r="A137" s="647"/>
      <c r="B137" s="477"/>
      <c r="C137" s="349"/>
      <c r="D137" s="484"/>
      <c r="E137" s="484"/>
      <c r="F137" s="471"/>
      <c r="G137" s="301"/>
      <c r="H137" s="471"/>
      <c r="I137" s="471"/>
      <c r="J137" s="471"/>
      <c r="K137" s="296" t="s">
        <v>342</v>
      </c>
      <c r="L137" s="478" t="str">
        <f>VLOOKUP(K137,[2]материалы!$A$5:$G$31,5, FALSE)</f>
        <v>шт.</v>
      </c>
      <c r="M137" s="471">
        <f>VLOOKUP(K137,[2]материалы!$A$5:$G$34,7, FALSE)</f>
        <v>37.5</v>
      </c>
      <c r="N137" s="471">
        <v>0.25</v>
      </c>
      <c r="O137" s="471">
        <f t="shared" si="84"/>
        <v>9.3800000000000008</v>
      </c>
      <c r="P137" s="471"/>
      <c r="Q137" s="471"/>
      <c r="R137" s="472"/>
      <c r="S137" s="472"/>
      <c r="T137" s="472"/>
      <c r="U137" s="269"/>
      <c r="V137" s="336"/>
      <c r="W137" s="498"/>
      <c r="X137" s="470"/>
      <c r="Y137" s="499"/>
      <c r="Z137" s="487"/>
      <c r="AC137" s="467"/>
      <c r="AD137" s="468"/>
      <c r="AE137" s="284"/>
      <c r="AG137" s="466"/>
      <c r="AH137" s="285"/>
      <c r="AI137" s="285"/>
      <c r="AK137" s="286"/>
      <c r="AM137" s="466"/>
      <c r="AN137" s="337"/>
      <c r="AO137" s="285"/>
      <c r="AQ137" s="288"/>
      <c r="AR137" s="467"/>
      <c r="AT137" s="289"/>
    </row>
    <row r="138" spans="1:49" ht="15.75" customHeight="1" outlineLevel="1" x14ac:dyDescent="0.3">
      <c r="A138" s="647"/>
      <c r="B138" s="477"/>
      <c r="C138" s="349"/>
      <c r="D138" s="484"/>
      <c r="E138" s="484"/>
      <c r="F138" s="471"/>
      <c r="G138" s="301"/>
      <c r="H138" s="471"/>
      <c r="I138" s="471"/>
      <c r="J138" s="471"/>
      <c r="K138" s="296" t="s">
        <v>329</v>
      </c>
      <c r="L138" s="478" t="str">
        <f>VLOOKUP(K138,[2]материалы!$A$5:$G$31,5, FALSE)</f>
        <v>кг</v>
      </c>
      <c r="M138" s="471">
        <f>VLOOKUP(K138,[2]материалы!$A$5:$G$34,7, FALSE)</f>
        <v>79.17</v>
      </c>
      <c r="N138" s="301">
        <f>0.001</f>
        <v>1E-3</v>
      </c>
      <c r="O138" s="471">
        <f t="shared" si="84"/>
        <v>0.08</v>
      </c>
      <c r="P138" s="471"/>
      <c r="Q138" s="471"/>
      <c r="R138" s="472"/>
      <c r="S138" s="472"/>
      <c r="T138" s="472"/>
      <c r="U138" s="269"/>
      <c r="V138" s="336"/>
      <c r="W138" s="498"/>
      <c r="X138" s="470"/>
      <c r="Y138" s="499"/>
      <c r="Z138" s="487"/>
      <c r="AC138" s="467"/>
      <c r="AD138" s="468"/>
      <c r="AE138" s="284"/>
      <c r="AG138" s="466"/>
      <c r="AH138" s="285"/>
      <c r="AI138" s="285"/>
      <c r="AK138" s="286"/>
      <c r="AM138" s="466"/>
      <c r="AN138" s="337"/>
      <c r="AO138" s="285"/>
      <c r="AQ138" s="288"/>
      <c r="AR138" s="467"/>
      <c r="AT138" s="289"/>
    </row>
    <row r="139" spans="1:49" ht="21" customHeight="1" outlineLevel="1" x14ac:dyDescent="0.3">
      <c r="A139" s="647"/>
      <c r="B139" s="477"/>
      <c r="C139" s="349"/>
      <c r="D139" s="484"/>
      <c r="E139" s="484"/>
      <c r="F139" s="471"/>
      <c r="G139" s="301"/>
      <c r="H139" s="471"/>
      <c r="I139" s="471"/>
      <c r="J139" s="471"/>
      <c r="K139" s="296" t="s">
        <v>330</v>
      </c>
      <c r="L139" s="478" t="str">
        <f>VLOOKUP(K139,[2]материалы!$A$5:$G$31,5, FALSE)</f>
        <v>кг</v>
      </c>
      <c r="M139" s="471">
        <f>VLOOKUP(K139,[2]материалы!$A$5:$G$34,7, FALSE)</f>
        <v>66.67</v>
      </c>
      <c r="N139" s="478">
        <f>0.01</f>
        <v>0.01</v>
      </c>
      <c r="O139" s="471">
        <f t="shared" si="84"/>
        <v>0.67</v>
      </c>
      <c r="P139" s="471"/>
      <c r="Q139" s="471"/>
      <c r="R139" s="472"/>
      <c r="S139" s="472"/>
      <c r="T139" s="472"/>
      <c r="U139" s="269"/>
      <c r="V139" s="336"/>
      <c r="W139" s="498"/>
      <c r="X139" s="470"/>
      <c r="Y139" s="499"/>
      <c r="Z139" s="487"/>
      <c r="AC139" s="467"/>
      <c r="AD139" s="468"/>
      <c r="AE139" s="284"/>
      <c r="AG139" s="466"/>
      <c r="AH139" s="285"/>
      <c r="AI139" s="285"/>
      <c r="AK139" s="286"/>
      <c r="AM139" s="466"/>
      <c r="AN139" s="337"/>
      <c r="AO139" s="285"/>
      <c r="AQ139" s="288"/>
      <c r="AR139" s="467"/>
      <c r="AT139" s="289"/>
    </row>
    <row r="140" spans="1:49" ht="33" customHeight="1" x14ac:dyDescent="0.3">
      <c r="A140" s="647"/>
      <c r="B140" s="477" t="s">
        <v>171</v>
      </c>
      <c r="C140" s="349" t="s">
        <v>353</v>
      </c>
      <c r="D140" s="484" t="s">
        <v>30</v>
      </c>
      <c r="E140" s="484" t="s">
        <v>161</v>
      </c>
      <c r="F140" s="471">
        <f>VLOOKUP(E140,'[2]условия, ФОТ'!$A$14:$I$28,9, FALSE)</f>
        <v>206.19</v>
      </c>
      <c r="G140" s="478">
        <v>1</v>
      </c>
      <c r="H140" s="471">
        <f t="shared" ref="H140:H141" si="85">ROUND(F140*G140,2)</f>
        <v>206.19</v>
      </c>
      <c r="I140" s="471">
        <f t="shared" ref="I140" si="86">ROUND(H140*$I$5,2)</f>
        <v>62.27</v>
      </c>
      <c r="J140" s="471">
        <f t="shared" ref="J140" si="87">H140+I140</f>
        <v>268.45999999999998</v>
      </c>
      <c r="K140" s="479"/>
      <c r="L140" s="471"/>
      <c r="M140" s="471"/>
      <c r="N140" s="471"/>
      <c r="O140" s="471"/>
      <c r="P140" s="471">
        <f t="shared" ref="P140" si="88">J140+O140</f>
        <v>268.45999999999998</v>
      </c>
      <c r="Q140" s="471">
        <f t="shared" ref="Q140" si="89">ROUND(P140*$Q$5,2)</f>
        <v>178.53</v>
      </c>
      <c r="R140" s="472">
        <f>ROUND(T140/1.2,2)</f>
        <v>480.83</v>
      </c>
      <c r="S140" s="472">
        <f t="shared" ref="S140" si="90">ROUND(R140*$S$5,2)</f>
        <v>96.17</v>
      </c>
      <c r="T140" s="472">
        <f>ROUND((P140+Q140)*(1+Y140)*1.2,0)</f>
        <v>577</v>
      </c>
      <c r="U140" s="269">
        <v>372</v>
      </c>
      <c r="V140" s="336">
        <f t="shared" ref="V140:V141" si="91">T140/U140*100-100</f>
        <v>55.107526881720418</v>
      </c>
      <c r="W140" s="498">
        <v>505</v>
      </c>
      <c r="X140" s="470">
        <f>T140/W140*100-100</f>
        <v>14.257425742574242</v>
      </c>
      <c r="Y140" s="499">
        <v>7.6300000000000007E-2</v>
      </c>
      <c r="Z140" s="487" t="e">
        <f>#REF!*Y140</f>
        <v>#REF!</v>
      </c>
      <c r="AB140" s="235">
        <v>396.02199999999999</v>
      </c>
      <c r="AC140" s="467"/>
      <c r="AD140" s="500">
        <f>T140-W140</f>
        <v>72</v>
      </c>
      <c r="AE140" s="284"/>
      <c r="AG140" s="466">
        <v>-0.1434</v>
      </c>
      <c r="AH140" s="285">
        <f t="shared" ref="AH140:AH199" si="92">IF(AG140&lt;0,-AG140+1,AG140)</f>
        <v>1.1434</v>
      </c>
      <c r="AI140" s="285">
        <v>1.1819999999999999</v>
      </c>
      <c r="AK140" s="286">
        <f>ROUND(W140*AI140,2)</f>
        <v>596.91</v>
      </c>
      <c r="AM140" s="466">
        <v>1.034</v>
      </c>
      <c r="AN140" s="337">
        <v>-0.1434</v>
      </c>
      <c r="AO140" s="285" t="e">
        <f>#REF!-AM140</f>
        <v>#REF!</v>
      </c>
      <c r="AQ140" s="288">
        <f>Y140-AN140</f>
        <v>0.21970000000000001</v>
      </c>
      <c r="AR140" s="467">
        <v>485</v>
      </c>
      <c r="AS140" s="127" t="b">
        <f>W140=AR140</f>
        <v>0</v>
      </c>
      <c r="AT140" s="289" t="e">
        <f>ROUND(W140/T140*100-100,2)+#REF!</f>
        <v>#REF!</v>
      </c>
      <c r="AW140">
        <f>ROUND(T140/W140,3)</f>
        <v>1.143</v>
      </c>
    </row>
    <row r="141" spans="1:49" ht="48.75" customHeight="1" x14ac:dyDescent="0.3">
      <c r="A141" s="647"/>
      <c r="B141" s="477" t="s">
        <v>170</v>
      </c>
      <c r="C141" s="475" t="s">
        <v>559</v>
      </c>
      <c r="D141" s="484" t="s">
        <v>26</v>
      </c>
      <c r="E141" s="484" t="s">
        <v>162</v>
      </c>
      <c r="F141" s="471">
        <f>VLOOKUP(E141,'[2]условия, ФОТ'!$A$14:$I$28,9, FALSE)</f>
        <v>213.84</v>
      </c>
      <c r="G141" s="478">
        <v>0.25</v>
      </c>
      <c r="H141" s="471">
        <f t="shared" si="85"/>
        <v>53.46</v>
      </c>
      <c r="I141" s="471">
        <f t="shared" si="71"/>
        <v>16.14</v>
      </c>
      <c r="J141" s="471">
        <f t="shared" si="72"/>
        <v>69.599999999999994</v>
      </c>
      <c r="K141" s="479"/>
      <c r="L141" s="471"/>
      <c r="M141" s="471"/>
      <c r="N141" s="471"/>
      <c r="O141" s="471">
        <f>SUM(O142:O144)</f>
        <v>4.3500000000000005</v>
      </c>
      <c r="P141" s="471">
        <f t="shared" si="82"/>
        <v>73.949999999999989</v>
      </c>
      <c r="Q141" s="471">
        <f t="shared" si="74"/>
        <v>49.18</v>
      </c>
      <c r="R141" s="472">
        <f>ROUND(T141/1.2,2)</f>
        <v>132.5</v>
      </c>
      <c r="S141" s="472">
        <f>ROUND(R141*$S$5,2)</f>
        <v>26.5</v>
      </c>
      <c r="T141" s="472">
        <f>ROUND((P141+Q141)*(1+Y141)*1.2,0)</f>
        <v>159</v>
      </c>
      <c r="U141" s="269">
        <v>115</v>
      </c>
      <c r="V141" s="336">
        <f t="shared" si="91"/>
        <v>38.260869565217405</v>
      </c>
      <c r="W141" s="498">
        <v>135</v>
      </c>
      <c r="X141" s="470">
        <f>T141/W141*100-100</f>
        <v>17.777777777777786</v>
      </c>
      <c r="Y141" s="499">
        <v>7.4200000000000002E-2</v>
      </c>
      <c r="Z141" s="487" t="e">
        <f>#REF!*Y141</f>
        <v>#REF!</v>
      </c>
      <c r="AB141" s="235">
        <v>123.04600000000001</v>
      </c>
      <c r="AC141" s="467"/>
      <c r="AD141" s="500">
        <f>T141-W141</f>
        <v>24</v>
      </c>
      <c r="AE141" s="284"/>
      <c r="AG141" s="466">
        <v>-9.2999999999999992E-3</v>
      </c>
      <c r="AH141" s="285">
        <f t="shared" si="92"/>
        <v>1.0093000000000001</v>
      </c>
      <c r="AI141" s="285">
        <v>1.044</v>
      </c>
      <c r="AK141" s="286">
        <f>ROUND(W141*AI141,2)</f>
        <v>140.94</v>
      </c>
      <c r="AM141" s="466">
        <v>1.034</v>
      </c>
      <c r="AN141" s="337">
        <v>-9.2999999999999992E-3</v>
      </c>
      <c r="AO141" s="285" t="e">
        <f>#REF!-AM141</f>
        <v>#REF!</v>
      </c>
      <c r="AQ141" s="288">
        <f>Y141-AN141</f>
        <v>8.3500000000000005E-2</v>
      </c>
      <c r="AR141" s="467">
        <v>130</v>
      </c>
      <c r="AS141" s="127" t="b">
        <f>W141=AR141</f>
        <v>0</v>
      </c>
      <c r="AT141" s="289" t="e">
        <f>ROUND(W141/T141*100-100,2)+#REF!</f>
        <v>#REF!</v>
      </c>
      <c r="AW141">
        <f>ROUND(T141/W141,3)</f>
        <v>1.1779999999999999</v>
      </c>
    </row>
    <row r="142" spans="1:49" ht="31.7" customHeight="1" x14ac:dyDescent="0.3">
      <c r="A142" s="712" t="s">
        <v>577</v>
      </c>
      <c r="B142" s="712"/>
      <c r="C142" s="712"/>
      <c r="D142" s="712"/>
      <c r="E142" s="712"/>
      <c r="F142" s="712"/>
      <c r="G142" s="712"/>
      <c r="H142" s="712"/>
      <c r="I142" s="712"/>
      <c r="J142" s="295" t="s">
        <v>366</v>
      </c>
      <c r="K142" s="121" t="s">
        <v>335</v>
      </c>
      <c r="L142" s="478" t="str">
        <f>VLOOKUP(K142,[2]материалы!$A$5:$G$31,5, FALSE)</f>
        <v>кг</v>
      </c>
      <c r="M142" s="471">
        <f>VLOOKUP(K142,[2]материалы!$A$5:$G$34,7, FALSE)</f>
        <v>720.83</v>
      </c>
      <c r="N142" s="471">
        <v>5.0000000000000001E-3</v>
      </c>
      <c r="O142" s="471">
        <f t="shared" ref="O142:O144" si="93">ROUND(M142*N142,2)</f>
        <v>3.6</v>
      </c>
      <c r="P142" s="471"/>
      <c r="Q142" s="471"/>
      <c r="R142" s="472"/>
      <c r="S142" s="472"/>
      <c r="T142" s="472"/>
      <c r="U142" s="269"/>
      <c r="V142" s="336"/>
      <c r="W142" s="486"/>
      <c r="X142" s="470"/>
      <c r="Y142" s="499"/>
      <c r="Z142" s="487"/>
      <c r="AC142" s="467"/>
      <c r="AD142" s="468"/>
      <c r="AE142" s="284"/>
      <c r="AG142" s="466"/>
      <c r="AH142" s="285"/>
      <c r="AI142" s="285"/>
      <c r="AK142" s="286"/>
      <c r="AM142" s="466"/>
      <c r="AN142" s="337"/>
      <c r="AO142" s="285"/>
      <c r="AQ142" s="288"/>
      <c r="AR142" s="467"/>
      <c r="AT142" s="289"/>
    </row>
    <row r="143" spans="1:49" ht="14.25" customHeight="1" x14ac:dyDescent="0.3">
      <c r="A143" s="712"/>
      <c r="B143" s="712"/>
      <c r="C143" s="712"/>
      <c r="D143" s="712"/>
      <c r="E143" s="712"/>
      <c r="F143" s="712"/>
      <c r="G143" s="712"/>
      <c r="H143" s="712"/>
      <c r="I143" s="712"/>
      <c r="J143" s="471"/>
      <c r="K143" s="296" t="s">
        <v>329</v>
      </c>
      <c r="L143" s="478" t="str">
        <f>VLOOKUP(K143,[2]материалы!$A$5:$G$31,5, FALSE)</f>
        <v>кг</v>
      </c>
      <c r="M143" s="471">
        <f>VLOOKUP(K143,[2]материалы!$A$5:$G$34,7, FALSE)</f>
        <v>79.17</v>
      </c>
      <c r="N143" s="301">
        <f>0.001</f>
        <v>1E-3</v>
      </c>
      <c r="O143" s="471">
        <f t="shared" si="93"/>
        <v>0.08</v>
      </c>
      <c r="P143" s="471"/>
      <c r="Q143" s="471"/>
      <c r="R143" s="472"/>
      <c r="S143" s="472"/>
      <c r="T143" s="472"/>
      <c r="U143" s="269"/>
      <c r="V143" s="336"/>
      <c r="W143" s="486"/>
      <c r="X143" s="470"/>
      <c r="Y143" s="499"/>
      <c r="Z143" s="487"/>
      <c r="AC143" s="467"/>
      <c r="AD143" s="468"/>
      <c r="AE143" s="284"/>
      <c r="AG143" s="466"/>
      <c r="AH143" s="285"/>
      <c r="AI143" s="285"/>
      <c r="AK143" s="286"/>
      <c r="AM143" s="466"/>
      <c r="AN143" s="337"/>
      <c r="AO143" s="285"/>
      <c r="AQ143" s="288"/>
      <c r="AR143" s="467"/>
      <c r="AT143" s="289"/>
    </row>
    <row r="144" spans="1:49" ht="18.95" customHeight="1" x14ac:dyDescent="0.3">
      <c r="A144" s="712"/>
      <c r="B144" s="712"/>
      <c r="C144" s="712"/>
      <c r="D144" s="712"/>
      <c r="E144" s="712"/>
      <c r="F144" s="712"/>
      <c r="G144" s="712"/>
      <c r="H144" s="712"/>
      <c r="I144" s="712"/>
      <c r="J144" s="471"/>
      <c r="K144" s="296" t="s">
        <v>330</v>
      </c>
      <c r="L144" s="478" t="str">
        <f>VLOOKUP(K144,[2]материалы!$A$5:$G$31,5, FALSE)</f>
        <v>кг</v>
      </c>
      <c r="M144" s="471">
        <f>VLOOKUP(K144,[2]материалы!$A$5:$G$34,7, FALSE)</f>
        <v>66.67</v>
      </c>
      <c r="N144" s="478">
        <f>0.01</f>
        <v>0.01</v>
      </c>
      <c r="O144" s="471">
        <f t="shared" si="93"/>
        <v>0.67</v>
      </c>
      <c r="P144" s="471"/>
      <c r="Q144" s="471"/>
      <c r="R144" s="472"/>
      <c r="S144" s="472"/>
      <c r="T144" s="472"/>
      <c r="U144" s="269"/>
      <c r="V144" s="336"/>
      <c r="W144" s="486"/>
      <c r="X144" s="470"/>
      <c r="Y144" s="499"/>
      <c r="Z144" s="487"/>
      <c r="AC144" s="467"/>
      <c r="AD144" s="468"/>
      <c r="AE144" s="284"/>
      <c r="AG144" s="466"/>
      <c r="AH144" s="285"/>
      <c r="AI144" s="285"/>
      <c r="AK144" s="286"/>
      <c r="AM144" s="466"/>
      <c r="AN144" s="337"/>
      <c r="AO144" s="285"/>
      <c r="AQ144" s="288"/>
      <c r="AR144" s="467"/>
      <c r="AT144" s="289"/>
    </row>
    <row r="145" spans="1:49" ht="15" customHeight="1" x14ac:dyDescent="0.25">
      <c r="A145" s="647" t="s">
        <v>430</v>
      </c>
      <c r="B145" s="477" t="s">
        <v>172</v>
      </c>
      <c r="C145" s="660" t="s">
        <v>31</v>
      </c>
      <c r="D145" s="649" t="s">
        <v>30</v>
      </c>
      <c r="E145" s="471" t="s">
        <v>162</v>
      </c>
      <c r="F145" s="471">
        <f>VLOOKUP(E145,'[2]условия, ФОТ'!$A$14:$I$28,9, FALSE)</f>
        <v>213.84</v>
      </c>
      <c r="G145" s="478">
        <f>0.72+0.68</f>
        <v>1.4</v>
      </c>
      <c r="H145" s="661">
        <f>ROUND(F145*G145+F146*G146,2)</f>
        <v>470.29</v>
      </c>
      <c r="I145" s="661">
        <f t="shared" ref="I145:I326" si="94">ROUND(H145*$I$5,2)</f>
        <v>142.03</v>
      </c>
      <c r="J145" s="661">
        <f t="shared" ref="J145:J258" si="95">H145+I145</f>
        <v>612.32000000000005</v>
      </c>
      <c r="K145" s="669"/>
      <c r="L145" s="661"/>
      <c r="M145" s="661"/>
      <c r="N145" s="661"/>
      <c r="O145" s="661">
        <f>SUM(O147:O153)</f>
        <v>117.25</v>
      </c>
      <c r="P145" s="661">
        <f>J145+O145</f>
        <v>729.57</v>
      </c>
      <c r="Q145" s="661">
        <f t="shared" si="10"/>
        <v>485.16</v>
      </c>
      <c r="R145" s="665">
        <f>ROUND(T145/1.2,2)</f>
        <v>1323.33</v>
      </c>
      <c r="S145" s="665">
        <f>ROUND(R145*$S$5,2)</f>
        <v>264.67</v>
      </c>
      <c r="T145" s="665">
        <f>ROUND((P145+Q145)*(1+Y145)*1.2,0)</f>
        <v>1588</v>
      </c>
      <c r="U145" s="666">
        <v>1210</v>
      </c>
      <c r="V145" s="336">
        <f t="shared" si="50"/>
        <v>31.239669421487605</v>
      </c>
      <c r="W145" s="685">
        <v>1344</v>
      </c>
      <c r="X145" s="679">
        <f>T145/W145*100-100</f>
        <v>18.154761904761912</v>
      </c>
      <c r="Y145" s="680">
        <v>8.9099999999999999E-2</v>
      </c>
      <c r="Z145" s="681" t="e">
        <f>#REF!*Y145</f>
        <v>#REF!</v>
      </c>
      <c r="AB145" s="235">
        <v>1290.432</v>
      </c>
      <c r="AC145" s="674"/>
      <c r="AD145" s="683">
        <f>T145-W145</f>
        <v>244</v>
      </c>
      <c r="AE145" s="284"/>
      <c r="AG145" s="715">
        <v>9.2799999999999994E-2</v>
      </c>
      <c r="AH145" s="670">
        <f t="shared" si="92"/>
        <v>9.2799999999999994E-2</v>
      </c>
      <c r="AI145" s="670">
        <v>0</v>
      </c>
      <c r="AK145" s="286"/>
      <c r="AM145" s="715">
        <v>1.034</v>
      </c>
      <c r="AN145" s="717">
        <v>9.2799999999999994E-2</v>
      </c>
      <c r="AO145" s="670" t="e">
        <f>#REF!-AM145</f>
        <v>#REF!</v>
      </c>
      <c r="AQ145" s="672">
        <f>Y145-AN145</f>
        <v>-3.699999999999995E-3</v>
      </c>
      <c r="AR145" s="674">
        <v>1290</v>
      </c>
      <c r="AS145" s="675" t="b">
        <f>W145=AR145</f>
        <v>0</v>
      </c>
      <c r="AT145" s="289" t="e">
        <f>ROUND(W145/T145*100-100,2)+#REF!</f>
        <v>#REF!</v>
      </c>
      <c r="AW145">
        <f>ROUND(T145/W145,3)</f>
        <v>1.1819999999999999</v>
      </c>
    </row>
    <row r="146" spans="1:49" ht="14.25" customHeight="1" x14ac:dyDescent="0.25">
      <c r="A146" s="647"/>
      <c r="B146" s="477" t="s">
        <v>169</v>
      </c>
      <c r="C146" s="660"/>
      <c r="D146" s="649"/>
      <c r="E146" s="484" t="s">
        <v>166</v>
      </c>
      <c r="F146" s="471">
        <f>VLOOKUP(E146,'[2]условия, ФОТ'!$A$14:$I$28,9, FALSE)</f>
        <v>251.34</v>
      </c>
      <c r="G146" s="478">
        <v>0.68</v>
      </c>
      <c r="H146" s="661"/>
      <c r="I146" s="661"/>
      <c r="J146" s="661"/>
      <c r="K146" s="669"/>
      <c r="L146" s="661"/>
      <c r="M146" s="661"/>
      <c r="N146" s="661"/>
      <c r="O146" s="661"/>
      <c r="P146" s="661"/>
      <c r="Q146" s="661"/>
      <c r="R146" s="665"/>
      <c r="S146" s="665"/>
      <c r="T146" s="665">
        <f>ROUND((P146+Q146)*(1+$R$5)*1.18,0)</f>
        <v>0</v>
      </c>
      <c r="U146" s="667"/>
      <c r="V146" s="336"/>
      <c r="W146" s="686">
        <v>0</v>
      </c>
      <c r="X146" s="679"/>
      <c r="Y146" s="680"/>
      <c r="Z146" s="682"/>
      <c r="AC146" s="674"/>
      <c r="AD146" s="684"/>
      <c r="AE146" s="284"/>
      <c r="AG146" s="716"/>
      <c r="AH146" s="671"/>
      <c r="AI146" s="671"/>
      <c r="AK146" s="286"/>
      <c r="AM146" s="716"/>
      <c r="AN146" s="718"/>
      <c r="AO146" s="671"/>
      <c r="AQ146" s="673"/>
      <c r="AR146" s="674"/>
      <c r="AS146" s="675"/>
      <c r="AT146" s="289"/>
    </row>
    <row r="147" spans="1:49" ht="18.95" customHeight="1" outlineLevel="1" x14ac:dyDescent="0.3">
      <c r="A147" s="477"/>
      <c r="B147" s="477"/>
      <c r="C147" s="475"/>
      <c r="D147" s="484"/>
      <c r="E147" s="484"/>
      <c r="F147" s="471"/>
      <c r="G147" s="478"/>
      <c r="H147" s="471"/>
      <c r="I147" s="471"/>
      <c r="J147" s="295" t="s">
        <v>366</v>
      </c>
      <c r="K147" s="121" t="s">
        <v>324</v>
      </c>
      <c r="L147" s="478" t="str">
        <f>VLOOKUP(K147,[2]материалы!$A$5:$G$31,5, FALSE)</f>
        <v>м3</v>
      </c>
      <c r="M147" s="471">
        <f>VLOOKUP(K147,[2]материалы!$A$5:$G$34,7, FALSE)</f>
        <v>152.78</v>
      </c>
      <c r="N147" s="471">
        <v>0.15</v>
      </c>
      <c r="O147" s="471">
        <f t="shared" ref="O147:O153" si="96">ROUND(M147*N147,2)</f>
        <v>22.92</v>
      </c>
      <c r="P147" s="471"/>
      <c r="Q147" s="471"/>
      <c r="R147" s="472"/>
      <c r="S147" s="472"/>
      <c r="T147" s="472"/>
      <c r="U147" s="269"/>
      <c r="V147" s="336"/>
      <c r="W147" s="367"/>
      <c r="X147" s="470"/>
      <c r="Y147" s="499"/>
      <c r="Z147" s="487"/>
      <c r="AC147" s="467"/>
      <c r="AD147" s="468"/>
      <c r="AE147" s="284"/>
      <c r="AG147" s="466"/>
      <c r="AH147" s="285"/>
      <c r="AI147" s="285"/>
      <c r="AK147" s="286"/>
      <c r="AM147" s="466"/>
      <c r="AN147" s="337"/>
      <c r="AO147" s="285"/>
      <c r="AQ147" s="288"/>
      <c r="AR147" s="467"/>
      <c r="AT147" s="289"/>
    </row>
    <row r="148" spans="1:49" ht="18.95" customHeight="1" outlineLevel="1" x14ac:dyDescent="0.3">
      <c r="A148" s="477"/>
      <c r="B148" s="477"/>
      <c r="C148" s="475"/>
      <c r="D148" s="484"/>
      <c r="E148" s="484"/>
      <c r="F148" s="471"/>
      <c r="G148" s="478"/>
      <c r="H148" s="471"/>
      <c r="I148" s="471"/>
      <c r="J148" s="471"/>
      <c r="K148" s="121" t="s">
        <v>323</v>
      </c>
      <c r="L148" s="478" t="str">
        <f>VLOOKUP(K148,[2]материалы!$A$5:$G$31,5, FALSE)</f>
        <v>м3</v>
      </c>
      <c r="M148" s="471">
        <f>VLOOKUP(K148,[2]материалы!$A$5:$G$34,7, FALSE)</f>
        <v>486.11</v>
      </c>
      <c r="N148" s="478">
        <v>8.7499999999999994E-2</v>
      </c>
      <c r="O148" s="471">
        <f t="shared" si="96"/>
        <v>42.53</v>
      </c>
      <c r="P148" s="471"/>
      <c r="Q148" s="471"/>
      <c r="R148" s="472"/>
      <c r="S148" s="472"/>
      <c r="T148" s="472"/>
      <c r="U148" s="269"/>
      <c r="V148" s="336"/>
      <c r="W148" s="367"/>
      <c r="X148" s="470"/>
      <c r="Y148" s="499"/>
      <c r="Z148" s="487"/>
      <c r="AC148" s="467"/>
      <c r="AD148" s="468"/>
      <c r="AE148" s="284"/>
      <c r="AG148" s="466"/>
      <c r="AH148" s="285"/>
      <c r="AI148" s="285"/>
      <c r="AK148" s="286"/>
      <c r="AM148" s="466"/>
      <c r="AN148" s="337"/>
      <c r="AO148" s="285"/>
      <c r="AQ148" s="288"/>
      <c r="AR148" s="467"/>
      <c r="AT148" s="289"/>
    </row>
    <row r="149" spans="1:49" ht="41.25" customHeight="1" outlineLevel="1" x14ac:dyDescent="0.3">
      <c r="A149" s="477"/>
      <c r="B149" s="477"/>
      <c r="C149" s="475"/>
      <c r="D149" s="484"/>
      <c r="E149" s="484"/>
      <c r="F149" s="471"/>
      <c r="G149" s="478"/>
      <c r="H149" s="471"/>
      <c r="I149" s="471"/>
      <c r="J149" s="471"/>
      <c r="K149" s="121" t="s">
        <v>341</v>
      </c>
      <c r="L149" s="478" t="str">
        <f>VLOOKUP(K149,[2]материалы!$A$5:$G$31,5, FALSE)</f>
        <v>кг</v>
      </c>
      <c r="M149" s="471">
        <f>VLOOKUP(K149,[2]материалы!$A$5:$G$34,7, FALSE)</f>
        <v>125</v>
      </c>
      <c r="N149" s="471">
        <v>0.1</v>
      </c>
      <c r="O149" s="471">
        <f t="shared" si="96"/>
        <v>12.5</v>
      </c>
      <c r="P149" s="471"/>
      <c r="Q149" s="471"/>
      <c r="R149" s="472"/>
      <c r="S149" s="472"/>
      <c r="T149" s="472"/>
      <c r="U149" s="269"/>
      <c r="V149" s="336"/>
      <c r="W149" s="367"/>
      <c r="X149" s="470"/>
      <c r="Y149" s="499"/>
      <c r="Z149" s="487"/>
      <c r="AC149" s="467"/>
      <c r="AD149" s="468"/>
      <c r="AE149" s="284"/>
      <c r="AG149" s="466"/>
      <c r="AH149" s="285"/>
      <c r="AI149" s="285"/>
      <c r="AK149" s="286"/>
      <c r="AM149" s="466"/>
      <c r="AN149" s="337"/>
      <c r="AO149" s="285"/>
      <c r="AQ149" s="288"/>
      <c r="AR149" s="467"/>
      <c r="AT149" s="289"/>
    </row>
    <row r="150" spans="1:49" ht="29.25" customHeight="1" outlineLevel="1" x14ac:dyDescent="0.3">
      <c r="A150" s="477"/>
      <c r="B150" s="477"/>
      <c r="C150" s="475"/>
      <c r="D150" s="484"/>
      <c r="E150" s="484"/>
      <c r="F150" s="471"/>
      <c r="G150" s="478"/>
      <c r="H150" s="471"/>
      <c r="I150" s="471"/>
      <c r="J150" s="471"/>
      <c r="K150" s="121" t="s">
        <v>342</v>
      </c>
      <c r="L150" s="478" t="str">
        <f>VLOOKUP(K150,[2]материалы!$A$5:$G$31,5, FALSE)</f>
        <v>шт.</v>
      </c>
      <c r="M150" s="471">
        <f>VLOOKUP(K150,[2]материалы!$A$5:$G$34,7, FALSE)</f>
        <v>37.5</v>
      </c>
      <c r="N150" s="471">
        <v>0.25</v>
      </c>
      <c r="O150" s="471">
        <f t="shared" si="96"/>
        <v>9.3800000000000008</v>
      </c>
      <c r="P150" s="471"/>
      <c r="Q150" s="471"/>
      <c r="R150" s="472"/>
      <c r="S150" s="472"/>
      <c r="T150" s="472"/>
      <c r="U150" s="269"/>
      <c r="V150" s="336"/>
      <c r="W150" s="367"/>
      <c r="X150" s="470"/>
      <c r="Y150" s="499"/>
      <c r="Z150" s="487"/>
      <c r="AC150" s="467"/>
      <c r="AD150" s="468"/>
      <c r="AE150" s="284"/>
      <c r="AG150" s="466"/>
      <c r="AH150" s="285"/>
      <c r="AI150" s="285"/>
      <c r="AK150" s="286"/>
      <c r="AM150" s="466"/>
      <c r="AN150" s="337"/>
      <c r="AO150" s="285"/>
      <c r="AQ150" s="288"/>
      <c r="AR150" s="467"/>
      <c r="AT150" s="289"/>
    </row>
    <row r="151" spans="1:49" ht="29.25" customHeight="1" outlineLevel="1" x14ac:dyDescent="0.3">
      <c r="A151" s="477"/>
      <c r="B151" s="477"/>
      <c r="C151" s="475"/>
      <c r="D151" s="484"/>
      <c r="E151" s="484"/>
      <c r="F151" s="471"/>
      <c r="G151" s="478"/>
      <c r="H151" s="471"/>
      <c r="I151" s="471"/>
      <c r="J151" s="471"/>
      <c r="K151" s="121" t="s">
        <v>346</v>
      </c>
      <c r="L151" s="478" t="str">
        <f>VLOOKUP(K151,[2]материалы!$A$5:$G$31,5, FALSE)</f>
        <v>шт.</v>
      </c>
      <c r="M151" s="471">
        <f>VLOOKUP(K151,[2]материалы!$A$5:$G$34,7, FALSE)</f>
        <v>29.17</v>
      </c>
      <c r="N151" s="471">
        <v>1</v>
      </c>
      <c r="O151" s="471">
        <f t="shared" si="96"/>
        <v>29.17</v>
      </c>
      <c r="P151" s="471"/>
      <c r="Q151" s="471"/>
      <c r="R151" s="472"/>
      <c r="S151" s="472"/>
      <c r="T151" s="472"/>
      <c r="U151" s="269"/>
      <c r="V151" s="336"/>
      <c r="W151" s="367"/>
      <c r="X151" s="470"/>
      <c r="Y151" s="499"/>
      <c r="Z151" s="487"/>
      <c r="AC151" s="467"/>
      <c r="AD151" s="468"/>
      <c r="AE151" s="284"/>
      <c r="AG151" s="466"/>
      <c r="AH151" s="285"/>
      <c r="AI151" s="285"/>
      <c r="AK151" s="286"/>
      <c r="AM151" s="466"/>
      <c r="AN151" s="337"/>
      <c r="AO151" s="285"/>
      <c r="AQ151" s="288"/>
      <c r="AR151" s="467"/>
      <c r="AT151" s="289"/>
    </row>
    <row r="152" spans="1:49" ht="18" customHeight="1" outlineLevel="1" x14ac:dyDescent="0.3">
      <c r="A152" s="477"/>
      <c r="B152" s="477"/>
      <c r="C152" s="475"/>
      <c r="D152" s="484"/>
      <c r="E152" s="484"/>
      <c r="F152" s="471"/>
      <c r="G152" s="478"/>
      <c r="H152" s="471"/>
      <c r="I152" s="471"/>
      <c r="J152" s="471"/>
      <c r="K152" s="296" t="s">
        <v>329</v>
      </c>
      <c r="L152" s="478" t="str">
        <f>VLOOKUP(K152,[2]материалы!$A$5:$G$31,5, FALSE)</f>
        <v>кг</v>
      </c>
      <c r="M152" s="471">
        <f>VLOOKUP(K152,[2]материалы!$A$5:$G$34,7, FALSE)</f>
        <v>79.17</v>
      </c>
      <c r="N152" s="471">
        <v>1E-3</v>
      </c>
      <c r="O152" s="471">
        <f t="shared" si="96"/>
        <v>0.08</v>
      </c>
      <c r="P152" s="471"/>
      <c r="Q152" s="471"/>
      <c r="R152" s="472"/>
      <c r="S152" s="472"/>
      <c r="T152" s="472"/>
      <c r="U152" s="269"/>
      <c r="V152" s="336"/>
      <c r="W152" s="367"/>
      <c r="X152" s="470"/>
      <c r="Y152" s="499"/>
      <c r="Z152" s="487"/>
      <c r="AC152" s="467"/>
      <c r="AD152" s="468"/>
      <c r="AE152" s="284"/>
      <c r="AG152" s="466"/>
      <c r="AH152" s="285"/>
      <c r="AI152" s="285"/>
      <c r="AK152" s="286"/>
      <c r="AM152" s="466"/>
      <c r="AN152" s="337"/>
      <c r="AO152" s="285"/>
      <c r="AQ152" s="288"/>
      <c r="AR152" s="467"/>
      <c r="AT152" s="289"/>
    </row>
    <row r="153" spans="1:49" ht="20.25" customHeight="1" outlineLevel="1" x14ac:dyDescent="0.3">
      <c r="A153" s="477"/>
      <c r="B153" s="477"/>
      <c r="C153" s="475"/>
      <c r="D153" s="484"/>
      <c r="E153" s="484"/>
      <c r="F153" s="471"/>
      <c r="G153" s="478"/>
      <c r="H153" s="471"/>
      <c r="I153" s="471"/>
      <c r="J153" s="471"/>
      <c r="K153" s="296" t="s">
        <v>330</v>
      </c>
      <c r="L153" s="478" t="str">
        <f>VLOOKUP(K153,[2]материалы!$A$5:$G$31,5, FALSE)</f>
        <v>кг</v>
      </c>
      <c r="M153" s="471">
        <f>VLOOKUP(K153,[2]материалы!$A$5:$G$34,7, FALSE)</f>
        <v>66.67</v>
      </c>
      <c r="N153" s="471">
        <v>0.01</v>
      </c>
      <c r="O153" s="471">
        <f t="shared" si="96"/>
        <v>0.67</v>
      </c>
      <c r="P153" s="471"/>
      <c r="Q153" s="471"/>
      <c r="R153" s="472"/>
      <c r="S153" s="472"/>
      <c r="T153" s="472"/>
      <c r="U153" s="269"/>
      <c r="V153" s="336"/>
      <c r="W153" s="367"/>
      <c r="X153" s="470"/>
      <c r="Y153" s="499"/>
      <c r="Z153" s="487"/>
      <c r="AC153" s="467"/>
      <c r="AD153" s="468"/>
      <c r="AE153" s="284"/>
      <c r="AG153" s="466"/>
      <c r="AH153" s="285"/>
      <c r="AI153" s="285"/>
      <c r="AK153" s="286"/>
      <c r="AM153" s="466"/>
      <c r="AN153" s="337"/>
      <c r="AO153" s="285"/>
      <c r="AQ153" s="288"/>
      <c r="AR153" s="467"/>
      <c r="AT153" s="289"/>
    </row>
    <row r="154" spans="1:49" ht="51" x14ac:dyDescent="0.3">
      <c r="A154" s="477" t="s">
        <v>431</v>
      </c>
      <c r="B154" s="477" t="s">
        <v>173</v>
      </c>
      <c r="C154" s="475" t="s">
        <v>407</v>
      </c>
      <c r="D154" s="484" t="s">
        <v>30</v>
      </c>
      <c r="E154" s="484" t="s">
        <v>161</v>
      </c>
      <c r="F154" s="471">
        <f>VLOOKUP(E154,'[2]условия, ФОТ'!$A$14:$I$28,9, FALSE)</f>
        <v>206.19</v>
      </c>
      <c r="G154" s="478">
        <v>1.3</v>
      </c>
      <c r="H154" s="471">
        <f t="shared" ref="H154:H258" si="97">ROUND(F154*G154,2)</f>
        <v>268.05</v>
      </c>
      <c r="I154" s="471">
        <f t="shared" si="94"/>
        <v>80.95</v>
      </c>
      <c r="J154" s="471">
        <f t="shared" si="95"/>
        <v>349</v>
      </c>
      <c r="K154" s="479"/>
      <c r="L154" s="471"/>
      <c r="M154" s="471"/>
      <c r="N154" s="471"/>
      <c r="O154" s="471">
        <f>SUM(O155:O157)</f>
        <v>4.3500000000000005</v>
      </c>
      <c r="P154" s="471">
        <f>J154+O154</f>
        <v>353.35</v>
      </c>
      <c r="Q154" s="471">
        <f t="shared" si="10"/>
        <v>234.98</v>
      </c>
      <c r="R154" s="472">
        <f>ROUND(T154/1.2,2)</f>
        <v>633.33000000000004</v>
      </c>
      <c r="S154" s="472">
        <f t="shared" si="11"/>
        <v>126.67</v>
      </c>
      <c r="T154" s="472">
        <f>ROUND((P154+Q154)*(1+Y154)*1.2,0)</f>
        <v>760</v>
      </c>
      <c r="U154" s="269">
        <v>493</v>
      </c>
      <c r="V154" s="336">
        <f t="shared" si="50"/>
        <v>54.158215010141987</v>
      </c>
      <c r="W154" s="498">
        <v>667</v>
      </c>
      <c r="X154" s="470">
        <f>T154/W154*100-100</f>
        <v>13.943028485757125</v>
      </c>
      <c r="Y154" s="499">
        <v>7.7200000000000005E-2</v>
      </c>
      <c r="Z154" s="487" t="e">
        <f>#REF!*Y154</f>
        <v>#REF!</v>
      </c>
      <c r="AB154" s="235">
        <v>526.30600000000004</v>
      </c>
      <c r="AC154" s="467"/>
      <c r="AD154" s="500">
        <f>T154-W154</f>
        <v>93</v>
      </c>
      <c r="AE154" s="284"/>
      <c r="AG154" s="466">
        <v>-0.13669999999999999</v>
      </c>
      <c r="AH154" s="285">
        <f t="shared" si="92"/>
        <v>1.1367</v>
      </c>
      <c r="AI154" s="285">
        <v>1.175</v>
      </c>
      <c r="AK154" s="286">
        <f>ROUND(W154*AI154,2)</f>
        <v>783.73</v>
      </c>
      <c r="AM154" s="466">
        <v>1.034</v>
      </c>
      <c r="AN154" s="337">
        <v>-0.13669999999999999</v>
      </c>
      <c r="AO154" s="285" t="e">
        <f>#REF!-AM154</f>
        <v>#REF!</v>
      </c>
      <c r="AQ154" s="288">
        <f>Y154-AN154</f>
        <v>0.21389999999999998</v>
      </c>
      <c r="AR154" s="467">
        <v>640</v>
      </c>
      <c r="AS154" s="127" t="b">
        <f>W154=AR154</f>
        <v>0</v>
      </c>
      <c r="AT154" s="289" t="e">
        <f>ROUND(W154/T154*100-100,2)+#REF!</f>
        <v>#REF!</v>
      </c>
      <c r="AW154">
        <f>ROUND(T154/W154,3)</f>
        <v>1.139</v>
      </c>
    </row>
    <row r="155" spans="1:49" ht="25.5" outlineLevel="1" x14ac:dyDescent="0.3">
      <c r="A155" s="477"/>
      <c r="B155" s="477"/>
      <c r="C155" s="475"/>
      <c r="D155" s="484"/>
      <c r="E155" s="484"/>
      <c r="F155" s="471"/>
      <c r="G155" s="478"/>
      <c r="H155" s="471"/>
      <c r="I155" s="471"/>
      <c r="J155" s="295" t="s">
        <v>366</v>
      </c>
      <c r="K155" s="121" t="s">
        <v>335</v>
      </c>
      <c r="L155" s="478" t="str">
        <f>VLOOKUP(K155,[2]материалы!$A$5:$G$31,5, FALSE)</f>
        <v>кг</v>
      </c>
      <c r="M155" s="471">
        <f>VLOOKUP(K155,[2]материалы!$A$5:$G$34,7, FALSE)</f>
        <v>720.83</v>
      </c>
      <c r="N155" s="471">
        <v>5.0000000000000001E-3</v>
      </c>
      <c r="O155" s="471">
        <f t="shared" ref="O155:O157" si="98">ROUND(M155*N155,2)</f>
        <v>3.6</v>
      </c>
      <c r="P155" s="471"/>
      <c r="Q155" s="471"/>
      <c r="R155" s="472"/>
      <c r="S155" s="472"/>
      <c r="T155" s="472"/>
      <c r="U155" s="269"/>
      <c r="V155" s="336"/>
      <c r="W155" s="498"/>
      <c r="X155" s="470"/>
      <c r="Y155" s="499"/>
      <c r="Z155" s="487"/>
      <c r="AC155" s="467"/>
      <c r="AD155" s="468"/>
      <c r="AE155" s="284"/>
      <c r="AG155" s="466"/>
      <c r="AH155" s="285"/>
      <c r="AI155" s="285"/>
      <c r="AK155" s="286"/>
      <c r="AM155" s="466"/>
      <c r="AN155" s="337"/>
      <c r="AO155" s="285"/>
      <c r="AQ155" s="288"/>
      <c r="AR155" s="467"/>
      <c r="AT155" s="289"/>
    </row>
    <row r="156" spans="1:49" outlineLevel="1" x14ac:dyDescent="0.3">
      <c r="A156" s="477"/>
      <c r="B156" s="477"/>
      <c r="C156" s="475"/>
      <c r="D156" s="484"/>
      <c r="E156" s="484"/>
      <c r="F156" s="471"/>
      <c r="G156" s="478"/>
      <c r="H156" s="471"/>
      <c r="I156" s="471"/>
      <c r="J156" s="471"/>
      <c r="K156" s="296" t="s">
        <v>329</v>
      </c>
      <c r="L156" s="478" t="str">
        <f>VLOOKUP(K156,[2]материалы!$A$5:$G$31,5, FALSE)</f>
        <v>кг</v>
      </c>
      <c r="M156" s="471">
        <f>VLOOKUP(K156,[2]материалы!$A$5:$G$34,7, FALSE)</f>
        <v>79.17</v>
      </c>
      <c r="N156" s="471">
        <v>1E-3</v>
      </c>
      <c r="O156" s="471">
        <f t="shared" si="98"/>
        <v>0.08</v>
      </c>
      <c r="P156" s="471"/>
      <c r="Q156" s="471"/>
      <c r="R156" s="472"/>
      <c r="S156" s="472"/>
      <c r="T156" s="472"/>
      <c r="U156" s="269"/>
      <c r="V156" s="336"/>
      <c r="W156" s="498"/>
      <c r="X156" s="470"/>
      <c r="Y156" s="499"/>
      <c r="Z156" s="487"/>
      <c r="AC156" s="467"/>
      <c r="AD156" s="468"/>
      <c r="AE156" s="284"/>
      <c r="AG156" s="466"/>
      <c r="AH156" s="285"/>
      <c r="AI156" s="285"/>
      <c r="AK156" s="286"/>
      <c r="AM156" s="466"/>
      <c r="AN156" s="337"/>
      <c r="AO156" s="285"/>
      <c r="AQ156" s="288"/>
      <c r="AR156" s="467"/>
      <c r="AT156" s="289"/>
    </row>
    <row r="157" spans="1:49" outlineLevel="1" x14ac:dyDescent="0.3">
      <c r="A157" s="477"/>
      <c r="B157" s="477"/>
      <c r="C157" s="475"/>
      <c r="D157" s="484"/>
      <c r="E157" s="484"/>
      <c r="F157" s="471"/>
      <c r="G157" s="478"/>
      <c r="H157" s="471"/>
      <c r="I157" s="471"/>
      <c r="J157" s="471"/>
      <c r="K157" s="296" t="s">
        <v>330</v>
      </c>
      <c r="L157" s="478" t="str">
        <f>VLOOKUP(K157,[2]материалы!$A$5:$G$31,5, FALSE)</f>
        <v>кг</v>
      </c>
      <c r="M157" s="471">
        <f>VLOOKUP(K157,[2]материалы!$A$5:$G$34,7, FALSE)</f>
        <v>66.67</v>
      </c>
      <c r="N157" s="471">
        <v>0.01</v>
      </c>
      <c r="O157" s="471">
        <f t="shared" si="98"/>
        <v>0.67</v>
      </c>
      <c r="P157" s="471"/>
      <c r="Q157" s="471"/>
      <c r="R157" s="472"/>
      <c r="S157" s="472"/>
      <c r="T157" s="472"/>
      <c r="U157" s="269"/>
      <c r="V157" s="336"/>
      <c r="W157" s="498"/>
      <c r="X157" s="470"/>
      <c r="Y157" s="499"/>
      <c r="Z157" s="487"/>
      <c r="AC157" s="467"/>
      <c r="AD157" s="468"/>
      <c r="AE157" s="284"/>
      <c r="AG157" s="466"/>
      <c r="AH157" s="285"/>
      <c r="AI157" s="285"/>
      <c r="AK157" s="286"/>
      <c r="AM157" s="466"/>
      <c r="AN157" s="337"/>
      <c r="AO157" s="285"/>
      <c r="AQ157" s="288"/>
      <c r="AR157" s="467"/>
      <c r="AT157" s="289"/>
    </row>
    <row r="158" spans="1:49" ht="45.95" customHeight="1" x14ac:dyDescent="0.3">
      <c r="A158" s="477" t="s">
        <v>432</v>
      </c>
      <c r="B158" s="477" t="s">
        <v>27</v>
      </c>
      <c r="C158" s="475" t="s">
        <v>408</v>
      </c>
      <c r="D158" s="484" t="s">
        <v>30</v>
      </c>
      <c r="E158" s="484" t="s">
        <v>161</v>
      </c>
      <c r="F158" s="471">
        <f>VLOOKUP(E158,'[2]условия, ФОТ'!$A$14:$I$28,9, FALSE)</f>
        <v>206.19</v>
      </c>
      <c r="G158" s="478">
        <v>1.4</v>
      </c>
      <c r="H158" s="471">
        <f t="shared" si="97"/>
        <v>288.67</v>
      </c>
      <c r="I158" s="471">
        <f t="shared" si="94"/>
        <v>87.18</v>
      </c>
      <c r="J158" s="471">
        <f t="shared" si="95"/>
        <v>375.85</v>
      </c>
      <c r="K158" s="479"/>
      <c r="L158" s="471"/>
      <c r="M158" s="471"/>
      <c r="N158" s="471"/>
      <c r="O158" s="471">
        <f>SUM(O159:O161)</f>
        <v>4.3500000000000005</v>
      </c>
      <c r="P158" s="471">
        <f t="shared" ref="P158:P258" si="99">J158+O158</f>
        <v>380.20000000000005</v>
      </c>
      <c r="Q158" s="471">
        <f t="shared" si="10"/>
        <v>252.83</v>
      </c>
      <c r="R158" s="472">
        <f>ROUND(T158/1.2,2)</f>
        <v>682.5</v>
      </c>
      <c r="S158" s="472">
        <f t="shared" si="11"/>
        <v>136.5</v>
      </c>
      <c r="T158" s="472">
        <f>ROUND((P158+Q158)*(1+Y158)*1.2,0)</f>
        <v>819</v>
      </c>
      <c r="U158" s="269">
        <v>531</v>
      </c>
      <c r="V158" s="336">
        <f t="shared" si="50"/>
        <v>54.237288135593218</v>
      </c>
      <c r="W158" s="498">
        <v>718</v>
      </c>
      <c r="X158" s="470">
        <f>T158/W158*100-100</f>
        <v>14.066852367688028</v>
      </c>
      <c r="Y158" s="499">
        <v>7.7899999999999997E-2</v>
      </c>
      <c r="Z158" s="487" t="e">
        <f>#REF!*Y158</f>
        <v>#REF!</v>
      </c>
      <c r="AB158" s="235">
        <v>565.59800000000007</v>
      </c>
      <c r="AC158" s="467"/>
      <c r="AD158" s="500">
        <f>T158-W158</f>
        <v>101</v>
      </c>
      <c r="AE158" s="284"/>
      <c r="AG158" s="466">
        <v>-0.13769999999999999</v>
      </c>
      <c r="AH158" s="285">
        <f t="shared" si="92"/>
        <v>1.1376999999999999</v>
      </c>
      <c r="AI158" s="285">
        <v>1.1759999999999999</v>
      </c>
      <c r="AK158" s="286">
        <f>ROUND(W158*AI158,2)</f>
        <v>844.37</v>
      </c>
      <c r="AM158" s="466">
        <v>1.034</v>
      </c>
      <c r="AN158" s="337">
        <v>-0.13769999999999999</v>
      </c>
      <c r="AO158" s="285" t="e">
        <f>#REF!-AM158</f>
        <v>#REF!</v>
      </c>
      <c r="AQ158" s="288">
        <f>Y158-AN158</f>
        <v>0.21559999999999999</v>
      </c>
      <c r="AR158" s="467">
        <v>689</v>
      </c>
      <c r="AS158" s="127" t="b">
        <f>W158=AR158</f>
        <v>0</v>
      </c>
      <c r="AT158" s="289" t="e">
        <f>ROUND(W158/T158*100-100,2)+#REF!</f>
        <v>#REF!</v>
      </c>
      <c r="AW158">
        <f>ROUND(T158/W158,3)</f>
        <v>1.141</v>
      </c>
    </row>
    <row r="159" spans="1:49" ht="25.5" outlineLevel="1" x14ac:dyDescent="0.3">
      <c r="A159" s="477"/>
      <c r="B159" s="477"/>
      <c r="C159" s="475"/>
      <c r="D159" s="484"/>
      <c r="E159" s="484"/>
      <c r="F159" s="471"/>
      <c r="G159" s="478"/>
      <c r="H159" s="471"/>
      <c r="I159" s="471"/>
      <c r="J159" s="295" t="s">
        <v>366</v>
      </c>
      <c r="K159" s="121" t="s">
        <v>335</v>
      </c>
      <c r="L159" s="478" t="str">
        <f>VLOOKUP(K159,[2]материалы!$A$5:$G$31,5, FALSE)</f>
        <v>кг</v>
      </c>
      <c r="M159" s="471">
        <f>VLOOKUP(K159,[2]материалы!$A$5:$G$34,7, FALSE)</f>
        <v>720.83</v>
      </c>
      <c r="N159" s="471">
        <v>5.0000000000000001E-3</v>
      </c>
      <c r="O159" s="471">
        <f t="shared" ref="O159:O165" si="100">ROUND(M159*N159,2)</f>
        <v>3.6</v>
      </c>
      <c r="P159" s="471"/>
      <c r="Q159" s="471"/>
      <c r="R159" s="472"/>
      <c r="S159" s="472"/>
      <c r="T159" s="472"/>
      <c r="U159" s="269"/>
      <c r="V159" s="336"/>
      <c r="W159" s="498"/>
      <c r="X159" s="470"/>
      <c r="Y159" s="499"/>
      <c r="Z159" s="487"/>
      <c r="AC159" s="467"/>
      <c r="AD159" s="468"/>
      <c r="AE159" s="284"/>
      <c r="AG159" s="466"/>
      <c r="AH159" s="285"/>
      <c r="AI159" s="285"/>
      <c r="AK159" s="286"/>
      <c r="AM159" s="466"/>
      <c r="AN159" s="337"/>
      <c r="AO159" s="285"/>
      <c r="AQ159" s="288"/>
      <c r="AR159" s="467"/>
      <c r="AT159" s="289"/>
    </row>
    <row r="160" spans="1:49" outlineLevel="1" x14ac:dyDescent="0.3">
      <c r="A160" s="477"/>
      <c r="B160" s="477"/>
      <c r="C160" s="475"/>
      <c r="D160" s="484"/>
      <c r="E160" s="484"/>
      <c r="F160" s="471"/>
      <c r="G160" s="478"/>
      <c r="H160" s="471"/>
      <c r="I160" s="471"/>
      <c r="J160" s="471"/>
      <c r="K160" s="296" t="s">
        <v>329</v>
      </c>
      <c r="L160" s="478" t="str">
        <f>VLOOKUP(K160,[2]материалы!$A$5:$G$31,5, FALSE)</f>
        <v>кг</v>
      </c>
      <c r="M160" s="471">
        <f>VLOOKUP(K160,[2]материалы!$A$5:$G$34,7, FALSE)</f>
        <v>79.17</v>
      </c>
      <c r="N160" s="471">
        <v>1E-3</v>
      </c>
      <c r="O160" s="471">
        <f t="shared" si="100"/>
        <v>0.08</v>
      </c>
      <c r="P160" s="471"/>
      <c r="Q160" s="471"/>
      <c r="R160" s="472"/>
      <c r="S160" s="472"/>
      <c r="T160" s="472"/>
      <c r="U160" s="269"/>
      <c r="V160" s="336"/>
      <c r="W160" s="498"/>
      <c r="X160" s="470"/>
      <c r="Y160" s="499"/>
      <c r="Z160" s="487"/>
      <c r="AC160" s="467"/>
      <c r="AD160" s="468"/>
      <c r="AE160" s="284"/>
      <c r="AG160" s="466"/>
      <c r="AH160" s="285"/>
      <c r="AI160" s="285"/>
      <c r="AK160" s="286"/>
      <c r="AM160" s="466"/>
      <c r="AN160" s="337"/>
      <c r="AO160" s="285"/>
      <c r="AQ160" s="288"/>
      <c r="AR160" s="467"/>
      <c r="AT160" s="289"/>
    </row>
    <row r="161" spans="1:49" outlineLevel="1" x14ac:dyDescent="0.3">
      <c r="A161" s="477"/>
      <c r="B161" s="477"/>
      <c r="C161" s="475"/>
      <c r="D161" s="484"/>
      <c r="E161" s="484"/>
      <c r="F161" s="471"/>
      <c r="G161" s="478"/>
      <c r="H161" s="471"/>
      <c r="I161" s="471"/>
      <c r="J161" s="471"/>
      <c r="K161" s="296" t="s">
        <v>330</v>
      </c>
      <c r="L161" s="478" t="str">
        <f>VLOOKUP(K161,[2]материалы!$A$5:$G$31,5, FALSE)</f>
        <v>кг</v>
      </c>
      <c r="M161" s="471">
        <f>VLOOKUP(K161,[2]материалы!$A$5:$G$34,7, FALSE)</f>
        <v>66.67</v>
      </c>
      <c r="N161" s="471">
        <v>0.01</v>
      </c>
      <c r="O161" s="471">
        <f t="shared" si="100"/>
        <v>0.67</v>
      </c>
      <c r="P161" s="471"/>
      <c r="Q161" s="471"/>
      <c r="R161" s="472"/>
      <c r="S161" s="472"/>
      <c r="T161" s="472"/>
      <c r="U161" s="269"/>
      <c r="V161" s="336"/>
      <c r="W161" s="498"/>
      <c r="X161" s="470"/>
      <c r="Y161" s="499"/>
      <c r="Z161" s="487"/>
      <c r="AC161" s="467"/>
      <c r="AD161" s="468"/>
      <c r="AE161" s="284"/>
      <c r="AG161" s="466"/>
      <c r="AH161" s="285"/>
      <c r="AI161" s="285"/>
      <c r="AK161" s="286"/>
      <c r="AM161" s="466"/>
      <c r="AN161" s="337"/>
      <c r="AO161" s="285"/>
      <c r="AQ161" s="288"/>
      <c r="AR161" s="467"/>
      <c r="AT161" s="289"/>
    </row>
    <row r="162" spans="1:49" ht="39.75" customHeight="1" x14ac:dyDescent="0.3">
      <c r="A162" s="477" t="s">
        <v>433</v>
      </c>
      <c r="B162" s="477" t="s">
        <v>27</v>
      </c>
      <c r="C162" s="475" t="s">
        <v>409</v>
      </c>
      <c r="D162" s="484" t="s">
        <v>30</v>
      </c>
      <c r="E162" s="484" t="s">
        <v>161</v>
      </c>
      <c r="F162" s="471">
        <f>VLOOKUP(E162,'[2]условия, ФОТ'!$A$14:$I$28,9, FALSE)</f>
        <v>206.19</v>
      </c>
      <c r="G162" s="478">
        <v>0.9</v>
      </c>
      <c r="H162" s="471">
        <f t="shared" si="97"/>
        <v>185.57</v>
      </c>
      <c r="I162" s="471">
        <f t="shared" si="94"/>
        <v>56.04</v>
      </c>
      <c r="J162" s="471">
        <f t="shared" si="95"/>
        <v>241.60999999999999</v>
      </c>
      <c r="K162" s="479"/>
      <c r="L162" s="471"/>
      <c r="M162" s="471"/>
      <c r="N162" s="471"/>
      <c r="O162" s="471">
        <f>SUM(O163:O165)</f>
        <v>4.3500000000000005</v>
      </c>
      <c r="P162" s="471">
        <f>J162+O162</f>
        <v>245.95999999999998</v>
      </c>
      <c r="Q162" s="471">
        <f t="shared" si="10"/>
        <v>163.56</v>
      </c>
      <c r="R162" s="472">
        <f>ROUND(T162/1.2,2)</f>
        <v>441.67</v>
      </c>
      <c r="S162" s="472">
        <f t="shared" si="11"/>
        <v>88.33</v>
      </c>
      <c r="T162" s="472">
        <f>ROUND((P162+Q162)*(1+Y162)*1.2,0)</f>
        <v>530</v>
      </c>
      <c r="U162" s="269">
        <v>345</v>
      </c>
      <c r="V162" s="336">
        <f t="shared" si="50"/>
        <v>53.623188405797094</v>
      </c>
      <c r="W162" s="498">
        <v>465</v>
      </c>
      <c r="X162" s="470">
        <f>T162/W162*100-100</f>
        <v>13.978494623655919</v>
      </c>
      <c r="Y162" s="499">
        <v>7.7499999999999999E-2</v>
      </c>
      <c r="Z162" s="487" t="e">
        <f>#REF!*Y162</f>
        <v>#REF!</v>
      </c>
      <c r="AB162" s="235">
        <v>368.10399999999998</v>
      </c>
      <c r="AC162" s="467"/>
      <c r="AD162" s="500">
        <f>T162-W162</f>
        <v>65</v>
      </c>
      <c r="AE162" s="284"/>
      <c r="AG162" s="466">
        <v>-0.1333</v>
      </c>
      <c r="AH162" s="285">
        <f t="shared" si="92"/>
        <v>1.1333</v>
      </c>
      <c r="AI162" s="285">
        <v>1.1719999999999999</v>
      </c>
      <c r="AK162" s="286">
        <f>ROUND(W162*AI162,2)</f>
        <v>544.98</v>
      </c>
      <c r="AM162" s="466">
        <v>1.034</v>
      </c>
      <c r="AN162" s="337">
        <v>-0.1333</v>
      </c>
      <c r="AO162" s="285" t="e">
        <f>#REF!-AM162</f>
        <v>#REF!</v>
      </c>
      <c r="AQ162" s="288">
        <f>Y162-AN162</f>
        <v>0.21079999999999999</v>
      </c>
      <c r="AR162" s="467">
        <v>446</v>
      </c>
      <c r="AS162" s="127" t="b">
        <f>W162=AR162</f>
        <v>0</v>
      </c>
      <c r="AT162" s="289" t="e">
        <f>ROUND(W162/T162*100-100,2)+#REF!</f>
        <v>#REF!</v>
      </c>
      <c r="AW162">
        <f>ROUND(T162/W162,3)</f>
        <v>1.1399999999999999</v>
      </c>
    </row>
    <row r="163" spans="1:49" ht="25.5" outlineLevel="1" x14ac:dyDescent="0.3">
      <c r="A163" s="477"/>
      <c r="B163" s="477"/>
      <c r="C163" s="475"/>
      <c r="D163" s="484"/>
      <c r="E163" s="484"/>
      <c r="F163" s="471"/>
      <c r="G163" s="478"/>
      <c r="H163" s="471"/>
      <c r="I163" s="471"/>
      <c r="J163" s="295" t="s">
        <v>366</v>
      </c>
      <c r="K163" s="121" t="s">
        <v>335</v>
      </c>
      <c r="L163" s="478" t="str">
        <f>VLOOKUP(K163,[2]материалы!$A$5:$G$31,5, FALSE)</f>
        <v>кг</v>
      </c>
      <c r="M163" s="471">
        <f>VLOOKUP(K163,[2]материалы!$A$5:$G$34,7, FALSE)</f>
        <v>720.83</v>
      </c>
      <c r="N163" s="471">
        <v>5.0000000000000001E-3</v>
      </c>
      <c r="O163" s="471">
        <f t="shared" si="100"/>
        <v>3.6</v>
      </c>
      <c r="P163" s="471"/>
      <c r="Q163" s="471"/>
      <c r="R163" s="472"/>
      <c r="S163" s="472"/>
      <c r="T163" s="472"/>
      <c r="U163" s="269"/>
      <c r="V163" s="336"/>
      <c r="W163" s="498"/>
      <c r="X163" s="470"/>
      <c r="Y163" s="499"/>
      <c r="Z163" s="487"/>
      <c r="AC163" s="467"/>
      <c r="AD163" s="468"/>
      <c r="AE163" s="284"/>
      <c r="AG163" s="466"/>
      <c r="AH163" s="285"/>
      <c r="AI163" s="285"/>
      <c r="AK163" s="286"/>
      <c r="AM163" s="466"/>
      <c r="AN163" s="337"/>
      <c r="AO163" s="285"/>
      <c r="AQ163" s="288"/>
      <c r="AR163" s="467"/>
      <c r="AT163" s="289"/>
    </row>
    <row r="164" spans="1:49" outlineLevel="1" x14ac:dyDescent="0.3">
      <c r="A164" s="477"/>
      <c r="B164" s="477"/>
      <c r="C164" s="475"/>
      <c r="D164" s="484"/>
      <c r="E164" s="484"/>
      <c r="F164" s="471"/>
      <c r="G164" s="478"/>
      <c r="H164" s="471"/>
      <c r="I164" s="471"/>
      <c r="J164" s="471"/>
      <c r="K164" s="296" t="s">
        <v>329</v>
      </c>
      <c r="L164" s="478" t="str">
        <f>VLOOKUP(K164,[2]материалы!$A$5:$G$31,5, FALSE)</f>
        <v>кг</v>
      </c>
      <c r="M164" s="471">
        <f>VLOOKUP(K164,[2]материалы!$A$5:$G$34,7, FALSE)</f>
        <v>79.17</v>
      </c>
      <c r="N164" s="471">
        <v>1E-3</v>
      </c>
      <c r="O164" s="471">
        <f t="shared" si="100"/>
        <v>0.08</v>
      </c>
      <c r="P164" s="471"/>
      <c r="Q164" s="471"/>
      <c r="R164" s="472"/>
      <c r="S164" s="472"/>
      <c r="T164" s="472"/>
      <c r="U164" s="269"/>
      <c r="V164" s="336"/>
      <c r="W164" s="498"/>
      <c r="X164" s="470"/>
      <c r="Y164" s="499"/>
      <c r="Z164" s="487"/>
      <c r="AC164" s="467"/>
      <c r="AD164" s="468"/>
      <c r="AE164" s="284"/>
      <c r="AG164" s="466"/>
      <c r="AH164" s="285"/>
      <c r="AI164" s="285"/>
      <c r="AK164" s="286"/>
      <c r="AM164" s="466"/>
      <c r="AN164" s="337"/>
      <c r="AO164" s="285"/>
      <c r="AQ164" s="288"/>
      <c r="AR164" s="467"/>
      <c r="AT164" s="289"/>
    </row>
    <row r="165" spans="1:49" outlineLevel="1" x14ac:dyDescent="0.3">
      <c r="A165" s="477"/>
      <c r="B165" s="477"/>
      <c r="C165" s="475"/>
      <c r="D165" s="484"/>
      <c r="E165" s="484"/>
      <c r="F165" s="471"/>
      <c r="G165" s="478"/>
      <c r="H165" s="471"/>
      <c r="I165" s="471"/>
      <c r="J165" s="471"/>
      <c r="K165" s="296" t="s">
        <v>330</v>
      </c>
      <c r="L165" s="478" t="str">
        <f>VLOOKUP(K165,[2]материалы!$A$5:$G$31,5, FALSE)</f>
        <v>кг</v>
      </c>
      <c r="M165" s="471">
        <f>VLOOKUP(K165,[2]материалы!$A$5:$G$34,7, FALSE)</f>
        <v>66.67</v>
      </c>
      <c r="N165" s="471">
        <v>0.01</v>
      </c>
      <c r="O165" s="471">
        <f t="shared" si="100"/>
        <v>0.67</v>
      </c>
      <c r="P165" s="471"/>
      <c r="Q165" s="471"/>
      <c r="R165" s="472"/>
      <c r="S165" s="472"/>
      <c r="T165" s="472"/>
      <c r="U165" s="269"/>
      <c r="V165" s="336"/>
      <c r="W165" s="498"/>
      <c r="X165" s="470"/>
      <c r="Y165" s="499"/>
      <c r="Z165" s="487"/>
      <c r="AC165" s="467"/>
      <c r="AD165" s="468"/>
      <c r="AE165" s="284"/>
      <c r="AG165" s="466"/>
      <c r="AH165" s="285"/>
      <c r="AI165" s="285"/>
      <c r="AK165" s="286"/>
      <c r="AM165" s="466"/>
      <c r="AN165" s="337"/>
      <c r="AO165" s="285"/>
      <c r="AQ165" s="288"/>
      <c r="AR165" s="467"/>
      <c r="AT165" s="289"/>
    </row>
    <row r="166" spans="1:49" s="377" customFormat="1" x14ac:dyDescent="0.3">
      <c r="A166" s="477" t="s">
        <v>434</v>
      </c>
      <c r="B166" s="477" t="s">
        <v>174</v>
      </c>
      <c r="C166" s="475" t="s">
        <v>32</v>
      </c>
      <c r="D166" s="471" t="s">
        <v>175</v>
      </c>
      <c r="E166" s="484" t="s">
        <v>161</v>
      </c>
      <c r="F166" s="471">
        <f>VLOOKUP(E166,'[2]условия, ФОТ'!$A$14:$I$28,9, FALSE)</f>
        <v>206.19</v>
      </c>
      <c r="G166" s="478">
        <v>0.28999999999999998</v>
      </c>
      <c r="H166" s="471">
        <f t="shared" si="97"/>
        <v>59.8</v>
      </c>
      <c r="I166" s="471">
        <f t="shared" si="94"/>
        <v>18.059999999999999</v>
      </c>
      <c r="J166" s="471">
        <f t="shared" si="95"/>
        <v>77.86</v>
      </c>
      <c r="K166" s="479"/>
      <c r="L166" s="471"/>
      <c r="M166" s="471"/>
      <c r="N166" s="471"/>
      <c r="O166" s="471"/>
      <c r="P166" s="471">
        <f t="shared" si="99"/>
        <v>77.86</v>
      </c>
      <c r="Q166" s="471">
        <f t="shared" si="10"/>
        <v>51.78</v>
      </c>
      <c r="R166" s="472">
        <f>ROUND(T166/1.2,2)</f>
        <v>140</v>
      </c>
      <c r="S166" s="472">
        <f>ROUND(R166*$S$5,2)</f>
        <v>28</v>
      </c>
      <c r="T166" s="472">
        <f t="shared" ref="T166:T185" si="101">ROUND((P166+Q166)*(1+Y166)*1.2,0)</f>
        <v>168</v>
      </c>
      <c r="U166" s="472">
        <v>108</v>
      </c>
      <c r="V166" s="368">
        <f t="shared" si="50"/>
        <v>55.555555555555571</v>
      </c>
      <c r="W166" s="505">
        <v>147</v>
      </c>
      <c r="X166" s="370">
        <f t="shared" ref="X166:X185" si="102">T166/W166*100-100</f>
        <v>14.285714285714278</v>
      </c>
      <c r="Y166" s="499">
        <v>7.8799999999999995E-2</v>
      </c>
      <c r="Z166" s="374" t="e">
        <f>#REF!*Y166</f>
        <v>#REF!</v>
      </c>
      <c r="AA166" s="375"/>
      <c r="AB166" s="376">
        <v>114.774</v>
      </c>
      <c r="AC166" s="280"/>
      <c r="AD166" s="500">
        <f t="shared" ref="AD166:AD185" si="103">T166-W166</f>
        <v>21</v>
      </c>
      <c r="AE166" s="284"/>
      <c r="AG166" s="378">
        <v>-0.14410000000000001</v>
      </c>
      <c r="AH166" s="285">
        <f t="shared" si="92"/>
        <v>1.1440999999999999</v>
      </c>
      <c r="AI166" s="285">
        <v>1.1830000000000001</v>
      </c>
      <c r="AK166" s="286">
        <f t="shared" ref="AK166:AK185" si="104">ROUND(W166*AI166,2)</f>
        <v>173.9</v>
      </c>
      <c r="AL166" s="379"/>
      <c r="AM166" s="378">
        <v>1.034</v>
      </c>
      <c r="AN166" s="380">
        <v>-0.14410000000000001</v>
      </c>
      <c r="AO166" s="285" t="e">
        <f>#REF!-AM166</f>
        <v>#REF!</v>
      </c>
      <c r="AQ166" s="288">
        <f t="shared" ref="AQ166:AQ185" si="105">Y166-AN166</f>
        <v>0.22289999999999999</v>
      </c>
      <c r="AR166" s="280">
        <v>141</v>
      </c>
      <c r="AS166" s="127" t="b">
        <f t="shared" ref="AS166:AS185" si="106">W166=AR166</f>
        <v>0</v>
      </c>
      <c r="AT166" s="289" t="e">
        <f>ROUND(W166/T166*100-100,2)+#REF!</f>
        <v>#REF!</v>
      </c>
      <c r="AU166"/>
      <c r="AV166"/>
      <c r="AW166">
        <f t="shared" ref="AW166:AW185" si="107">ROUND(T166/W166,3)</f>
        <v>1.143</v>
      </c>
    </row>
    <row r="167" spans="1:49" x14ac:dyDescent="0.3">
      <c r="A167" s="477" t="s">
        <v>436</v>
      </c>
      <c r="B167" s="477" t="s">
        <v>176</v>
      </c>
      <c r="C167" s="475" t="s">
        <v>33</v>
      </c>
      <c r="D167" s="471" t="s">
        <v>177</v>
      </c>
      <c r="E167" s="484" t="s">
        <v>161</v>
      </c>
      <c r="F167" s="471">
        <f>VLOOKUP(E167,'[2]условия, ФОТ'!$A$14:$I$28,9, FALSE)</f>
        <v>206.19</v>
      </c>
      <c r="G167" s="478">
        <v>0.28999999999999998</v>
      </c>
      <c r="H167" s="471">
        <f t="shared" si="97"/>
        <v>59.8</v>
      </c>
      <c r="I167" s="471">
        <f t="shared" si="94"/>
        <v>18.059999999999999</v>
      </c>
      <c r="J167" s="471">
        <f t="shared" si="95"/>
        <v>77.86</v>
      </c>
      <c r="K167" s="479"/>
      <c r="L167" s="471"/>
      <c r="M167" s="471"/>
      <c r="N167" s="471"/>
      <c r="O167" s="471"/>
      <c r="P167" s="471">
        <f t="shared" si="99"/>
        <v>77.86</v>
      </c>
      <c r="Q167" s="471">
        <f t="shared" si="10"/>
        <v>51.78</v>
      </c>
      <c r="R167" s="472">
        <f t="shared" ref="R167:R185" si="108">ROUND(T167/1.2,2)</f>
        <v>140</v>
      </c>
      <c r="S167" s="472">
        <f>ROUND(R167*$S$5,2)</f>
        <v>28</v>
      </c>
      <c r="T167" s="472">
        <f t="shared" si="101"/>
        <v>168</v>
      </c>
      <c r="U167" s="269">
        <v>108</v>
      </c>
      <c r="V167" s="336">
        <f t="shared" si="50"/>
        <v>55.555555555555571</v>
      </c>
      <c r="W167" s="498">
        <v>147</v>
      </c>
      <c r="X167" s="470">
        <f t="shared" si="102"/>
        <v>14.285714285714278</v>
      </c>
      <c r="Y167" s="499">
        <v>7.8799999999999995E-2</v>
      </c>
      <c r="Z167" s="487" t="e">
        <f>#REF!*Y167</f>
        <v>#REF!</v>
      </c>
      <c r="AB167" s="235">
        <v>114.774</v>
      </c>
      <c r="AC167" s="467"/>
      <c r="AD167" s="500">
        <f t="shared" si="103"/>
        <v>21</v>
      </c>
      <c r="AE167" s="284"/>
      <c r="AG167" s="466">
        <v>-0.14410000000000001</v>
      </c>
      <c r="AH167" s="285">
        <f t="shared" si="92"/>
        <v>1.1440999999999999</v>
      </c>
      <c r="AI167" s="285">
        <v>1.1830000000000001</v>
      </c>
      <c r="AK167" s="286">
        <f t="shared" si="104"/>
        <v>173.9</v>
      </c>
      <c r="AM167" s="466">
        <v>1.034</v>
      </c>
      <c r="AN167" s="337">
        <v>-0.14410000000000001</v>
      </c>
      <c r="AO167" s="285" t="e">
        <f>#REF!-AM167</f>
        <v>#REF!</v>
      </c>
      <c r="AQ167" s="288">
        <f t="shared" si="105"/>
        <v>0.22289999999999999</v>
      </c>
      <c r="AR167" s="467">
        <v>141</v>
      </c>
      <c r="AS167" s="127" t="b">
        <f t="shared" si="106"/>
        <v>0</v>
      </c>
      <c r="AT167" s="289" t="e">
        <f>ROUND(W167/T167*100-100,2)+#REF!</f>
        <v>#REF!</v>
      </c>
      <c r="AW167">
        <f t="shared" si="107"/>
        <v>1.143</v>
      </c>
    </row>
    <row r="168" spans="1:49" x14ac:dyDescent="0.3">
      <c r="A168" s="477" t="s">
        <v>437</v>
      </c>
      <c r="B168" s="477" t="s">
        <v>178</v>
      </c>
      <c r="C168" s="475" t="s">
        <v>34</v>
      </c>
      <c r="D168" s="471" t="s">
        <v>177</v>
      </c>
      <c r="E168" s="484" t="s">
        <v>161</v>
      </c>
      <c r="F168" s="471">
        <f>VLOOKUP(E168,'[2]условия, ФОТ'!$A$14:$I$28,9, FALSE)</f>
        <v>206.19</v>
      </c>
      <c r="G168" s="478">
        <v>0.36</v>
      </c>
      <c r="H168" s="471">
        <f t="shared" si="97"/>
        <v>74.23</v>
      </c>
      <c r="I168" s="471">
        <f t="shared" si="94"/>
        <v>22.42</v>
      </c>
      <c r="J168" s="471">
        <f t="shared" si="95"/>
        <v>96.65</v>
      </c>
      <c r="K168" s="479"/>
      <c r="L168" s="471"/>
      <c r="M168" s="471"/>
      <c r="N168" s="471"/>
      <c r="O168" s="471"/>
      <c r="P168" s="471">
        <f t="shared" si="99"/>
        <v>96.65</v>
      </c>
      <c r="Q168" s="471">
        <f t="shared" si="10"/>
        <v>64.27</v>
      </c>
      <c r="R168" s="472">
        <f t="shared" si="108"/>
        <v>173.33</v>
      </c>
      <c r="S168" s="472">
        <f>ROUND(R168*$S$5,2)</f>
        <v>34.67</v>
      </c>
      <c r="T168" s="472">
        <f t="shared" si="101"/>
        <v>208</v>
      </c>
      <c r="U168" s="269">
        <v>134</v>
      </c>
      <c r="V168" s="336">
        <f t="shared" si="50"/>
        <v>55.223880597014926</v>
      </c>
      <c r="W168" s="498">
        <v>182</v>
      </c>
      <c r="X168" s="470">
        <f t="shared" si="102"/>
        <v>14.285714285714278</v>
      </c>
      <c r="Y168" s="499">
        <v>7.8799999999999995E-2</v>
      </c>
      <c r="Z168" s="487" t="e">
        <f>#REF!*Y168</f>
        <v>#REF!</v>
      </c>
      <c r="AB168" s="235">
        <v>142.69200000000001</v>
      </c>
      <c r="AC168" s="467"/>
      <c r="AD168" s="500">
        <f t="shared" si="103"/>
        <v>26</v>
      </c>
      <c r="AE168" s="284"/>
      <c r="AG168" s="466">
        <v>-0.1426</v>
      </c>
      <c r="AH168" s="285">
        <f t="shared" si="92"/>
        <v>1.1426000000000001</v>
      </c>
      <c r="AI168" s="285">
        <v>1.181</v>
      </c>
      <c r="AK168" s="286">
        <f t="shared" si="104"/>
        <v>214.94</v>
      </c>
      <c r="AM168" s="466">
        <v>1.034</v>
      </c>
      <c r="AN168" s="337">
        <v>-0.1426</v>
      </c>
      <c r="AO168" s="285" t="e">
        <f>#REF!-AM168</f>
        <v>#REF!</v>
      </c>
      <c r="AQ168" s="288">
        <f t="shared" si="105"/>
        <v>0.22139999999999999</v>
      </c>
      <c r="AR168" s="467">
        <v>175</v>
      </c>
      <c r="AS168" s="127" t="b">
        <f t="shared" si="106"/>
        <v>0</v>
      </c>
      <c r="AT168" s="289" t="e">
        <f>ROUND(W168/T168*100-100,2)+#REF!</f>
        <v>#REF!</v>
      </c>
      <c r="AW168">
        <f t="shared" si="107"/>
        <v>1.143</v>
      </c>
    </row>
    <row r="169" spans="1:49" x14ac:dyDescent="0.3">
      <c r="A169" s="477" t="s">
        <v>438</v>
      </c>
      <c r="B169" s="477" t="s">
        <v>179</v>
      </c>
      <c r="C169" s="475" t="s">
        <v>35</v>
      </c>
      <c r="D169" s="471" t="s">
        <v>180</v>
      </c>
      <c r="E169" s="484" t="s">
        <v>161</v>
      </c>
      <c r="F169" s="471">
        <f>VLOOKUP(E169,'[2]условия, ФОТ'!$A$14:$I$28,9, FALSE)</f>
        <v>206.19</v>
      </c>
      <c r="G169" s="478">
        <v>0.15</v>
      </c>
      <c r="H169" s="471">
        <f t="shared" si="97"/>
        <v>30.93</v>
      </c>
      <c r="I169" s="471">
        <f t="shared" si="94"/>
        <v>9.34</v>
      </c>
      <c r="J169" s="471">
        <f t="shared" si="95"/>
        <v>40.269999999999996</v>
      </c>
      <c r="K169" s="479"/>
      <c r="L169" s="471"/>
      <c r="M169" s="471"/>
      <c r="N169" s="471"/>
      <c r="O169" s="471"/>
      <c r="P169" s="471">
        <f t="shared" si="99"/>
        <v>40.269999999999996</v>
      </c>
      <c r="Q169" s="471">
        <f t="shared" si="10"/>
        <v>26.78</v>
      </c>
      <c r="R169" s="472">
        <f t="shared" si="108"/>
        <v>72.5</v>
      </c>
      <c r="S169" s="472">
        <f t="shared" si="11"/>
        <v>14.5</v>
      </c>
      <c r="T169" s="472">
        <f t="shared" si="101"/>
        <v>87</v>
      </c>
      <c r="U169" s="269">
        <v>56</v>
      </c>
      <c r="V169" s="336">
        <f t="shared" si="50"/>
        <v>55.357142857142861</v>
      </c>
      <c r="W169" s="498">
        <v>76</v>
      </c>
      <c r="X169" s="470">
        <f t="shared" si="102"/>
        <v>14.473684210526301</v>
      </c>
      <c r="Y169" s="499">
        <v>7.9799999999999996E-2</v>
      </c>
      <c r="Z169" s="487" t="e">
        <f>#REF!*Y169</f>
        <v>#REF!</v>
      </c>
      <c r="AB169" s="235">
        <v>59.972000000000001</v>
      </c>
      <c r="AC169" s="467"/>
      <c r="AD169" s="500">
        <f t="shared" si="103"/>
        <v>11</v>
      </c>
      <c r="AE169" s="284"/>
      <c r="AG169" s="466">
        <v>-0.1351</v>
      </c>
      <c r="AH169" s="285">
        <f t="shared" si="92"/>
        <v>1.1351</v>
      </c>
      <c r="AI169" s="285">
        <v>1.1739999999999999</v>
      </c>
      <c r="AK169" s="286">
        <f t="shared" si="104"/>
        <v>89.22</v>
      </c>
      <c r="AM169" s="466">
        <v>1.034</v>
      </c>
      <c r="AN169" s="337">
        <v>-0.1351</v>
      </c>
      <c r="AO169" s="285" t="e">
        <f>#REF!-AM169</f>
        <v>#REF!</v>
      </c>
      <c r="AQ169" s="288">
        <f t="shared" si="105"/>
        <v>0.21489999999999998</v>
      </c>
      <c r="AR169" s="467">
        <v>73</v>
      </c>
      <c r="AS169" s="127" t="b">
        <f t="shared" si="106"/>
        <v>0</v>
      </c>
      <c r="AT169" s="289" t="e">
        <f>ROUND(W169/T169*100-100,2)+#REF!</f>
        <v>#REF!</v>
      </c>
      <c r="AW169">
        <f t="shared" si="107"/>
        <v>1.145</v>
      </c>
    </row>
    <row r="170" spans="1:49" x14ac:dyDescent="0.3">
      <c r="A170" s="477" t="s">
        <v>439</v>
      </c>
      <c r="B170" s="477" t="s">
        <v>181</v>
      </c>
      <c r="C170" s="475" t="s">
        <v>36</v>
      </c>
      <c r="D170" s="471" t="s">
        <v>182</v>
      </c>
      <c r="E170" s="484" t="s">
        <v>161</v>
      </c>
      <c r="F170" s="471">
        <f>VLOOKUP(E170,'[2]условия, ФОТ'!$A$14:$I$28,9, FALSE)</f>
        <v>206.19</v>
      </c>
      <c r="G170" s="478">
        <v>0.2</v>
      </c>
      <c r="H170" s="471">
        <f t="shared" si="97"/>
        <v>41.24</v>
      </c>
      <c r="I170" s="471">
        <f t="shared" si="94"/>
        <v>12.45</v>
      </c>
      <c r="J170" s="471">
        <f t="shared" si="95"/>
        <v>53.69</v>
      </c>
      <c r="K170" s="479"/>
      <c r="L170" s="471"/>
      <c r="M170" s="471"/>
      <c r="N170" s="471"/>
      <c r="O170" s="471"/>
      <c r="P170" s="471">
        <f t="shared" si="99"/>
        <v>53.69</v>
      </c>
      <c r="Q170" s="471">
        <f t="shared" si="10"/>
        <v>35.700000000000003</v>
      </c>
      <c r="R170" s="472">
        <f t="shared" si="108"/>
        <v>95.83</v>
      </c>
      <c r="S170" s="472">
        <f>ROUND(R170*$S$5,2)</f>
        <v>19.170000000000002</v>
      </c>
      <c r="T170" s="472">
        <f t="shared" si="101"/>
        <v>115</v>
      </c>
      <c r="U170" s="269">
        <v>74</v>
      </c>
      <c r="V170" s="336">
        <f t="shared" si="50"/>
        <v>55.405405405405389</v>
      </c>
      <c r="W170" s="498">
        <v>101</v>
      </c>
      <c r="X170" s="470">
        <f t="shared" si="102"/>
        <v>13.861386138613852</v>
      </c>
      <c r="Y170" s="499">
        <v>7.6200000000000004E-2</v>
      </c>
      <c r="Z170" s="487" t="e">
        <f>#REF!*Y170</f>
        <v>#REF!</v>
      </c>
      <c r="AB170" s="235">
        <v>79.618000000000009</v>
      </c>
      <c r="AC170" s="467"/>
      <c r="AD170" s="500">
        <f t="shared" si="103"/>
        <v>14</v>
      </c>
      <c r="AE170" s="284"/>
      <c r="AG170" s="466">
        <v>-0.1391</v>
      </c>
      <c r="AH170" s="285">
        <f t="shared" si="92"/>
        <v>1.1391</v>
      </c>
      <c r="AI170" s="285">
        <v>1.1779999999999999</v>
      </c>
      <c r="AK170" s="286">
        <f t="shared" si="104"/>
        <v>118.98</v>
      </c>
      <c r="AM170" s="466">
        <v>1.034</v>
      </c>
      <c r="AN170" s="337">
        <v>-0.1391</v>
      </c>
      <c r="AO170" s="285" t="e">
        <f>#REF!-AM170</f>
        <v>#REF!</v>
      </c>
      <c r="AQ170" s="288">
        <f t="shared" si="105"/>
        <v>0.21529999999999999</v>
      </c>
      <c r="AR170" s="467">
        <v>97</v>
      </c>
      <c r="AS170" s="127" t="b">
        <f t="shared" si="106"/>
        <v>0</v>
      </c>
      <c r="AT170" s="289" t="e">
        <f>ROUND(W170/T170*100-100,2)+#REF!</f>
        <v>#REF!</v>
      </c>
      <c r="AW170">
        <f t="shared" si="107"/>
        <v>1.139</v>
      </c>
    </row>
    <row r="171" spans="1:49" ht="25.5" x14ac:dyDescent="0.3">
      <c r="A171" s="477" t="s">
        <v>440</v>
      </c>
      <c r="B171" s="477" t="s">
        <v>183</v>
      </c>
      <c r="C171" s="475" t="s">
        <v>37</v>
      </c>
      <c r="D171" s="471" t="s">
        <v>184</v>
      </c>
      <c r="E171" s="484" t="s">
        <v>161</v>
      </c>
      <c r="F171" s="471">
        <f>VLOOKUP(E171,'[2]условия, ФОТ'!$A$14:$I$28,9, FALSE)</f>
        <v>206.19</v>
      </c>
      <c r="G171" s="478">
        <v>0.25</v>
      </c>
      <c r="H171" s="471">
        <f t="shared" si="97"/>
        <v>51.55</v>
      </c>
      <c r="I171" s="471">
        <f t="shared" si="94"/>
        <v>15.57</v>
      </c>
      <c r="J171" s="471">
        <f t="shared" si="95"/>
        <v>67.12</v>
      </c>
      <c r="K171" s="479"/>
      <c r="L171" s="471"/>
      <c r="M171" s="471"/>
      <c r="N171" s="471"/>
      <c r="O171" s="471"/>
      <c r="P171" s="471">
        <f t="shared" si="99"/>
        <v>67.12</v>
      </c>
      <c r="Q171" s="471">
        <f t="shared" si="10"/>
        <v>44.63</v>
      </c>
      <c r="R171" s="472">
        <f t="shared" si="108"/>
        <v>120</v>
      </c>
      <c r="S171" s="472">
        <f t="shared" si="11"/>
        <v>24</v>
      </c>
      <c r="T171" s="472">
        <f t="shared" si="101"/>
        <v>144</v>
      </c>
      <c r="U171" s="269">
        <v>93</v>
      </c>
      <c r="V171" s="336">
        <f t="shared" si="50"/>
        <v>54.838709677419359</v>
      </c>
      <c r="W171" s="498">
        <v>126</v>
      </c>
      <c r="X171" s="470">
        <f t="shared" si="102"/>
        <v>14.285714285714278</v>
      </c>
      <c r="Y171" s="499">
        <v>7.3800000000000004E-2</v>
      </c>
      <c r="Z171" s="487" t="e">
        <f>#REF!*Y171</f>
        <v>#REF!</v>
      </c>
      <c r="AB171" s="235">
        <v>99.26400000000001</v>
      </c>
      <c r="AC171" s="467"/>
      <c r="AD171" s="500">
        <f t="shared" si="103"/>
        <v>18</v>
      </c>
      <c r="AE171" s="284"/>
      <c r="AG171" s="466">
        <v>-0.14130000000000001</v>
      </c>
      <c r="AH171" s="285">
        <f t="shared" si="92"/>
        <v>1.1413</v>
      </c>
      <c r="AI171" s="285">
        <v>1.18</v>
      </c>
      <c r="AK171" s="286">
        <f t="shared" si="104"/>
        <v>148.68</v>
      </c>
      <c r="AM171" s="466">
        <v>1.034</v>
      </c>
      <c r="AN171" s="337">
        <v>-0.14130000000000001</v>
      </c>
      <c r="AO171" s="285" t="e">
        <f>#REF!-AM171</f>
        <v>#REF!</v>
      </c>
      <c r="AQ171" s="288">
        <f t="shared" si="105"/>
        <v>0.21510000000000001</v>
      </c>
      <c r="AR171" s="467">
        <v>121</v>
      </c>
      <c r="AS171" s="127" t="b">
        <f t="shared" si="106"/>
        <v>0</v>
      </c>
      <c r="AT171" s="289" t="e">
        <f>ROUND(W171/T171*100-100,2)+#REF!</f>
        <v>#REF!</v>
      </c>
      <c r="AW171">
        <f t="shared" si="107"/>
        <v>1.143</v>
      </c>
    </row>
    <row r="172" spans="1:49" ht="26.25" customHeight="1" x14ac:dyDescent="0.3">
      <c r="A172" s="477" t="s">
        <v>441</v>
      </c>
      <c r="B172" s="477" t="s">
        <v>185</v>
      </c>
      <c r="C172" s="475" t="s">
        <v>38</v>
      </c>
      <c r="D172" s="471" t="s">
        <v>186</v>
      </c>
      <c r="E172" s="484" t="s">
        <v>161</v>
      </c>
      <c r="F172" s="471">
        <f>VLOOKUP(E172,'[2]условия, ФОТ'!$A$14:$I$28,9, FALSE)</f>
        <v>206.19</v>
      </c>
      <c r="G172" s="478">
        <v>0.15</v>
      </c>
      <c r="H172" s="471">
        <f t="shared" si="97"/>
        <v>30.93</v>
      </c>
      <c r="I172" s="471">
        <f t="shared" si="94"/>
        <v>9.34</v>
      </c>
      <c r="J172" s="471">
        <f t="shared" si="95"/>
        <v>40.269999999999996</v>
      </c>
      <c r="K172" s="479"/>
      <c r="L172" s="471"/>
      <c r="M172" s="471"/>
      <c r="N172" s="471"/>
      <c r="O172" s="471"/>
      <c r="P172" s="471">
        <f t="shared" si="99"/>
        <v>40.269999999999996</v>
      </c>
      <c r="Q172" s="471">
        <f t="shared" si="10"/>
        <v>26.78</v>
      </c>
      <c r="R172" s="472">
        <f t="shared" si="108"/>
        <v>72.5</v>
      </c>
      <c r="S172" s="472">
        <f t="shared" si="11"/>
        <v>14.5</v>
      </c>
      <c r="T172" s="472">
        <f t="shared" si="101"/>
        <v>87</v>
      </c>
      <c r="U172" s="269">
        <v>56</v>
      </c>
      <c r="V172" s="336">
        <f t="shared" si="50"/>
        <v>55.357142857142861</v>
      </c>
      <c r="W172" s="498">
        <v>76</v>
      </c>
      <c r="X172" s="470">
        <f t="shared" si="102"/>
        <v>14.473684210526301</v>
      </c>
      <c r="Y172" s="499">
        <v>7.9799999999999996E-2</v>
      </c>
      <c r="Z172" s="487" t="e">
        <f>#REF!*Y172</f>
        <v>#REF!</v>
      </c>
      <c r="AB172" s="235">
        <v>59.972000000000001</v>
      </c>
      <c r="AC172" s="467"/>
      <c r="AD172" s="500">
        <f t="shared" si="103"/>
        <v>11</v>
      </c>
      <c r="AE172" s="284"/>
      <c r="AG172" s="466">
        <v>-0.1351</v>
      </c>
      <c r="AH172" s="285">
        <f t="shared" si="92"/>
        <v>1.1351</v>
      </c>
      <c r="AI172" s="285">
        <v>1.1739999999999999</v>
      </c>
      <c r="AK172" s="286">
        <f t="shared" si="104"/>
        <v>89.22</v>
      </c>
      <c r="AM172" s="466">
        <v>1.034</v>
      </c>
      <c r="AN172" s="337">
        <v>-0.1351</v>
      </c>
      <c r="AO172" s="285" t="e">
        <f>#REF!-AM172</f>
        <v>#REF!</v>
      </c>
      <c r="AQ172" s="288">
        <f t="shared" si="105"/>
        <v>0.21489999999999998</v>
      </c>
      <c r="AR172" s="467">
        <v>73</v>
      </c>
      <c r="AS172" s="127" t="b">
        <f t="shared" si="106"/>
        <v>0</v>
      </c>
      <c r="AT172" s="289" t="e">
        <f>ROUND(W172/T172*100-100,2)+#REF!</f>
        <v>#REF!</v>
      </c>
      <c r="AW172">
        <f t="shared" si="107"/>
        <v>1.145</v>
      </c>
    </row>
    <row r="173" spans="1:49" ht="25.5" customHeight="1" x14ac:dyDescent="0.3">
      <c r="A173" s="477" t="s">
        <v>442</v>
      </c>
      <c r="B173" s="477" t="s">
        <v>187</v>
      </c>
      <c r="C173" s="475" t="s">
        <v>39</v>
      </c>
      <c r="D173" s="471" t="s">
        <v>188</v>
      </c>
      <c r="E173" s="484" t="s">
        <v>161</v>
      </c>
      <c r="F173" s="471">
        <f>VLOOKUP(E173,'[2]условия, ФОТ'!$A$14:$I$28,9, FALSE)</f>
        <v>206.19</v>
      </c>
      <c r="G173" s="478">
        <v>1.24</v>
      </c>
      <c r="H173" s="471">
        <f t="shared" si="97"/>
        <v>255.68</v>
      </c>
      <c r="I173" s="471">
        <f t="shared" si="94"/>
        <v>77.22</v>
      </c>
      <c r="J173" s="471">
        <f t="shared" si="95"/>
        <v>332.9</v>
      </c>
      <c r="K173" s="479"/>
      <c r="L173" s="471"/>
      <c r="M173" s="471"/>
      <c r="N173" s="471"/>
      <c r="O173" s="471"/>
      <c r="P173" s="471">
        <f t="shared" si="99"/>
        <v>332.9</v>
      </c>
      <c r="Q173" s="471">
        <f t="shared" si="10"/>
        <v>221.38</v>
      </c>
      <c r="R173" s="472">
        <f t="shared" si="108"/>
        <v>597.5</v>
      </c>
      <c r="S173" s="472">
        <f t="shared" si="11"/>
        <v>119.5</v>
      </c>
      <c r="T173" s="472">
        <f t="shared" si="101"/>
        <v>717</v>
      </c>
      <c r="U173" s="269">
        <v>461</v>
      </c>
      <c r="V173" s="336">
        <f t="shared" si="50"/>
        <v>55.531453362255945</v>
      </c>
      <c r="W173" s="498">
        <v>627</v>
      </c>
      <c r="X173" s="470">
        <f t="shared" si="102"/>
        <v>14.354066985645943</v>
      </c>
      <c r="Y173" s="499">
        <v>7.7399999999999997E-2</v>
      </c>
      <c r="Z173" s="487" t="e">
        <f>#REF!*Y173</f>
        <v>#REF!</v>
      </c>
      <c r="AB173" s="235">
        <v>491.15000000000003</v>
      </c>
      <c r="AC173" s="467"/>
      <c r="AD173" s="500">
        <f t="shared" si="103"/>
        <v>90</v>
      </c>
      <c r="AE173" s="284"/>
      <c r="AG173" s="466">
        <v>-0.14330000000000001</v>
      </c>
      <c r="AH173" s="285">
        <f t="shared" si="92"/>
        <v>1.1433</v>
      </c>
      <c r="AI173" s="285">
        <v>1.1819999999999999</v>
      </c>
      <c r="AK173" s="286">
        <f t="shared" si="104"/>
        <v>741.11</v>
      </c>
      <c r="AM173" s="466">
        <v>1.034</v>
      </c>
      <c r="AN173" s="337">
        <v>-0.14330000000000001</v>
      </c>
      <c r="AO173" s="285" t="e">
        <f>#REF!-AM173</f>
        <v>#REF!</v>
      </c>
      <c r="AQ173" s="288">
        <f t="shared" si="105"/>
        <v>0.22070000000000001</v>
      </c>
      <c r="AR173" s="467">
        <v>602</v>
      </c>
      <c r="AS173" s="127" t="b">
        <f t="shared" si="106"/>
        <v>0</v>
      </c>
      <c r="AT173" s="289" t="e">
        <f>ROUND(W173/T173*100-100,2)+#REF!</f>
        <v>#REF!</v>
      </c>
      <c r="AW173">
        <f t="shared" si="107"/>
        <v>1.1439999999999999</v>
      </c>
    </row>
    <row r="174" spans="1:49" ht="24.75" customHeight="1" x14ac:dyDescent="0.3">
      <c r="A174" s="477" t="s">
        <v>443</v>
      </c>
      <c r="B174" s="477" t="s">
        <v>189</v>
      </c>
      <c r="C174" s="475" t="s">
        <v>40</v>
      </c>
      <c r="D174" s="471" t="s">
        <v>190</v>
      </c>
      <c r="E174" s="484" t="s">
        <v>161</v>
      </c>
      <c r="F174" s="471">
        <f>VLOOKUP(E174,'[2]условия, ФОТ'!$A$14:$I$28,9, FALSE)</f>
        <v>206.19</v>
      </c>
      <c r="G174" s="478">
        <v>0.81</v>
      </c>
      <c r="H174" s="471">
        <f t="shared" si="97"/>
        <v>167.01</v>
      </c>
      <c r="I174" s="471">
        <f t="shared" si="94"/>
        <v>50.44</v>
      </c>
      <c r="J174" s="471">
        <f t="shared" si="95"/>
        <v>217.45</v>
      </c>
      <c r="K174" s="479"/>
      <c r="L174" s="471"/>
      <c r="M174" s="471"/>
      <c r="N174" s="471"/>
      <c r="O174" s="471"/>
      <c r="P174" s="471">
        <f t="shared" si="99"/>
        <v>217.45</v>
      </c>
      <c r="Q174" s="471">
        <f t="shared" si="10"/>
        <v>144.6</v>
      </c>
      <c r="R174" s="472">
        <f t="shared" si="108"/>
        <v>390</v>
      </c>
      <c r="S174" s="472">
        <f>ROUND(R174*$S$5,2)</f>
        <v>78</v>
      </c>
      <c r="T174" s="472">
        <f t="shared" si="101"/>
        <v>468</v>
      </c>
      <c r="U174" s="269">
        <v>301</v>
      </c>
      <c r="V174" s="336">
        <f t="shared" si="50"/>
        <v>55.481727574750835</v>
      </c>
      <c r="W174" s="498">
        <v>409</v>
      </c>
      <c r="X174" s="470">
        <f t="shared" si="102"/>
        <v>14.425427872860624</v>
      </c>
      <c r="Y174" s="499">
        <v>7.6600000000000001E-2</v>
      </c>
      <c r="Z174" s="487" t="e">
        <f>#REF!*Y174</f>
        <v>#REF!</v>
      </c>
      <c r="AB174" s="235">
        <v>321.57400000000001</v>
      </c>
      <c r="AC174" s="467"/>
      <c r="AD174" s="500">
        <f t="shared" si="103"/>
        <v>59</v>
      </c>
      <c r="AE174" s="284"/>
      <c r="AG174" s="466">
        <v>-0.1414</v>
      </c>
      <c r="AH174" s="285">
        <f t="shared" si="92"/>
        <v>1.1414</v>
      </c>
      <c r="AI174" s="285">
        <v>1.18</v>
      </c>
      <c r="AK174" s="286">
        <f t="shared" si="104"/>
        <v>482.62</v>
      </c>
      <c r="AM174" s="466">
        <v>1.034</v>
      </c>
      <c r="AN174" s="337">
        <v>-0.1414</v>
      </c>
      <c r="AO174" s="285" t="e">
        <f>#REF!-AM174</f>
        <v>#REF!</v>
      </c>
      <c r="AQ174" s="288">
        <f t="shared" si="105"/>
        <v>0.218</v>
      </c>
      <c r="AR174" s="467">
        <v>393</v>
      </c>
      <c r="AS174" s="127" t="b">
        <f t="shared" si="106"/>
        <v>0</v>
      </c>
      <c r="AT174" s="289" t="e">
        <f>ROUND(W174/T174*100-100,2)+#REF!</f>
        <v>#REF!</v>
      </c>
      <c r="AW174">
        <f t="shared" si="107"/>
        <v>1.1439999999999999</v>
      </c>
    </row>
    <row r="175" spans="1:49" x14ac:dyDescent="0.3">
      <c r="A175" s="477" t="s">
        <v>444</v>
      </c>
      <c r="B175" s="477" t="s">
        <v>191</v>
      </c>
      <c r="C175" s="475" t="s">
        <v>41</v>
      </c>
      <c r="D175" s="471" t="s">
        <v>192</v>
      </c>
      <c r="E175" s="484" t="s">
        <v>161</v>
      </c>
      <c r="F175" s="471">
        <f>VLOOKUP(E175,'[2]условия, ФОТ'!$A$14:$I$28,9, FALSE)</f>
        <v>206.19</v>
      </c>
      <c r="G175" s="478">
        <v>0.69</v>
      </c>
      <c r="H175" s="471">
        <f t="shared" si="97"/>
        <v>142.27000000000001</v>
      </c>
      <c r="I175" s="471">
        <f t="shared" si="94"/>
        <v>42.97</v>
      </c>
      <c r="J175" s="471">
        <f t="shared" si="95"/>
        <v>185.24</v>
      </c>
      <c r="K175" s="479"/>
      <c r="L175" s="471"/>
      <c r="M175" s="471"/>
      <c r="N175" s="471"/>
      <c r="O175" s="471"/>
      <c r="P175" s="471">
        <f t="shared" si="99"/>
        <v>185.24</v>
      </c>
      <c r="Q175" s="471">
        <f t="shared" si="10"/>
        <v>123.18</v>
      </c>
      <c r="R175" s="472">
        <f t="shared" si="108"/>
        <v>332.5</v>
      </c>
      <c r="S175" s="472">
        <f t="shared" si="11"/>
        <v>66.5</v>
      </c>
      <c r="T175" s="472">
        <f t="shared" si="101"/>
        <v>399</v>
      </c>
      <c r="U175" s="269">
        <v>256</v>
      </c>
      <c r="V175" s="336">
        <f t="shared" si="50"/>
        <v>55.859375</v>
      </c>
      <c r="W175" s="498">
        <v>349</v>
      </c>
      <c r="X175" s="470">
        <f t="shared" si="102"/>
        <v>14.326647564469909</v>
      </c>
      <c r="Y175" s="499">
        <v>7.7399999999999997E-2</v>
      </c>
      <c r="Z175" s="487" t="e">
        <f>#REF!*Y175</f>
        <v>#REF!</v>
      </c>
      <c r="AB175" s="235">
        <v>274.01</v>
      </c>
      <c r="AC175" s="467"/>
      <c r="AD175" s="500">
        <f t="shared" si="103"/>
        <v>50</v>
      </c>
      <c r="AE175" s="284"/>
      <c r="AG175" s="466">
        <v>-0.1411</v>
      </c>
      <c r="AH175" s="285">
        <f t="shared" si="92"/>
        <v>1.1411</v>
      </c>
      <c r="AI175" s="285">
        <v>1.18</v>
      </c>
      <c r="AK175" s="286">
        <f t="shared" si="104"/>
        <v>411.82</v>
      </c>
      <c r="AM175" s="466">
        <v>1.034</v>
      </c>
      <c r="AN175" s="337">
        <v>-0.1411</v>
      </c>
      <c r="AO175" s="285" t="e">
        <f>#REF!-AM175</f>
        <v>#REF!</v>
      </c>
      <c r="AQ175" s="288">
        <f t="shared" si="105"/>
        <v>0.2185</v>
      </c>
      <c r="AR175" s="467">
        <v>335</v>
      </c>
      <c r="AS175" s="127" t="b">
        <f t="shared" si="106"/>
        <v>0</v>
      </c>
      <c r="AT175" s="289" t="e">
        <f>ROUND(W175/T175*100-100,2)+#REF!</f>
        <v>#REF!</v>
      </c>
      <c r="AW175">
        <f t="shared" si="107"/>
        <v>1.143</v>
      </c>
    </row>
    <row r="176" spans="1:49" x14ac:dyDescent="0.3">
      <c r="A176" s="477" t="s">
        <v>445</v>
      </c>
      <c r="B176" s="477" t="s">
        <v>193</v>
      </c>
      <c r="C176" s="475" t="s">
        <v>42</v>
      </c>
      <c r="D176" s="471" t="s">
        <v>194</v>
      </c>
      <c r="E176" s="484" t="s">
        <v>161</v>
      </c>
      <c r="F176" s="471">
        <f>VLOOKUP(E176,'[2]условия, ФОТ'!$A$14:$I$28,9, FALSE)</f>
        <v>206.19</v>
      </c>
      <c r="G176" s="478">
        <v>0.43</v>
      </c>
      <c r="H176" s="471">
        <f t="shared" si="97"/>
        <v>88.66</v>
      </c>
      <c r="I176" s="471">
        <f t="shared" si="94"/>
        <v>26.78</v>
      </c>
      <c r="J176" s="471">
        <f t="shared" si="95"/>
        <v>115.44</v>
      </c>
      <c r="K176" s="479"/>
      <c r="L176" s="471"/>
      <c r="M176" s="471"/>
      <c r="N176" s="471"/>
      <c r="O176" s="471"/>
      <c r="P176" s="471">
        <f t="shared" si="99"/>
        <v>115.44</v>
      </c>
      <c r="Q176" s="471">
        <f t="shared" si="10"/>
        <v>76.77</v>
      </c>
      <c r="R176" s="472">
        <f t="shared" si="108"/>
        <v>207.5</v>
      </c>
      <c r="S176" s="472">
        <f t="shared" si="11"/>
        <v>41.5</v>
      </c>
      <c r="T176" s="472">
        <f t="shared" si="101"/>
        <v>249</v>
      </c>
      <c r="U176" s="269">
        <v>160</v>
      </c>
      <c r="V176" s="336">
        <f t="shared" si="50"/>
        <v>55.625</v>
      </c>
      <c r="W176" s="498">
        <v>218</v>
      </c>
      <c r="X176" s="470">
        <f t="shared" si="102"/>
        <v>14.220183486238525</v>
      </c>
      <c r="Y176" s="499">
        <v>7.8600000000000003E-2</v>
      </c>
      <c r="Z176" s="487" t="e">
        <f>#REF!*Y176</f>
        <v>#REF!</v>
      </c>
      <c r="AB176" s="235">
        <v>170.61</v>
      </c>
      <c r="AC176" s="467"/>
      <c r="AD176" s="500">
        <f t="shared" si="103"/>
        <v>31</v>
      </c>
      <c r="AE176" s="284"/>
      <c r="AG176" s="466">
        <v>-0.1419</v>
      </c>
      <c r="AH176" s="285">
        <f t="shared" si="92"/>
        <v>1.1418999999999999</v>
      </c>
      <c r="AI176" s="285">
        <v>1.181</v>
      </c>
      <c r="AK176" s="286">
        <f t="shared" si="104"/>
        <v>257.45999999999998</v>
      </c>
      <c r="AM176" s="466">
        <v>1.034</v>
      </c>
      <c r="AN176" s="337">
        <v>-0.1419</v>
      </c>
      <c r="AO176" s="285" t="e">
        <f>#REF!-AM176</f>
        <v>#REF!</v>
      </c>
      <c r="AQ176" s="288">
        <f t="shared" si="105"/>
        <v>0.2205</v>
      </c>
      <c r="AR176" s="467">
        <v>209</v>
      </c>
      <c r="AS176" s="127" t="b">
        <f t="shared" si="106"/>
        <v>0</v>
      </c>
      <c r="AT176" s="289" t="e">
        <f>ROUND(W176/T176*100-100,2)+#REF!</f>
        <v>#REF!</v>
      </c>
      <c r="AW176">
        <f t="shared" si="107"/>
        <v>1.1419999999999999</v>
      </c>
    </row>
    <row r="177" spans="1:49" x14ac:dyDescent="0.3">
      <c r="A177" s="477" t="s">
        <v>446</v>
      </c>
      <c r="B177" s="477" t="s">
        <v>195</v>
      </c>
      <c r="C177" s="475" t="s">
        <v>43</v>
      </c>
      <c r="D177" s="471" t="s">
        <v>190</v>
      </c>
      <c r="E177" s="484" t="s">
        <v>161</v>
      </c>
      <c r="F177" s="471">
        <f>VLOOKUP(E177,'[2]условия, ФОТ'!$A$14:$I$28,9, FALSE)</f>
        <v>206.19</v>
      </c>
      <c r="G177" s="478">
        <v>0.3</v>
      </c>
      <c r="H177" s="471">
        <f t="shared" si="97"/>
        <v>61.86</v>
      </c>
      <c r="I177" s="471">
        <f t="shared" si="94"/>
        <v>18.68</v>
      </c>
      <c r="J177" s="471">
        <f t="shared" si="95"/>
        <v>80.539999999999992</v>
      </c>
      <c r="K177" s="479"/>
      <c r="L177" s="471"/>
      <c r="M177" s="471"/>
      <c r="N177" s="471"/>
      <c r="O177" s="471"/>
      <c r="P177" s="471">
        <f t="shared" si="99"/>
        <v>80.539999999999992</v>
      </c>
      <c r="Q177" s="471">
        <f t="shared" si="10"/>
        <v>53.56</v>
      </c>
      <c r="R177" s="472">
        <f t="shared" si="108"/>
        <v>145</v>
      </c>
      <c r="S177" s="472">
        <f>ROUND(R177*$S$5,2)</f>
        <v>29</v>
      </c>
      <c r="T177" s="472">
        <f t="shared" si="101"/>
        <v>174</v>
      </c>
      <c r="U177" s="269">
        <v>111</v>
      </c>
      <c r="V177" s="336">
        <f t="shared" si="50"/>
        <v>56.756756756756744</v>
      </c>
      <c r="W177" s="498">
        <v>152</v>
      </c>
      <c r="X177" s="470">
        <f t="shared" si="102"/>
        <v>14.473684210526301</v>
      </c>
      <c r="Y177" s="499">
        <v>0.08</v>
      </c>
      <c r="Z177" s="487" t="e">
        <f>#REF!*Y177</f>
        <v>#REF!</v>
      </c>
      <c r="AB177" s="235">
        <v>118.91</v>
      </c>
      <c r="AC177" s="467"/>
      <c r="AD177" s="500">
        <f t="shared" si="103"/>
        <v>22</v>
      </c>
      <c r="AE177" s="284"/>
      <c r="AG177" s="466">
        <v>-0.14269999999999999</v>
      </c>
      <c r="AH177" s="285">
        <f t="shared" si="92"/>
        <v>1.1427</v>
      </c>
      <c r="AI177" s="285">
        <v>1.1819999999999999</v>
      </c>
      <c r="AK177" s="286">
        <f t="shared" si="104"/>
        <v>179.66</v>
      </c>
      <c r="AM177" s="466">
        <v>1.034</v>
      </c>
      <c r="AN177" s="337">
        <v>-0.14269999999999999</v>
      </c>
      <c r="AO177" s="285" t="e">
        <f>#REF!-AM177</f>
        <v>#REF!</v>
      </c>
      <c r="AQ177" s="288">
        <f t="shared" si="105"/>
        <v>0.22270000000000001</v>
      </c>
      <c r="AR177" s="467">
        <v>146</v>
      </c>
      <c r="AS177" s="127" t="b">
        <f t="shared" si="106"/>
        <v>0</v>
      </c>
      <c r="AT177" s="289" t="e">
        <f>ROUND(W177/T177*100-100,2)+#REF!</f>
        <v>#REF!</v>
      </c>
      <c r="AW177">
        <f t="shared" si="107"/>
        <v>1.145</v>
      </c>
    </row>
    <row r="178" spans="1:49" x14ac:dyDescent="0.3">
      <c r="A178" s="477" t="s">
        <v>447</v>
      </c>
      <c r="B178" s="477" t="s">
        <v>196</v>
      </c>
      <c r="C178" s="475" t="s">
        <v>44</v>
      </c>
      <c r="D178" s="471" t="s">
        <v>190</v>
      </c>
      <c r="E178" s="484" t="s">
        <v>161</v>
      </c>
      <c r="F178" s="471">
        <f>VLOOKUP(E178,'[2]условия, ФОТ'!$A$14:$I$28,9, FALSE)</f>
        <v>206.19</v>
      </c>
      <c r="G178" s="478">
        <v>0.4</v>
      </c>
      <c r="H178" s="471">
        <f t="shared" si="97"/>
        <v>82.48</v>
      </c>
      <c r="I178" s="471">
        <f t="shared" si="94"/>
        <v>24.91</v>
      </c>
      <c r="J178" s="471">
        <f t="shared" si="95"/>
        <v>107.39</v>
      </c>
      <c r="K178" s="479"/>
      <c r="L178" s="471"/>
      <c r="M178" s="471"/>
      <c r="N178" s="471"/>
      <c r="O178" s="471"/>
      <c r="P178" s="471">
        <f t="shared" si="99"/>
        <v>107.39</v>
      </c>
      <c r="Q178" s="471">
        <f t="shared" si="10"/>
        <v>71.41</v>
      </c>
      <c r="R178" s="472">
        <f t="shared" si="108"/>
        <v>192.5</v>
      </c>
      <c r="S178" s="472">
        <f t="shared" si="11"/>
        <v>38.5</v>
      </c>
      <c r="T178" s="472">
        <f t="shared" si="101"/>
        <v>231</v>
      </c>
      <c r="U178" s="269">
        <v>149</v>
      </c>
      <c r="V178" s="336">
        <f t="shared" si="50"/>
        <v>55.033557046979865</v>
      </c>
      <c r="W178" s="498">
        <v>202</v>
      </c>
      <c r="X178" s="470">
        <f t="shared" si="102"/>
        <v>14.356435643564353</v>
      </c>
      <c r="Y178" s="499">
        <v>7.6399999999999996E-2</v>
      </c>
      <c r="Z178" s="487" t="e">
        <f>#REF!*Y178</f>
        <v>#REF!</v>
      </c>
      <c r="AB178" s="235">
        <v>158.202</v>
      </c>
      <c r="AC178" s="467"/>
      <c r="AD178" s="500">
        <f t="shared" si="103"/>
        <v>29</v>
      </c>
      <c r="AE178" s="284"/>
      <c r="AG178" s="466">
        <v>-0.1447</v>
      </c>
      <c r="AH178" s="285">
        <f t="shared" si="92"/>
        <v>1.1447000000000001</v>
      </c>
      <c r="AI178" s="285">
        <v>1.1839999999999999</v>
      </c>
      <c r="AK178" s="286">
        <f t="shared" si="104"/>
        <v>239.17</v>
      </c>
      <c r="AM178" s="466">
        <v>1.034</v>
      </c>
      <c r="AN178" s="337">
        <v>-0.1447</v>
      </c>
      <c r="AO178" s="285" t="e">
        <f>#REF!-AM178</f>
        <v>#REF!</v>
      </c>
      <c r="AQ178" s="288">
        <f t="shared" si="105"/>
        <v>0.22109999999999999</v>
      </c>
      <c r="AR178" s="467">
        <v>194</v>
      </c>
      <c r="AS178" s="127" t="b">
        <f t="shared" si="106"/>
        <v>0</v>
      </c>
      <c r="AT178" s="289" t="e">
        <f>ROUND(W178/T178*100-100,2)+#REF!</f>
        <v>#REF!</v>
      </c>
      <c r="AW178">
        <f t="shared" si="107"/>
        <v>1.1439999999999999</v>
      </c>
    </row>
    <row r="179" spans="1:49" x14ac:dyDescent="0.3">
      <c r="A179" s="477" t="s">
        <v>448</v>
      </c>
      <c r="B179" s="477" t="s">
        <v>197</v>
      </c>
      <c r="C179" s="475" t="s">
        <v>45</v>
      </c>
      <c r="D179" s="471" t="s">
        <v>198</v>
      </c>
      <c r="E179" s="484" t="s">
        <v>161</v>
      </c>
      <c r="F179" s="471">
        <f>VLOOKUP(E179,'[2]условия, ФОТ'!$A$14:$I$28,9, FALSE)</f>
        <v>206.19</v>
      </c>
      <c r="G179" s="478">
        <v>0.6</v>
      </c>
      <c r="H179" s="471">
        <f t="shared" si="97"/>
        <v>123.71</v>
      </c>
      <c r="I179" s="471">
        <f t="shared" si="94"/>
        <v>37.36</v>
      </c>
      <c r="J179" s="471">
        <f t="shared" si="95"/>
        <v>161.07</v>
      </c>
      <c r="K179" s="479"/>
      <c r="L179" s="471"/>
      <c r="M179" s="471"/>
      <c r="N179" s="471"/>
      <c r="O179" s="471"/>
      <c r="P179" s="471">
        <f t="shared" si="99"/>
        <v>161.07</v>
      </c>
      <c r="Q179" s="471">
        <f t="shared" si="10"/>
        <v>107.11</v>
      </c>
      <c r="R179" s="472">
        <f t="shared" si="108"/>
        <v>288.33</v>
      </c>
      <c r="S179" s="472">
        <f t="shared" si="11"/>
        <v>57.67</v>
      </c>
      <c r="T179" s="472">
        <f t="shared" si="101"/>
        <v>346</v>
      </c>
      <c r="U179" s="269">
        <v>223</v>
      </c>
      <c r="V179" s="336">
        <f t="shared" si="50"/>
        <v>55.156950672645735</v>
      </c>
      <c r="W179" s="498">
        <v>303</v>
      </c>
      <c r="X179" s="470">
        <f t="shared" si="102"/>
        <v>14.191419141914196</v>
      </c>
      <c r="Y179" s="499">
        <v>7.6200000000000004E-2</v>
      </c>
      <c r="Z179" s="487" t="e">
        <f>#REF!*Y179</f>
        <v>#REF!</v>
      </c>
      <c r="AB179" s="235">
        <v>237.82</v>
      </c>
      <c r="AC179" s="467"/>
      <c r="AD179" s="500">
        <f t="shared" si="103"/>
        <v>43</v>
      </c>
      <c r="AE179" s="284"/>
      <c r="AG179" s="466">
        <v>-0.14269999999999999</v>
      </c>
      <c r="AH179" s="285">
        <f t="shared" si="92"/>
        <v>1.1427</v>
      </c>
      <c r="AI179" s="285">
        <v>1.1819999999999999</v>
      </c>
      <c r="AK179" s="286">
        <f t="shared" si="104"/>
        <v>358.15</v>
      </c>
      <c r="AM179" s="466">
        <v>1.034</v>
      </c>
      <c r="AN179" s="337">
        <v>-0.14269999999999999</v>
      </c>
      <c r="AO179" s="285" t="e">
        <f>#REF!-AM179</f>
        <v>#REF!</v>
      </c>
      <c r="AQ179" s="288">
        <f t="shared" si="105"/>
        <v>0.21889999999999998</v>
      </c>
      <c r="AR179" s="467">
        <v>291</v>
      </c>
      <c r="AS179" s="127" t="b">
        <f t="shared" si="106"/>
        <v>0</v>
      </c>
      <c r="AT179" s="289" t="e">
        <f>ROUND(W179/T179*100-100,2)+#REF!</f>
        <v>#REF!</v>
      </c>
      <c r="AW179">
        <f t="shared" si="107"/>
        <v>1.1419999999999999</v>
      </c>
    </row>
    <row r="180" spans="1:49" ht="30.75" customHeight="1" x14ac:dyDescent="0.3">
      <c r="A180" s="477" t="s">
        <v>449</v>
      </c>
      <c r="B180" s="477" t="s">
        <v>199</v>
      </c>
      <c r="C180" s="475" t="s">
        <v>46</v>
      </c>
      <c r="D180" s="471" t="s">
        <v>198</v>
      </c>
      <c r="E180" s="484" t="s">
        <v>161</v>
      </c>
      <c r="F180" s="471">
        <f>VLOOKUP(E180,'[2]условия, ФОТ'!$A$14:$I$28,9, FALSE)</f>
        <v>206.19</v>
      </c>
      <c r="G180" s="478">
        <v>0.9</v>
      </c>
      <c r="H180" s="471">
        <f t="shared" si="97"/>
        <v>185.57</v>
      </c>
      <c r="I180" s="471">
        <f t="shared" si="94"/>
        <v>56.04</v>
      </c>
      <c r="J180" s="471">
        <f t="shared" si="95"/>
        <v>241.60999999999999</v>
      </c>
      <c r="K180" s="479"/>
      <c r="L180" s="471"/>
      <c r="M180" s="471"/>
      <c r="N180" s="471"/>
      <c r="O180" s="471"/>
      <c r="P180" s="471">
        <f t="shared" si="99"/>
        <v>241.60999999999999</v>
      </c>
      <c r="Q180" s="471">
        <f t="shared" si="10"/>
        <v>160.66999999999999</v>
      </c>
      <c r="R180" s="472">
        <f t="shared" si="108"/>
        <v>433.33</v>
      </c>
      <c r="S180" s="472">
        <f t="shared" si="11"/>
        <v>86.67</v>
      </c>
      <c r="T180" s="472">
        <f t="shared" si="101"/>
        <v>520</v>
      </c>
      <c r="U180" s="269">
        <v>334</v>
      </c>
      <c r="V180" s="336">
        <f t="shared" si="50"/>
        <v>55.688622754491035</v>
      </c>
      <c r="W180" s="498">
        <v>455</v>
      </c>
      <c r="X180" s="470">
        <f t="shared" si="102"/>
        <v>14.285714285714278</v>
      </c>
      <c r="Y180" s="499">
        <v>7.7499999999999999E-2</v>
      </c>
      <c r="Z180" s="487" t="e">
        <f>#REF!*Y180</f>
        <v>#REF!</v>
      </c>
      <c r="AB180" s="235">
        <v>356.73</v>
      </c>
      <c r="AC180" s="467"/>
      <c r="AD180" s="500">
        <f t="shared" si="103"/>
        <v>65</v>
      </c>
      <c r="AE180" s="284"/>
      <c r="AG180" s="466">
        <v>-0.14269999999999999</v>
      </c>
      <c r="AH180" s="285">
        <f t="shared" si="92"/>
        <v>1.1427</v>
      </c>
      <c r="AI180" s="285">
        <v>1.1819999999999999</v>
      </c>
      <c r="AK180" s="286">
        <f t="shared" si="104"/>
        <v>537.80999999999995</v>
      </c>
      <c r="AM180" s="466">
        <v>1.034</v>
      </c>
      <c r="AN180" s="337">
        <v>-0.14269999999999999</v>
      </c>
      <c r="AO180" s="285" t="e">
        <f>#REF!-AM180</f>
        <v>#REF!</v>
      </c>
      <c r="AQ180" s="288">
        <f t="shared" si="105"/>
        <v>0.22020000000000001</v>
      </c>
      <c r="AR180" s="467">
        <v>437</v>
      </c>
      <c r="AS180" s="127" t="b">
        <f t="shared" si="106"/>
        <v>0</v>
      </c>
      <c r="AT180" s="289" t="e">
        <f>ROUND(W180/T180*100-100,2)+#REF!</f>
        <v>#REF!</v>
      </c>
      <c r="AW180">
        <f t="shared" si="107"/>
        <v>1.143</v>
      </c>
    </row>
    <row r="181" spans="1:49" x14ac:dyDescent="0.3">
      <c r="A181" s="477" t="s">
        <v>450</v>
      </c>
      <c r="B181" s="477" t="s">
        <v>200</v>
      </c>
      <c r="C181" s="475" t="s">
        <v>47</v>
      </c>
      <c r="D181" s="471" t="s">
        <v>26</v>
      </c>
      <c r="E181" s="484" t="s">
        <v>161</v>
      </c>
      <c r="F181" s="471">
        <f>VLOOKUP(E181,'[2]условия, ФОТ'!$A$14:$I$28,9, FALSE)</f>
        <v>206.19</v>
      </c>
      <c r="G181" s="478">
        <v>0.82</v>
      </c>
      <c r="H181" s="471">
        <f t="shared" si="97"/>
        <v>169.08</v>
      </c>
      <c r="I181" s="471">
        <f t="shared" si="94"/>
        <v>51.06</v>
      </c>
      <c r="J181" s="471">
        <f t="shared" si="95"/>
        <v>220.14000000000001</v>
      </c>
      <c r="K181" s="479"/>
      <c r="L181" s="471"/>
      <c r="M181" s="471"/>
      <c r="N181" s="471"/>
      <c r="O181" s="471"/>
      <c r="P181" s="471">
        <f t="shared" si="99"/>
        <v>220.14000000000001</v>
      </c>
      <c r="Q181" s="471">
        <f t="shared" si="10"/>
        <v>146.38999999999999</v>
      </c>
      <c r="R181" s="472">
        <f t="shared" si="108"/>
        <v>395</v>
      </c>
      <c r="S181" s="472">
        <f>ROUND(R181*$S$5,2)</f>
        <v>79</v>
      </c>
      <c r="T181" s="472">
        <f t="shared" si="101"/>
        <v>474</v>
      </c>
      <c r="U181" s="269">
        <v>305</v>
      </c>
      <c r="V181" s="336">
        <f t="shared" si="50"/>
        <v>55.409836065573757</v>
      </c>
      <c r="W181" s="498">
        <v>415</v>
      </c>
      <c r="X181" s="470">
        <f t="shared" si="102"/>
        <v>14.216867469879517</v>
      </c>
      <c r="Y181" s="499">
        <v>7.7100000000000002E-2</v>
      </c>
      <c r="Z181" s="487" t="e">
        <f>#REF!*Y181</f>
        <v>#REF!</v>
      </c>
      <c r="AB181" s="235">
        <v>324.67599999999999</v>
      </c>
      <c r="AC181" s="467"/>
      <c r="AD181" s="500">
        <f t="shared" si="103"/>
        <v>59</v>
      </c>
      <c r="AE181" s="284"/>
      <c r="AG181" s="466">
        <v>-0.14360000000000001</v>
      </c>
      <c r="AH181" s="285">
        <f t="shared" si="92"/>
        <v>1.1435999999999999</v>
      </c>
      <c r="AI181" s="285">
        <v>1.1819999999999999</v>
      </c>
      <c r="AK181" s="286">
        <f t="shared" si="104"/>
        <v>490.53</v>
      </c>
      <c r="AM181" s="466">
        <v>1.034</v>
      </c>
      <c r="AN181" s="337">
        <v>-0.14360000000000001</v>
      </c>
      <c r="AO181" s="285" t="e">
        <f>#REF!-AM181</f>
        <v>#REF!</v>
      </c>
      <c r="AQ181" s="288">
        <f t="shared" si="105"/>
        <v>0.22070000000000001</v>
      </c>
      <c r="AR181" s="467">
        <v>398</v>
      </c>
      <c r="AS181" s="127" t="b">
        <f t="shared" si="106"/>
        <v>0</v>
      </c>
      <c r="AT181" s="289" t="e">
        <f>ROUND(W181/T181*100-100,2)+#REF!</f>
        <v>#REF!</v>
      </c>
      <c r="AW181">
        <f t="shared" si="107"/>
        <v>1.1419999999999999</v>
      </c>
    </row>
    <row r="182" spans="1:49" ht="25.5" x14ac:dyDescent="0.3">
      <c r="A182" s="477" t="s">
        <v>451</v>
      </c>
      <c r="B182" s="477" t="s">
        <v>201</v>
      </c>
      <c r="C182" s="475" t="s">
        <v>48</v>
      </c>
      <c r="D182" s="471" t="s">
        <v>190</v>
      </c>
      <c r="E182" s="484" t="s">
        <v>161</v>
      </c>
      <c r="F182" s="471">
        <f>VLOOKUP(E182,'[2]условия, ФОТ'!$A$14:$I$28,9, FALSE)</f>
        <v>206.19</v>
      </c>
      <c r="G182" s="478">
        <v>0.5</v>
      </c>
      <c r="H182" s="471">
        <f t="shared" si="97"/>
        <v>103.1</v>
      </c>
      <c r="I182" s="471">
        <f t="shared" si="94"/>
        <v>31.14</v>
      </c>
      <c r="J182" s="471">
        <f t="shared" si="95"/>
        <v>134.24</v>
      </c>
      <c r="K182" s="479"/>
      <c r="L182" s="471"/>
      <c r="M182" s="471"/>
      <c r="N182" s="471"/>
      <c r="O182" s="471"/>
      <c r="P182" s="471">
        <f t="shared" si="99"/>
        <v>134.24</v>
      </c>
      <c r="Q182" s="471">
        <f t="shared" si="10"/>
        <v>89.27</v>
      </c>
      <c r="R182" s="472">
        <f t="shared" si="108"/>
        <v>240.83</v>
      </c>
      <c r="S182" s="472">
        <f>ROUND(R182*$S$5,2)</f>
        <v>48.17</v>
      </c>
      <c r="T182" s="472">
        <f t="shared" si="101"/>
        <v>289</v>
      </c>
      <c r="U182" s="269">
        <v>186</v>
      </c>
      <c r="V182" s="336">
        <f t="shared" si="50"/>
        <v>55.376344086021504</v>
      </c>
      <c r="W182" s="498">
        <v>253</v>
      </c>
      <c r="X182" s="470">
        <f t="shared" si="102"/>
        <v>14.229249011857718</v>
      </c>
      <c r="Y182" s="499">
        <v>7.85E-2</v>
      </c>
      <c r="Z182" s="487" t="e">
        <f>#REF!*Y182</f>
        <v>#REF!</v>
      </c>
      <c r="AB182" s="235">
        <v>198.52800000000002</v>
      </c>
      <c r="AC182" s="467"/>
      <c r="AD182" s="500">
        <f t="shared" si="103"/>
        <v>36</v>
      </c>
      <c r="AE182" s="284"/>
      <c r="AG182" s="466">
        <v>-0.14119999999999999</v>
      </c>
      <c r="AH182" s="285">
        <f t="shared" si="92"/>
        <v>1.1412</v>
      </c>
      <c r="AI182" s="285">
        <v>1.18</v>
      </c>
      <c r="AK182" s="286">
        <f t="shared" si="104"/>
        <v>298.54000000000002</v>
      </c>
      <c r="AM182" s="466">
        <v>1.034</v>
      </c>
      <c r="AN182" s="337">
        <v>-0.14119999999999999</v>
      </c>
      <c r="AO182" s="285" t="e">
        <f>#REF!-AM182</f>
        <v>#REF!</v>
      </c>
      <c r="AQ182" s="288">
        <f t="shared" si="105"/>
        <v>0.21970000000000001</v>
      </c>
      <c r="AR182" s="467">
        <v>243</v>
      </c>
      <c r="AS182" s="127" t="b">
        <f t="shared" si="106"/>
        <v>0</v>
      </c>
      <c r="AT182" s="289" t="e">
        <f>ROUND(W182/T182*100-100,2)+#REF!</f>
        <v>#REF!</v>
      </c>
      <c r="AW182">
        <f t="shared" si="107"/>
        <v>1.1419999999999999</v>
      </c>
    </row>
    <row r="183" spans="1:49" ht="25.5" x14ac:dyDescent="0.3">
      <c r="A183" s="477" t="s">
        <v>452</v>
      </c>
      <c r="B183" s="477" t="s">
        <v>202</v>
      </c>
      <c r="C183" s="475" t="s">
        <v>49</v>
      </c>
      <c r="D183" s="471" t="s">
        <v>190</v>
      </c>
      <c r="E183" s="484" t="s">
        <v>161</v>
      </c>
      <c r="F183" s="471">
        <f>VLOOKUP(E183,'[2]условия, ФОТ'!$A$14:$I$28,9, FALSE)</f>
        <v>206.19</v>
      </c>
      <c r="G183" s="478">
        <v>1</v>
      </c>
      <c r="H183" s="471">
        <f t="shared" si="97"/>
        <v>206.19</v>
      </c>
      <c r="I183" s="471">
        <f t="shared" si="94"/>
        <v>62.27</v>
      </c>
      <c r="J183" s="471">
        <f t="shared" si="95"/>
        <v>268.45999999999998</v>
      </c>
      <c r="K183" s="479"/>
      <c r="L183" s="471"/>
      <c r="M183" s="471"/>
      <c r="N183" s="471"/>
      <c r="O183" s="471"/>
      <c r="P183" s="471">
        <f t="shared" si="99"/>
        <v>268.45999999999998</v>
      </c>
      <c r="Q183" s="471">
        <f t="shared" si="10"/>
        <v>178.53</v>
      </c>
      <c r="R183" s="472">
        <f t="shared" si="108"/>
        <v>480.83</v>
      </c>
      <c r="S183" s="472">
        <f t="shared" si="11"/>
        <v>96.17</v>
      </c>
      <c r="T183" s="472">
        <f t="shared" si="101"/>
        <v>577</v>
      </c>
      <c r="U183" s="269">
        <v>372</v>
      </c>
      <c r="V183" s="336">
        <f t="shared" si="50"/>
        <v>55.107526881720418</v>
      </c>
      <c r="W183" s="498">
        <v>505</v>
      </c>
      <c r="X183" s="470">
        <f t="shared" si="102"/>
        <v>14.257425742574242</v>
      </c>
      <c r="Y183" s="499">
        <v>7.6300000000000007E-2</v>
      </c>
      <c r="Z183" s="487" t="e">
        <f>#REF!*Y183</f>
        <v>#REF!</v>
      </c>
      <c r="AB183" s="235">
        <v>396.02199999999999</v>
      </c>
      <c r="AC183" s="467"/>
      <c r="AD183" s="500">
        <f t="shared" si="103"/>
        <v>72</v>
      </c>
      <c r="AE183" s="284"/>
      <c r="AG183" s="466">
        <v>-0.1434</v>
      </c>
      <c r="AH183" s="285">
        <f t="shared" si="92"/>
        <v>1.1434</v>
      </c>
      <c r="AI183" s="285">
        <v>1.1819999999999999</v>
      </c>
      <c r="AK183" s="286">
        <f t="shared" si="104"/>
        <v>596.91</v>
      </c>
      <c r="AM183" s="466">
        <v>1.034</v>
      </c>
      <c r="AN183" s="337">
        <v>-0.1434</v>
      </c>
      <c r="AO183" s="285" t="e">
        <f>#REF!-AM183</f>
        <v>#REF!</v>
      </c>
      <c r="AQ183" s="288">
        <f t="shared" si="105"/>
        <v>0.21970000000000001</v>
      </c>
      <c r="AR183" s="467">
        <v>485</v>
      </c>
      <c r="AS183" s="127" t="b">
        <f t="shared" si="106"/>
        <v>0</v>
      </c>
      <c r="AT183" s="289" t="e">
        <f>ROUND(W183/T183*100-100,2)+#REF!</f>
        <v>#REF!</v>
      </c>
      <c r="AW183">
        <f t="shared" si="107"/>
        <v>1.143</v>
      </c>
    </row>
    <row r="184" spans="1:49" ht="18" customHeight="1" x14ac:dyDescent="0.3">
      <c r="A184" s="477" t="s">
        <v>453</v>
      </c>
      <c r="B184" s="477" t="s">
        <v>203</v>
      </c>
      <c r="C184" s="475" t="s">
        <v>50</v>
      </c>
      <c r="D184" s="471" t="s">
        <v>190</v>
      </c>
      <c r="E184" s="484" t="s">
        <v>161</v>
      </c>
      <c r="F184" s="471">
        <f>VLOOKUP(E184,'[2]условия, ФОТ'!$A$14:$I$28,9, FALSE)</f>
        <v>206.19</v>
      </c>
      <c r="G184" s="478">
        <v>0.1</v>
      </c>
      <c r="H184" s="471">
        <f t="shared" si="97"/>
        <v>20.62</v>
      </c>
      <c r="I184" s="471">
        <f t="shared" si="94"/>
        <v>6.23</v>
      </c>
      <c r="J184" s="471">
        <f t="shared" si="95"/>
        <v>26.85</v>
      </c>
      <c r="K184" s="479"/>
      <c r="L184" s="471"/>
      <c r="M184" s="471"/>
      <c r="N184" s="471"/>
      <c r="O184" s="471"/>
      <c r="P184" s="471">
        <f t="shared" si="99"/>
        <v>26.85</v>
      </c>
      <c r="Q184" s="471">
        <f t="shared" si="10"/>
        <v>17.86</v>
      </c>
      <c r="R184" s="472">
        <f t="shared" si="108"/>
        <v>48.33</v>
      </c>
      <c r="S184" s="472">
        <f t="shared" si="11"/>
        <v>9.67</v>
      </c>
      <c r="T184" s="472">
        <f t="shared" si="101"/>
        <v>58</v>
      </c>
      <c r="U184" s="269">
        <v>37</v>
      </c>
      <c r="V184" s="336">
        <f t="shared" si="50"/>
        <v>56.756756756756744</v>
      </c>
      <c r="W184" s="498">
        <v>51</v>
      </c>
      <c r="X184" s="470">
        <f t="shared" si="102"/>
        <v>13.725490196078425</v>
      </c>
      <c r="Y184" s="499">
        <v>8.7300000000000003E-2</v>
      </c>
      <c r="Z184" s="487" t="e">
        <f>#REF!*Y184</f>
        <v>#REF!</v>
      </c>
      <c r="AB184" s="235">
        <v>39.292000000000002</v>
      </c>
      <c r="AC184" s="467"/>
      <c r="AD184" s="500">
        <f t="shared" si="103"/>
        <v>7</v>
      </c>
      <c r="AE184" s="284"/>
      <c r="AG184" s="466">
        <v>-0.14990000000000001</v>
      </c>
      <c r="AH184" s="285">
        <f t="shared" si="92"/>
        <v>1.1498999999999999</v>
      </c>
      <c r="AI184" s="285">
        <v>1.1890000000000001</v>
      </c>
      <c r="AK184" s="286">
        <f t="shared" si="104"/>
        <v>60.64</v>
      </c>
      <c r="AM184" s="466">
        <v>1.034</v>
      </c>
      <c r="AN184" s="337">
        <v>-0.14990000000000001</v>
      </c>
      <c r="AO184" s="285" t="e">
        <f>#REF!-AM184</f>
        <v>#REF!</v>
      </c>
      <c r="AQ184" s="288">
        <f t="shared" si="105"/>
        <v>0.23720000000000002</v>
      </c>
      <c r="AR184" s="467">
        <v>49</v>
      </c>
      <c r="AS184" s="127" t="b">
        <f t="shared" si="106"/>
        <v>0</v>
      </c>
      <c r="AT184" s="289" t="e">
        <f>ROUND(W184/T184*100-100,2)+#REF!</f>
        <v>#REF!</v>
      </c>
      <c r="AW184">
        <f t="shared" si="107"/>
        <v>1.137</v>
      </c>
    </row>
    <row r="185" spans="1:49" ht="25.5" x14ac:dyDescent="0.3">
      <c r="A185" s="477" t="s">
        <v>454</v>
      </c>
      <c r="B185" s="477" t="s">
        <v>205</v>
      </c>
      <c r="C185" s="475" t="s">
        <v>362</v>
      </c>
      <c r="D185" s="471" t="s">
        <v>204</v>
      </c>
      <c r="E185" s="484" t="s">
        <v>161</v>
      </c>
      <c r="F185" s="471">
        <f>VLOOKUP(E185,'[2]условия, ФОТ'!$A$14:$I$28,9, FALSE)</f>
        <v>206.19</v>
      </c>
      <c r="G185" s="478">
        <v>0.5</v>
      </c>
      <c r="H185" s="471">
        <f t="shared" si="97"/>
        <v>103.1</v>
      </c>
      <c r="I185" s="471">
        <f t="shared" si="94"/>
        <v>31.14</v>
      </c>
      <c r="J185" s="471">
        <f t="shared" si="95"/>
        <v>134.24</v>
      </c>
      <c r="K185" s="479"/>
      <c r="L185" s="471"/>
      <c r="M185" s="471"/>
      <c r="N185" s="471"/>
      <c r="O185" s="471">
        <f>SUM(O186:O188)</f>
        <v>4.3500000000000005</v>
      </c>
      <c r="P185" s="471">
        <f>J185+O185</f>
        <v>138.59</v>
      </c>
      <c r="Q185" s="471">
        <f t="shared" si="10"/>
        <v>92.16</v>
      </c>
      <c r="R185" s="472">
        <f t="shared" si="108"/>
        <v>249.17</v>
      </c>
      <c r="S185" s="472">
        <f t="shared" si="11"/>
        <v>49.83</v>
      </c>
      <c r="T185" s="472">
        <f t="shared" si="101"/>
        <v>299</v>
      </c>
      <c r="U185" s="269">
        <v>196</v>
      </c>
      <c r="V185" s="336">
        <f t="shared" si="50"/>
        <v>52.551020408163254</v>
      </c>
      <c r="W185" s="498">
        <v>263</v>
      </c>
      <c r="X185" s="470">
        <f t="shared" si="102"/>
        <v>13.688212927756666</v>
      </c>
      <c r="Y185" s="499">
        <v>7.8399999999999997E-2</v>
      </c>
      <c r="Z185" s="487" t="e">
        <f>#REF!*Y185</f>
        <v>#REF!</v>
      </c>
      <c r="AB185" s="235">
        <v>208.86799999999999</v>
      </c>
      <c r="AC185" s="467"/>
      <c r="AD185" s="500">
        <f t="shared" si="103"/>
        <v>36</v>
      </c>
      <c r="AE185" s="284"/>
      <c r="AG185" s="466">
        <v>-0.12889999999999999</v>
      </c>
      <c r="AH185" s="285">
        <f t="shared" si="92"/>
        <v>1.1289</v>
      </c>
      <c r="AI185" s="285">
        <v>1.167</v>
      </c>
      <c r="AK185" s="286">
        <f t="shared" si="104"/>
        <v>306.92</v>
      </c>
      <c r="AM185" s="466">
        <v>1.034</v>
      </c>
      <c r="AN185" s="337">
        <v>-0.12889999999999999</v>
      </c>
      <c r="AO185" s="285" t="e">
        <f>#REF!-AM185</f>
        <v>#REF!</v>
      </c>
      <c r="AQ185" s="288">
        <f t="shared" si="105"/>
        <v>0.20729999999999998</v>
      </c>
      <c r="AR185" s="467">
        <v>252</v>
      </c>
      <c r="AS185" s="127" t="b">
        <f t="shared" si="106"/>
        <v>0</v>
      </c>
      <c r="AT185" s="289" t="e">
        <f>ROUND(W185/T185*100-100,2)+#REF!</f>
        <v>#REF!</v>
      </c>
      <c r="AW185">
        <f t="shared" si="107"/>
        <v>1.137</v>
      </c>
    </row>
    <row r="186" spans="1:49" ht="23.25" customHeight="1" outlineLevel="1" x14ac:dyDescent="0.3">
      <c r="A186" s="477"/>
      <c r="B186" s="477"/>
      <c r="C186" s="475"/>
      <c r="D186" s="471"/>
      <c r="E186" s="484"/>
      <c r="F186" s="471"/>
      <c r="G186" s="478"/>
      <c r="H186" s="471"/>
      <c r="I186" s="471"/>
      <c r="J186" s="295" t="s">
        <v>366</v>
      </c>
      <c r="K186" s="121" t="s">
        <v>335</v>
      </c>
      <c r="L186" s="478" t="str">
        <f>VLOOKUP(K186,[2]материалы!$A$5:$G$31,5, FALSE)</f>
        <v>кг</v>
      </c>
      <c r="M186" s="471">
        <f>VLOOKUP(K186,[2]материалы!$A$5:$G$34,7, FALSE)</f>
        <v>720.83</v>
      </c>
      <c r="N186" s="471">
        <v>5.0000000000000001E-3</v>
      </c>
      <c r="O186" s="471">
        <f t="shared" ref="O186:O188" si="109">ROUND(M186*N186,2)</f>
        <v>3.6</v>
      </c>
      <c r="P186" s="471"/>
      <c r="Q186" s="471"/>
      <c r="R186" s="472"/>
      <c r="S186" s="472"/>
      <c r="T186" s="472"/>
      <c r="U186" s="269"/>
      <c r="V186" s="336"/>
      <c r="W186" s="498"/>
      <c r="X186" s="470"/>
      <c r="Y186" s="499"/>
      <c r="Z186" s="487"/>
      <c r="AC186" s="467"/>
      <c r="AD186" s="468"/>
      <c r="AE186" s="284"/>
      <c r="AG186" s="466"/>
      <c r="AH186" s="285"/>
      <c r="AI186" s="285"/>
      <c r="AK186" s="286"/>
      <c r="AM186" s="466"/>
      <c r="AN186" s="337"/>
      <c r="AO186" s="285"/>
      <c r="AQ186" s="288"/>
      <c r="AR186" s="467"/>
      <c r="AT186" s="289"/>
    </row>
    <row r="187" spans="1:49" ht="16.5" customHeight="1" outlineLevel="1" x14ac:dyDescent="0.3">
      <c r="A187" s="477"/>
      <c r="B187" s="477"/>
      <c r="C187" s="475"/>
      <c r="D187" s="471"/>
      <c r="E187" s="484"/>
      <c r="F187" s="471"/>
      <c r="G187" s="478"/>
      <c r="H187" s="471"/>
      <c r="I187" s="471"/>
      <c r="J187" s="471"/>
      <c r="K187" s="296" t="s">
        <v>329</v>
      </c>
      <c r="L187" s="478" t="str">
        <f>VLOOKUP(K187,[2]материалы!$A$5:$G$31,5, FALSE)</f>
        <v>кг</v>
      </c>
      <c r="M187" s="471">
        <f>VLOOKUP(K187,[2]материалы!$A$5:$G$34,7, FALSE)</f>
        <v>79.17</v>
      </c>
      <c r="N187" s="471">
        <v>1E-3</v>
      </c>
      <c r="O187" s="471">
        <f t="shared" si="109"/>
        <v>0.08</v>
      </c>
      <c r="P187" s="471"/>
      <c r="Q187" s="471"/>
      <c r="R187" s="472"/>
      <c r="S187" s="472"/>
      <c r="T187" s="472"/>
      <c r="U187" s="269"/>
      <c r="V187" s="336"/>
      <c r="W187" s="498"/>
      <c r="X187" s="470"/>
      <c r="Y187" s="499"/>
      <c r="Z187" s="487"/>
      <c r="AC187" s="467"/>
      <c r="AD187" s="468"/>
      <c r="AE187" s="284"/>
      <c r="AG187" s="466"/>
      <c r="AH187" s="285"/>
      <c r="AI187" s="285"/>
      <c r="AK187" s="286"/>
      <c r="AM187" s="466"/>
      <c r="AN187" s="337"/>
      <c r="AO187" s="285"/>
      <c r="AQ187" s="288"/>
      <c r="AR187" s="467"/>
      <c r="AT187" s="289"/>
    </row>
    <row r="188" spans="1:49" ht="15.75" customHeight="1" outlineLevel="1" x14ac:dyDescent="0.3">
      <c r="A188" s="477"/>
      <c r="B188" s="477"/>
      <c r="C188" s="475"/>
      <c r="D188" s="471"/>
      <c r="E188" s="484"/>
      <c r="F188" s="471"/>
      <c r="G188" s="478"/>
      <c r="H188" s="471"/>
      <c r="I188" s="471"/>
      <c r="J188" s="471"/>
      <c r="K188" s="296" t="s">
        <v>330</v>
      </c>
      <c r="L188" s="478" t="str">
        <f>VLOOKUP(K188,[2]материалы!$A$5:$G$31,5, FALSE)</f>
        <v>кг</v>
      </c>
      <c r="M188" s="471">
        <f>VLOOKUP(K188,[2]материалы!$A$5:$G$34,7, FALSE)</f>
        <v>66.67</v>
      </c>
      <c r="N188" s="471">
        <v>0.01</v>
      </c>
      <c r="O188" s="471">
        <f t="shared" si="109"/>
        <v>0.67</v>
      </c>
      <c r="P188" s="471"/>
      <c r="Q188" s="471"/>
      <c r="R188" s="472"/>
      <c r="S188" s="472"/>
      <c r="T188" s="472"/>
      <c r="U188" s="269"/>
      <c r="V188" s="336"/>
      <c r="W188" s="498"/>
      <c r="X188" s="470"/>
      <c r="Y188" s="499"/>
      <c r="Z188" s="487"/>
      <c r="AC188" s="467"/>
      <c r="AD188" s="468"/>
      <c r="AE188" s="284"/>
      <c r="AG188" s="466"/>
      <c r="AH188" s="285"/>
      <c r="AI188" s="285"/>
      <c r="AK188" s="286"/>
      <c r="AM188" s="466"/>
      <c r="AN188" s="337"/>
      <c r="AO188" s="285"/>
      <c r="AQ188" s="288"/>
      <c r="AR188" s="467"/>
      <c r="AT188" s="289"/>
    </row>
    <row r="189" spans="1:49" ht="31.7" customHeight="1" x14ac:dyDescent="0.3">
      <c r="A189" s="477" t="s">
        <v>455</v>
      </c>
      <c r="B189" s="477" t="s">
        <v>206</v>
      </c>
      <c r="C189" s="475" t="s">
        <v>51</v>
      </c>
      <c r="D189" s="471" t="s">
        <v>198</v>
      </c>
      <c r="E189" s="484" t="s">
        <v>161</v>
      </c>
      <c r="F189" s="471">
        <f>VLOOKUP(E189,'[2]условия, ФОТ'!$A$14:$I$28,9, FALSE)</f>
        <v>206.19</v>
      </c>
      <c r="G189" s="478">
        <v>0.5</v>
      </c>
      <c r="H189" s="471">
        <f t="shared" si="97"/>
        <v>103.1</v>
      </c>
      <c r="I189" s="471">
        <f t="shared" si="94"/>
        <v>31.14</v>
      </c>
      <c r="J189" s="471">
        <f t="shared" si="95"/>
        <v>134.24</v>
      </c>
      <c r="K189" s="479"/>
      <c r="L189" s="471"/>
      <c r="M189" s="471"/>
      <c r="N189" s="471"/>
      <c r="O189" s="471"/>
      <c r="P189" s="471">
        <f t="shared" si="99"/>
        <v>134.24</v>
      </c>
      <c r="Q189" s="471">
        <f t="shared" si="10"/>
        <v>89.27</v>
      </c>
      <c r="R189" s="472">
        <f>ROUND(T189/1.2,2)</f>
        <v>240.83</v>
      </c>
      <c r="S189" s="472">
        <f>ROUND(R189*$S$5,2)</f>
        <v>48.17</v>
      </c>
      <c r="T189" s="472">
        <f t="shared" ref="T189:T197" si="110">ROUND((P189+Q189)*(1+Y189)*1.2,0)</f>
        <v>289</v>
      </c>
      <c r="U189" s="269">
        <v>186</v>
      </c>
      <c r="V189" s="336">
        <f t="shared" si="50"/>
        <v>55.376344086021504</v>
      </c>
      <c r="W189" s="498">
        <v>253</v>
      </c>
      <c r="X189" s="470">
        <f t="shared" ref="X189:X197" si="111">T189/W189*100-100</f>
        <v>14.229249011857718</v>
      </c>
      <c r="Y189" s="499">
        <v>7.85E-2</v>
      </c>
      <c r="Z189" s="487" t="e">
        <f>#REF!*Y189</f>
        <v>#REF!</v>
      </c>
      <c r="AB189" s="235">
        <v>198.52800000000002</v>
      </c>
      <c r="AC189" s="467"/>
      <c r="AD189" s="500">
        <f t="shared" ref="AD189:AD197" si="112">T189-W189</f>
        <v>36</v>
      </c>
      <c r="AE189" s="284"/>
      <c r="AG189" s="466">
        <v>-0.14119999999999999</v>
      </c>
      <c r="AH189" s="285">
        <f t="shared" si="92"/>
        <v>1.1412</v>
      </c>
      <c r="AI189" s="285">
        <v>1.18</v>
      </c>
      <c r="AK189" s="286">
        <f t="shared" ref="AK189:AK196" si="113">ROUND(W189*AI189,2)</f>
        <v>298.54000000000002</v>
      </c>
      <c r="AM189" s="466">
        <v>1.034</v>
      </c>
      <c r="AN189" s="337">
        <v>-0.14119999999999999</v>
      </c>
      <c r="AO189" s="285" t="e">
        <f>#REF!-AM189</f>
        <v>#REF!</v>
      </c>
      <c r="AQ189" s="288">
        <f t="shared" ref="AQ189:AQ197" si="114">Y189-AN189</f>
        <v>0.21970000000000001</v>
      </c>
      <c r="AR189" s="467">
        <v>243</v>
      </c>
      <c r="AS189" s="127" t="b">
        <f t="shared" ref="AS189:AS197" si="115">W189=AR189</f>
        <v>0</v>
      </c>
      <c r="AT189" s="289" t="e">
        <f>ROUND(W189/T189*100-100,2)+#REF!</f>
        <v>#REF!</v>
      </c>
      <c r="AW189">
        <f t="shared" ref="AW189:AW197" si="116">ROUND(T189/W189,3)</f>
        <v>1.1419999999999999</v>
      </c>
    </row>
    <row r="190" spans="1:49" ht="23.25" customHeight="1" x14ac:dyDescent="0.3">
      <c r="A190" s="477" t="s">
        <v>456</v>
      </c>
      <c r="B190" s="477" t="s">
        <v>207</v>
      </c>
      <c r="C190" s="475" t="s">
        <v>52</v>
      </c>
      <c r="D190" s="471" t="s">
        <v>180</v>
      </c>
      <c r="E190" s="484" t="s">
        <v>161</v>
      </c>
      <c r="F190" s="471">
        <f>VLOOKUP(E190,'[2]условия, ФОТ'!$A$14:$I$28,9, FALSE)</f>
        <v>206.19</v>
      </c>
      <c r="G190" s="478">
        <v>0.3</v>
      </c>
      <c r="H190" s="471">
        <f t="shared" si="97"/>
        <v>61.86</v>
      </c>
      <c r="I190" s="471">
        <f t="shared" si="94"/>
        <v>18.68</v>
      </c>
      <c r="J190" s="471">
        <f t="shared" si="95"/>
        <v>80.539999999999992</v>
      </c>
      <c r="K190" s="479"/>
      <c r="L190" s="471"/>
      <c r="M190" s="471"/>
      <c r="N190" s="471"/>
      <c r="O190" s="471"/>
      <c r="P190" s="471">
        <f t="shared" si="99"/>
        <v>80.539999999999992</v>
      </c>
      <c r="Q190" s="471">
        <f t="shared" si="10"/>
        <v>53.56</v>
      </c>
      <c r="R190" s="472">
        <f t="shared" ref="R190:R199" si="117">ROUND(T190/1.2,2)</f>
        <v>145</v>
      </c>
      <c r="S190" s="472">
        <f>ROUND(R190*$S$5,2)</f>
        <v>29</v>
      </c>
      <c r="T190" s="472">
        <f t="shared" si="110"/>
        <v>174</v>
      </c>
      <c r="U190" s="269">
        <v>111</v>
      </c>
      <c r="V190" s="336">
        <f t="shared" si="50"/>
        <v>56.756756756756744</v>
      </c>
      <c r="W190" s="498">
        <v>152</v>
      </c>
      <c r="X190" s="470">
        <f t="shared" si="111"/>
        <v>14.473684210526301</v>
      </c>
      <c r="Y190" s="499">
        <v>0.08</v>
      </c>
      <c r="Z190" s="487" t="e">
        <f>#REF!*Y190</f>
        <v>#REF!</v>
      </c>
      <c r="AB190" s="235">
        <v>118.91</v>
      </c>
      <c r="AC190" s="467"/>
      <c r="AD190" s="500">
        <f t="shared" si="112"/>
        <v>22</v>
      </c>
      <c r="AE190" s="284"/>
      <c r="AG190" s="466">
        <v>-0.14269999999999999</v>
      </c>
      <c r="AH190" s="285">
        <f t="shared" si="92"/>
        <v>1.1427</v>
      </c>
      <c r="AI190" s="285">
        <v>1.1819999999999999</v>
      </c>
      <c r="AK190" s="286">
        <f t="shared" si="113"/>
        <v>179.66</v>
      </c>
      <c r="AM190" s="466">
        <v>1.034</v>
      </c>
      <c r="AN190" s="337">
        <v>-0.14269999999999999</v>
      </c>
      <c r="AO190" s="285" t="e">
        <f>#REF!-AM190</f>
        <v>#REF!</v>
      </c>
      <c r="AQ190" s="288">
        <f t="shared" si="114"/>
        <v>0.22270000000000001</v>
      </c>
      <c r="AR190" s="467">
        <v>146</v>
      </c>
      <c r="AS190" s="127" t="b">
        <f t="shared" si="115"/>
        <v>0</v>
      </c>
      <c r="AT190" s="289" t="e">
        <f>ROUND(W190/T190*100-100,2)+#REF!</f>
        <v>#REF!</v>
      </c>
      <c r="AW190">
        <f t="shared" si="116"/>
        <v>1.145</v>
      </c>
    </row>
    <row r="191" spans="1:49" ht="28.5" customHeight="1" x14ac:dyDescent="0.3">
      <c r="A191" s="477" t="s">
        <v>457</v>
      </c>
      <c r="B191" s="477" t="s">
        <v>208</v>
      </c>
      <c r="C191" s="475" t="s">
        <v>53</v>
      </c>
      <c r="D191" s="471" t="s">
        <v>209</v>
      </c>
      <c r="E191" s="484" t="s">
        <v>161</v>
      </c>
      <c r="F191" s="471">
        <f>VLOOKUP(E191,'[2]условия, ФОТ'!$A$14:$I$28,9, FALSE)</f>
        <v>206.19</v>
      </c>
      <c r="G191" s="478">
        <v>0.67</v>
      </c>
      <c r="H191" s="471">
        <f t="shared" si="97"/>
        <v>138.15</v>
      </c>
      <c r="I191" s="471">
        <f t="shared" si="94"/>
        <v>41.72</v>
      </c>
      <c r="J191" s="471">
        <f t="shared" si="95"/>
        <v>179.87</v>
      </c>
      <c r="K191" s="479"/>
      <c r="L191" s="471"/>
      <c r="M191" s="471"/>
      <c r="N191" s="471"/>
      <c r="O191" s="471"/>
      <c r="P191" s="471">
        <f t="shared" si="99"/>
        <v>179.87</v>
      </c>
      <c r="Q191" s="471">
        <f t="shared" si="10"/>
        <v>119.61</v>
      </c>
      <c r="R191" s="472">
        <f t="shared" si="117"/>
        <v>322.5</v>
      </c>
      <c r="S191" s="472">
        <f t="shared" si="11"/>
        <v>64.5</v>
      </c>
      <c r="T191" s="472">
        <f t="shared" si="110"/>
        <v>387</v>
      </c>
      <c r="U191" s="269">
        <v>249</v>
      </c>
      <c r="V191" s="336">
        <f t="shared" si="50"/>
        <v>55.421686746987945</v>
      </c>
      <c r="W191" s="498">
        <v>339</v>
      </c>
      <c r="X191" s="470">
        <f t="shared" si="111"/>
        <v>14.159292035398224</v>
      </c>
      <c r="Y191" s="499">
        <v>7.6399999999999996E-2</v>
      </c>
      <c r="Z191" s="487" t="e">
        <f>#REF!*Y191</f>
        <v>#REF!</v>
      </c>
      <c r="AB191" s="235">
        <v>265.738</v>
      </c>
      <c r="AC191" s="467"/>
      <c r="AD191" s="500">
        <f t="shared" si="112"/>
        <v>48</v>
      </c>
      <c r="AE191" s="284"/>
      <c r="AG191" s="466">
        <v>-0.14219999999999999</v>
      </c>
      <c r="AH191" s="285">
        <f t="shared" si="92"/>
        <v>1.1421999999999999</v>
      </c>
      <c r="AI191" s="285">
        <v>1.181</v>
      </c>
      <c r="AK191" s="286">
        <f t="shared" si="113"/>
        <v>400.36</v>
      </c>
      <c r="AM191" s="466">
        <v>1.034</v>
      </c>
      <c r="AN191" s="337">
        <v>-0.14219999999999999</v>
      </c>
      <c r="AO191" s="285" t="e">
        <f>#REF!-AM191</f>
        <v>#REF!</v>
      </c>
      <c r="AQ191" s="288">
        <f t="shared" si="114"/>
        <v>0.21859999999999999</v>
      </c>
      <c r="AR191" s="467">
        <v>325</v>
      </c>
      <c r="AS191" s="127" t="b">
        <f t="shared" si="115"/>
        <v>0</v>
      </c>
      <c r="AT191" s="289" t="e">
        <f>ROUND(W191/T191*100-100,2)+#REF!</f>
        <v>#REF!</v>
      </c>
      <c r="AW191">
        <f t="shared" si="116"/>
        <v>1.1419999999999999</v>
      </c>
    </row>
    <row r="192" spans="1:49" x14ac:dyDescent="0.3">
      <c r="A192" s="477" t="s">
        <v>458</v>
      </c>
      <c r="B192" s="477" t="s">
        <v>210</v>
      </c>
      <c r="C192" s="475" t="s">
        <v>54</v>
      </c>
      <c r="D192" s="471" t="s">
        <v>211</v>
      </c>
      <c r="E192" s="484" t="s">
        <v>161</v>
      </c>
      <c r="F192" s="471">
        <f>VLOOKUP(E192,'[2]условия, ФОТ'!$A$14:$I$28,9, FALSE)</f>
        <v>206.19</v>
      </c>
      <c r="G192" s="478">
        <v>0.17</v>
      </c>
      <c r="H192" s="471">
        <f t="shared" si="97"/>
        <v>35.049999999999997</v>
      </c>
      <c r="I192" s="471">
        <f t="shared" si="94"/>
        <v>10.59</v>
      </c>
      <c r="J192" s="471">
        <f t="shared" si="95"/>
        <v>45.64</v>
      </c>
      <c r="K192" s="479"/>
      <c r="L192" s="471"/>
      <c r="M192" s="471"/>
      <c r="N192" s="471"/>
      <c r="O192" s="471"/>
      <c r="P192" s="471">
        <f t="shared" si="99"/>
        <v>45.64</v>
      </c>
      <c r="Q192" s="471">
        <f t="shared" si="10"/>
        <v>30.35</v>
      </c>
      <c r="R192" s="472">
        <f t="shared" si="117"/>
        <v>81.67</v>
      </c>
      <c r="S192" s="472">
        <f t="shared" si="11"/>
        <v>16.329999999999998</v>
      </c>
      <c r="T192" s="472">
        <f t="shared" si="110"/>
        <v>98</v>
      </c>
      <c r="U192" s="269">
        <v>63</v>
      </c>
      <c r="V192" s="336">
        <f t="shared" si="50"/>
        <v>55.555555555555571</v>
      </c>
      <c r="W192" s="498">
        <v>85</v>
      </c>
      <c r="X192" s="470">
        <f t="shared" si="111"/>
        <v>15.294117647058812</v>
      </c>
      <c r="Y192" s="499">
        <v>7.0099999999999996E-2</v>
      </c>
      <c r="Z192" s="487" t="e">
        <f>#REF!*Y192</f>
        <v>#REF!</v>
      </c>
      <c r="AB192" s="235">
        <v>67.210000000000008</v>
      </c>
      <c r="AC192" s="467"/>
      <c r="AD192" s="500">
        <f t="shared" si="112"/>
        <v>13</v>
      </c>
      <c r="AE192" s="284"/>
      <c r="AG192" s="466">
        <v>-0.1449</v>
      </c>
      <c r="AH192" s="285">
        <f t="shared" si="92"/>
        <v>1.1449</v>
      </c>
      <c r="AI192" s="285">
        <v>1.1839999999999999</v>
      </c>
      <c r="AK192" s="286">
        <f t="shared" si="113"/>
        <v>100.64</v>
      </c>
      <c r="AM192" s="466">
        <v>1.034</v>
      </c>
      <c r="AN192" s="337">
        <v>-0.1449</v>
      </c>
      <c r="AO192" s="285" t="e">
        <f>#REF!-AM192</f>
        <v>#REF!</v>
      </c>
      <c r="AQ192" s="288">
        <f t="shared" si="114"/>
        <v>0.215</v>
      </c>
      <c r="AR192" s="467">
        <v>82</v>
      </c>
      <c r="AS192" s="127" t="b">
        <f t="shared" si="115"/>
        <v>0</v>
      </c>
      <c r="AT192" s="289" t="e">
        <f>ROUND(W192/T192*100-100,2)+#REF!</f>
        <v>#REF!</v>
      </c>
      <c r="AW192">
        <f t="shared" si="116"/>
        <v>1.153</v>
      </c>
    </row>
    <row r="193" spans="1:49" x14ac:dyDescent="0.3">
      <c r="A193" s="477" t="s">
        <v>459</v>
      </c>
      <c r="B193" s="477" t="s">
        <v>212</v>
      </c>
      <c r="C193" s="475" t="s">
        <v>55</v>
      </c>
      <c r="D193" s="471" t="s">
        <v>198</v>
      </c>
      <c r="E193" s="484" t="s">
        <v>161</v>
      </c>
      <c r="F193" s="471">
        <f>VLOOKUP(E193,'[2]условия, ФОТ'!$A$14:$I$28,9, FALSE)</f>
        <v>206.19</v>
      </c>
      <c r="G193" s="478">
        <v>0.5</v>
      </c>
      <c r="H193" s="471">
        <f t="shared" si="97"/>
        <v>103.1</v>
      </c>
      <c r="I193" s="471">
        <f t="shared" si="94"/>
        <v>31.14</v>
      </c>
      <c r="J193" s="471">
        <f t="shared" si="95"/>
        <v>134.24</v>
      </c>
      <c r="K193" s="479"/>
      <c r="L193" s="471"/>
      <c r="M193" s="471"/>
      <c r="N193" s="471"/>
      <c r="O193" s="471"/>
      <c r="P193" s="471">
        <f t="shared" si="99"/>
        <v>134.24</v>
      </c>
      <c r="Q193" s="471">
        <f t="shared" si="10"/>
        <v>89.27</v>
      </c>
      <c r="R193" s="472">
        <f t="shared" si="117"/>
        <v>240.83</v>
      </c>
      <c r="S193" s="472">
        <f>ROUND(R193*$S$5,2)</f>
        <v>48.17</v>
      </c>
      <c r="T193" s="472">
        <f t="shared" si="110"/>
        <v>289</v>
      </c>
      <c r="U193" s="269">
        <v>186</v>
      </c>
      <c r="V193" s="336">
        <f t="shared" si="50"/>
        <v>55.376344086021504</v>
      </c>
      <c r="W193" s="498">
        <v>253</v>
      </c>
      <c r="X193" s="470">
        <f t="shared" si="111"/>
        <v>14.229249011857718</v>
      </c>
      <c r="Y193" s="499">
        <v>7.85E-2</v>
      </c>
      <c r="Z193" s="487" t="e">
        <f>#REF!*Y193</f>
        <v>#REF!</v>
      </c>
      <c r="AB193" s="235">
        <v>198.52800000000002</v>
      </c>
      <c r="AC193" s="467"/>
      <c r="AD193" s="500">
        <f t="shared" si="112"/>
        <v>36</v>
      </c>
      <c r="AE193" s="284"/>
      <c r="AG193" s="466">
        <v>-0.14119999999999999</v>
      </c>
      <c r="AH193" s="285">
        <f t="shared" si="92"/>
        <v>1.1412</v>
      </c>
      <c r="AI193" s="285">
        <v>1.18</v>
      </c>
      <c r="AK193" s="286">
        <f t="shared" si="113"/>
        <v>298.54000000000002</v>
      </c>
      <c r="AM193" s="466">
        <v>1.034</v>
      </c>
      <c r="AN193" s="337">
        <v>-0.14119999999999999</v>
      </c>
      <c r="AO193" s="285" t="e">
        <f>#REF!-AM193</f>
        <v>#REF!</v>
      </c>
      <c r="AQ193" s="288">
        <f t="shared" si="114"/>
        <v>0.21970000000000001</v>
      </c>
      <c r="AR193" s="467">
        <v>243</v>
      </c>
      <c r="AS193" s="127" t="b">
        <f t="shared" si="115"/>
        <v>0</v>
      </c>
      <c r="AT193" s="289" t="e">
        <f>ROUND(W193/T193*100-100,2)+#REF!</f>
        <v>#REF!</v>
      </c>
      <c r="AW193">
        <f t="shared" si="116"/>
        <v>1.1419999999999999</v>
      </c>
    </row>
    <row r="194" spans="1:49" x14ac:dyDescent="0.3">
      <c r="A194" s="477" t="s">
        <v>460</v>
      </c>
      <c r="B194" s="477" t="s">
        <v>213</v>
      </c>
      <c r="C194" s="475" t="s">
        <v>56</v>
      </c>
      <c r="D194" s="471" t="s">
        <v>177</v>
      </c>
      <c r="E194" s="484" t="s">
        <v>161</v>
      </c>
      <c r="F194" s="471">
        <f>VLOOKUP(E194,'[2]условия, ФОТ'!$A$14:$I$28,9, FALSE)</f>
        <v>206.19</v>
      </c>
      <c r="G194" s="478">
        <v>0.67</v>
      </c>
      <c r="H194" s="471">
        <f t="shared" si="97"/>
        <v>138.15</v>
      </c>
      <c r="I194" s="471">
        <f t="shared" si="94"/>
        <v>41.72</v>
      </c>
      <c r="J194" s="471">
        <f t="shared" si="95"/>
        <v>179.87</v>
      </c>
      <c r="K194" s="479"/>
      <c r="L194" s="471"/>
      <c r="M194" s="471"/>
      <c r="N194" s="471"/>
      <c r="O194" s="471"/>
      <c r="P194" s="471">
        <f t="shared" si="99"/>
        <v>179.87</v>
      </c>
      <c r="Q194" s="471">
        <f t="shared" si="10"/>
        <v>119.61</v>
      </c>
      <c r="R194" s="472">
        <f t="shared" si="117"/>
        <v>322.5</v>
      </c>
      <c r="S194" s="472">
        <f t="shared" si="11"/>
        <v>64.5</v>
      </c>
      <c r="T194" s="472">
        <f t="shared" si="110"/>
        <v>387</v>
      </c>
      <c r="U194" s="269">
        <v>249</v>
      </c>
      <c r="V194" s="336">
        <f t="shared" si="50"/>
        <v>55.421686746987945</v>
      </c>
      <c r="W194" s="498">
        <v>339</v>
      </c>
      <c r="X194" s="470">
        <f t="shared" si="111"/>
        <v>14.159292035398224</v>
      </c>
      <c r="Y194" s="499">
        <v>7.6399999999999996E-2</v>
      </c>
      <c r="Z194" s="487" t="e">
        <f>#REF!*Y194</f>
        <v>#REF!</v>
      </c>
      <c r="AB194" s="235">
        <v>265.738</v>
      </c>
      <c r="AC194" s="467"/>
      <c r="AD194" s="500">
        <f t="shared" si="112"/>
        <v>48</v>
      </c>
      <c r="AE194" s="284"/>
      <c r="AG194" s="466">
        <v>-0.14219999999999999</v>
      </c>
      <c r="AH194" s="285">
        <f t="shared" si="92"/>
        <v>1.1421999999999999</v>
      </c>
      <c r="AI194" s="285">
        <v>1.181</v>
      </c>
      <c r="AK194" s="286">
        <f t="shared" si="113"/>
        <v>400.36</v>
      </c>
      <c r="AM194" s="466">
        <v>1.034</v>
      </c>
      <c r="AN194" s="337">
        <v>-0.14219999999999999</v>
      </c>
      <c r="AO194" s="285" t="e">
        <f>#REF!-AM194</f>
        <v>#REF!</v>
      </c>
      <c r="AQ194" s="288">
        <f t="shared" si="114"/>
        <v>0.21859999999999999</v>
      </c>
      <c r="AR194" s="467">
        <v>325</v>
      </c>
      <c r="AS194" s="127" t="b">
        <f t="shared" si="115"/>
        <v>0</v>
      </c>
      <c r="AT194" s="289" t="e">
        <f>ROUND(W194/T194*100-100,2)+#REF!</f>
        <v>#REF!</v>
      </c>
      <c r="AW194">
        <f t="shared" si="116"/>
        <v>1.1419999999999999</v>
      </c>
    </row>
    <row r="195" spans="1:49" x14ac:dyDescent="0.3">
      <c r="A195" s="477" t="s">
        <v>461</v>
      </c>
      <c r="B195" s="477" t="s">
        <v>214</v>
      </c>
      <c r="C195" s="475" t="s">
        <v>57</v>
      </c>
      <c r="D195" s="471" t="s">
        <v>215</v>
      </c>
      <c r="E195" s="484" t="s">
        <v>161</v>
      </c>
      <c r="F195" s="471">
        <f>VLOOKUP(E195,'[2]условия, ФОТ'!$A$14:$I$28,9, FALSE)</f>
        <v>206.19</v>
      </c>
      <c r="G195" s="478">
        <v>0.3</v>
      </c>
      <c r="H195" s="471">
        <f t="shared" si="97"/>
        <v>61.86</v>
      </c>
      <c r="I195" s="471">
        <f t="shared" si="94"/>
        <v>18.68</v>
      </c>
      <c r="J195" s="471">
        <f t="shared" si="95"/>
        <v>80.539999999999992</v>
      </c>
      <c r="K195" s="479"/>
      <c r="L195" s="471"/>
      <c r="M195" s="471"/>
      <c r="N195" s="471"/>
      <c r="O195" s="471"/>
      <c r="P195" s="471">
        <f t="shared" si="99"/>
        <v>80.539999999999992</v>
      </c>
      <c r="Q195" s="471">
        <f t="shared" si="10"/>
        <v>53.56</v>
      </c>
      <c r="R195" s="472">
        <f t="shared" si="117"/>
        <v>145</v>
      </c>
      <c r="S195" s="472">
        <f>ROUND(R195*$S$5,2)</f>
        <v>29</v>
      </c>
      <c r="T195" s="472">
        <f t="shared" si="110"/>
        <v>174</v>
      </c>
      <c r="U195" s="269">
        <v>111</v>
      </c>
      <c r="V195" s="336">
        <f t="shared" si="50"/>
        <v>56.756756756756744</v>
      </c>
      <c r="W195" s="498">
        <v>152</v>
      </c>
      <c r="X195" s="470">
        <f t="shared" si="111"/>
        <v>14.473684210526301</v>
      </c>
      <c r="Y195" s="499">
        <v>0.08</v>
      </c>
      <c r="Z195" s="487" t="e">
        <f>#REF!*Y195</f>
        <v>#REF!</v>
      </c>
      <c r="AB195" s="235">
        <v>118.91</v>
      </c>
      <c r="AC195" s="467"/>
      <c r="AD195" s="500">
        <f t="shared" si="112"/>
        <v>22</v>
      </c>
      <c r="AE195" s="284"/>
      <c r="AG195" s="466">
        <v>-0.14269999999999999</v>
      </c>
      <c r="AH195" s="285">
        <f t="shared" si="92"/>
        <v>1.1427</v>
      </c>
      <c r="AI195" s="285">
        <v>1.1819999999999999</v>
      </c>
      <c r="AK195" s="286">
        <f t="shared" si="113"/>
        <v>179.66</v>
      </c>
      <c r="AM195" s="466">
        <v>1.034</v>
      </c>
      <c r="AN195" s="337">
        <v>-0.14269999999999999</v>
      </c>
      <c r="AO195" s="285" t="e">
        <f>#REF!-AM195</f>
        <v>#REF!</v>
      </c>
      <c r="AQ195" s="288">
        <f t="shared" si="114"/>
        <v>0.22270000000000001</v>
      </c>
      <c r="AR195" s="467">
        <v>146</v>
      </c>
      <c r="AS195" s="127" t="b">
        <f t="shared" si="115"/>
        <v>0</v>
      </c>
      <c r="AT195" s="289" t="e">
        <f>ROUND(W195/T195*100-100,2)+#REF!</f>
        <v>#REF!</v>
      </c>
      <c r="AW195">
        <f t="shared" si="116"/>
        <v>1.145</v>
      </c>
    </row>
    <row r="196" spans="1:49" x14ac:dyDescent="0.3">
      <c r="A196" s="477" t="s">
        <v>462</v>
      </c>
      <c r="B196" s="477" t="s">
        <v>216</v>
      </c>
      <c r="C196" s="475" t="s">
        <v>58</v>
      </c>
      <c r="D196" s="471" t="s">
        <v>215</v>
      </c>
      <c r="E196" s="484" t="s">
        <v>161</v>
      </c>
      <c r="F196" s="471">
        <f>VLOOKUP(E196,'[2]условия, ФОТ'!$A$14:$I$28,9, FALSE)</f>
        <v>206.19</v>
      </c>
      <c r="G196" s="478">
        <v>0.25</v>
      </c>
      <c r="H196" s="471">
        <f t="shared" si="97"/>
        <v>51.55</v>
      </c>
      <c r="I196" s="471">
        <f t="shared" si="94"/>
        <v>15.57</v>
      </c>
      <c r="J196" s="471">
        <f t="shared" si="95"/>
        <v>67.12</v>
      </c>
      <c r="K196" s="479"/>
      <c r="L196" s="471"/>
      <c r="M196" s="471"/>
      <c r="N196" s="471"/>
      <c r="O196" s="471"/>
      <c r="P196" s="471">
        <f t="shared" si="99"/>
        <v>67.12</v>
      </c>
      <c r="Q196" s="471">
        <f t="shared" si="10"/>
        <v>44.63</v>
      </c>
      <c r="R196" s="472">
        <f t="shared" si="117"/>
        <v>120</v>
      </c>
      <c r="S196" s="472">
        <f t="shared" si="11"/>
        <v>24</v>
      </c>
      <c r="T196" s="472">
        <f t="shared" si="110"/>
        <v>144</v>
      </c>
      <c r="U196" s="269">
        <v>93</v>
      </c>
      <c r="V196" s="336">
        <f t="shared" si="50"/>
        <v>54.838709677419359</v>
      </c>
      <c r="W196" s="498">
        <v>126</v>
      </c>
      <c r="X196" s="470">
        <f t="shared" si="111"/>
        <v>14.285714285714278</v>
      </c>
      <c r="Y196" s="499">
        <v>7.3800000000000004E-2</v>
      </c>
      <c r="Z196" s="487" t="e">
        <f>#REF!*Y196</f>
        <v>#REF!</v>
      </c>
      <c r="AB196" s="235">
        <v>99.26400000000001</v>
      </c>
      <c r="AC196" s="467"/>
      <c r="AD196" s="500">
        <f t="shared" si="112"/>
        <v>18</v>
      </c>
      <c r="AE196" s="284"/>
      <c r="AG196" s="466">
        <v>-0.14130000000000001</v>
      </c>
      <c r="AH196" s="285">
        <f t="shared" si="92"/>
        <v>1.1413</v>
      </c>
      <c r="AI196" s="285">
        <v>1.18</v>
      </c>
      <c r="AK196" s="286">
        <f t="shared" si="113"/>
        <v>148.68</v>
      </c>
      <c r="AM196" s="466">
        <v>1.034</v>
      </c>
      <c r="AN196" s="337">
        <v>-0.14130000000000001</v>
      </c>
      <c r="AO196" s="285" t="e">
        <f>#REF!-AM196</f>
        <v>#REF!</v>
      </c>
      <c r="AQ196" s="288">
        <f t="shared" si="114"/>
        <v>0.21510000000000001</v>
      </c>
      <c r="AR196" s="467">
        <v>121</v>
      </c>
      <c r="AS196" s="127" t="b">
        <f t="shared" si="115"/>
        <v>0</v>
      </c>
      <c r="AT196" s="289" t="e">
        <f>ROUND(W196/T196*100-100,2)+#REF!</f>
        <v>#REF!</v>
      </c>
      <c r="AW196">
        <f t="shared" si="116"/>
        <v>1.143</v>
      </c>
    </row>
    <row r="197" spans="1:49" s="223" customFormat="1" ht="41.25" customHeight="1" x14ac:dyDescent="0.3">
      <c r="A197" s="477" t="s">
        <v>681</v>
      </c>
      <c r="B197" s="477" t="s">
        <v>216</v>
      </c>
      <c r="C197" s="475" t="s">
        <v>682</v>
      </c>
      <c r="D197" s="471" t="s">
        <v>215</v>
      </c>
      <c r="E197" s="484" t="s">
        <v>161</v>
      </c>
      <c r="F197" s="471">
        <f>VLOOKUP(E197,'[2]условия, ФОТ'!$A$14:$I$28,9, FALSE)</f>
        <v>206.19</v>
      </c>
      <c r="G197" s="478">
        <v>0.25</v>
      </c>
      <c r="H197" s="471">
        <f t="shared" si="97"/>
        <v>51.55</v>
      </c>
      <c r="I197" s="471">
        <f t="shared" si="94"/>
        <v>15.57</v>
      </c>
      <c r="J197" s="471">
        <f t="shared" si="95"/>
        <v>67.12</v>
      </c>
      <c r="K197" s="479"/>
      <c r="L197" s="471"/>
      <c r="M197" s="471"/>
      <c r="N197" s="471"/>
      <c r="O197" s="471">
        <f>SUM(O198)</f>
        <v>291.67</v>
      </c>
      <c r="P197" s="471">
        <f t="shared" si="99"/>
        <v>358.79</v>
      </c>
      <c r="Q197" s="471">
        <f t="shared" si="10"/>
        <v>238.6</v>
      </c>
      <c r="R197" s="472">
        <f t="shared" si="117"/>
        <v>622.5</v>
      </c>
      <c r="S197" s="472">
        <f t="shared" si="11"/>
        <v>124.5</v>
      </c>
      <c r="T197" s="472">
        <f t="shared" si="110"/>
        <v>747</v>
      </c>
      <c r="U197" s="269"/>
      <c r="V197" s="336"/>
      <c r="W197" s="503">
        <v>730</v>
      </c>
      <c r="X197" s="351">
        <f t="shared" si="111"/>
        <v>2.3287671232876619</v>
      </c>
      <c r="Y197" s="504">
        <v>4.2099999999999999E-2</v>
      </c>
      <c r="Z197" s="487" t="e">
        <f>#REF!*Y197</f>
        <v>#REF!</v>
      </c>
      <c r="AA197" s="381"/>
      <c r="AB197" s="356">
        <v>323.642</v>
      </c>
      <c r="AC197" s="357"/>
      <c r="AD197" s="500">
        <f t="shared" si="112"/>
        <v>17</v>
      </c>
      <c r="AE197" s="284"/>
      <c r="AG197" s="361">
        <v>0.1101</v>
      </c>
      <c r="AH197" s="285">
        <f t="shared" si="92"/>
        <v>0.1101</v>
      </c>
      <c r="AI197" s="285">
        <v>0</v>
      </c>
      <c r="AK197" s="286"/>
      <c r="AL197" s="492"/>
      <c r="AM197" s="361">
        <v>1.034</v>
      </c>
      <c r="AN197" s="18">
        <v>0.1101</v>
      </c>
      <c r="AO197" s="285" t="e">
        <f>#REF!-AM197</f>
        <v>#REF!</v>
      </c>
      <c r="AQ197" s="288">
        <f t="shared" si="114"/>
        <v>-6.8000000000000005E-2</v>
      </c>
      <c r="AR197" s="357">
        <v>324</v>
      </c>
      <c r="AS197" s="127" t="b">
        <f t="shared" si="115"/>
        <v>0</v>
      </c>
      <c r="AT197" s="289" t="e">
        <f>ROUND(W197/T197*100-100,2)+#REF!</f>
        <v>#REF!</v>
      </c>
      <c r="AU197"/>
      <c r="AV197"/>
      <c r="AW197">
        <f t="shared" si="116"/>
        <v>1.0229999999999999</v>
      </c>
    </row>
    <row r="198" spans="1:49" s="223" customFormat="1" ht="58.5" customHeight="1" x14ac:dyDescent="0.3">
      <c r="A198" s="477"/>
      <c r="B198" s="477"/>
      <c r="C198" s="475"/>
      <c r="D198" s="471"/>
      <c r="E198" s="484"/>
      <c r="F198" s="471"/>
      <c r="G198" s="478"/>
      <c r="H198" s="471"/>
      <c r="I198" s="471"/>
      <c r="J198" s="295" t="s">
        <v>366</v>
      </c>
      <c r="K198" s="475" t="s">
        <v>683</v>
      </c>
      <c r="L198" s="471" t="s">
        <v>25</v>
      </c>
      <c r="M198" s="471">
        <f>VLOOKUP(K198,[2]материалы!$A$5:$G$34,7, FALSE)</f>
        <v>291.67</v>
      </c>
      <c r="N198" s="471">
        <v>1</v>
      </c>
      <c r="O198" s="471">
        <f>ROUND(M198*N198,2)</f>
        <v>291.67</v>
      </c>
      <c r="P198" s="471"/>
      <c r="Q198" s="471"/>
      <c r="R198" s="472"/>
      <c r="S198" s="472"/>
      <c r="T198" s="472"/>
      <c r="U198" s="269"/>
      <c r="V198" s="336"/>
      <c r="W198" s="503"/>
      <c r="X198" s="351"/>
      <c r="Y198" s="499"/>
      <c r="Z198" s="487"/>
      <c r="AA198" s="355"/>
      <c r="AB198" s="356"/>
      <c r="AC198" s="357"/>
      <c r="AD198" s="468"/>
      <c r="AE198" s="284"/>
      <c r="AG198" s="361"/>
      <c r="AH198" s="285"/>
      <c r="AI198" s="285"/>
      <c r="AK198" s="286"/>
      <c r="AL198" s="492"/>
      <c r="AM198" s="361"/>
      <c r="AN198" s="18"/>
      <c r="AO198" s="285"/>
      <c r="AQ198" s="288"/>
      <c r="AR198" s="357"/>
      <c r="AS198" s="127"/>
      <c r="AT198" s="289"/>
      <c r="AU198"/>
      <c r="AV198"/>
      <c r="AW198"/>
    </row>
    <row r="199" spans="1:49" ht="15.75" customHeight="1" x14ac:dyDescent="0.3">
      <c r="A199" s="477" t="s">
        <v>463</v>
      </c>
      <c r="B199" s="477" t="s">
        <v>217</v>
      </c>
      <c r="C199" s="475" t="s">
        <v>59</v>
      </c>
      <c r="D199" s="471" t="s">
        <v>204</v>
      </c>
      <c r="E199" s="484" t="s">
        <v>161</v>
      </c>
      <c r="F199" s="471">
        <f>VLOOKUP(E199,'[2]условия, ФОТ'!$A$14:$I$28,9, FALSE)</f>
        <v>206.19</v>
      </c>
      <c r="G199" s="478">
        <v>0.6</v>
      </c>
      <c r="H199" s="471">
        <f t="shared" si="97"/>
        <v>123.71</v>
      </c>
      <c r="I199" s="471">
        <f t="shared" si="94"/>
        <v>37.36</v>
      </c>
      <c r="J199" s="471">
        <f t="shared" si="95"/>
        <v>161.07</v>
      </c>
      <c r="K199" s="479"/>
      <c r="L199" s="471"/>
      <c r="M199" s="471"/>
      <c r="N199" s="471"/>
      <c r="O199" s="471">
        <f>SUM(O200:O203)</f>
        <v>4.9300000000000006</v>
      </c>
      <c r="P199" s="471">
        <f t="shared" si="99"/>
        <v>166</v>
      </c>
      <c r="Q199" s="471">
        <f t="shared" si="10"/>
        <v>110.39</v>
      </c>
      <c r="R199" s="472">
        <f t="shared" si="117"/>
        <v>318.33</v>
      </c>
      <c r="S199" s="472">
        <f t="shared" si="11"/>
        <v>63.67</v>
      </c>
      <c r="T199" s="472">
        <f>ROUND((P199+Q199)*(1+Y199)*1.2,0)</f>
        <v>382</v>
      </c>
      <c r="U199" s="269">
        <v>252</v>
      </c>
      <c r="V199" s="336">
        <f t="shared" si="50"/>
        <v>51.587301587301567</v>
      </c>
      <c r="W199" s="498">
        <v>336</v>
      </c>
      <c r="X199" s="470">
        <f>T199/W199*100-100</f>
        <v>13.69047619047619</v>
      </c>
      <c r="Y199" s="499">
        <v>0.1507</v>
      </c>
      <c r="Z199" s="487" t="e">
        <f>#REF!*Y199</f>
        <v>#REF!</v>
      </c>
      <c r="AB199" s="235">
        <v>268.84000000000003</v>
      </c>
      <c r="AC199" s="467"/>
      <c r="AD199" s="500">
        <f>T199-W199</f>
        <v>46</v>
      </c>
      <c r="AE199" s="284"/>
      <c r="AG199" s="466">
        <v>-0.1226</v>
      </c>
      <c r="AH199" s="285">
        <f t="shared" si="92"/>
        <v>1.1226</v>
      </c>
      <c r="AI199" s="285">
        <v>1.161</v>
      </c>
      <c r="AK199" s="286">
        <f>ROUND(W199*AI199,2)</f>
        <v>390.1</v>
      </c>
      <c r="AM199" s="466">
        <v>1.034</v>
      </c>
      <c r="AN199" s="337">
        <v>-0.1226</v>
      </c>
      <c r="AO199" s="285" t="e">
        <f>#REF!-AM199</f>
        <v>#REF!</v>
      </c>
      <c r="AQ199" s="288">
        <f>Y199-AN199</f>
        <v>0.27329999999999999</v>
      </c>
      <c r="AR199" s="467">
        <v>322</v>
      </c>
      <c r="AS199" s="127" t="b">
        <f>W199=AR199</f>
        <v>0</v>
      </c>
      <c r="AT199" s="289" t="e">
        <f>ROUND(W199/T199*100-100,2)+#REF!</f>
        <v>#REF!</v>
      </c>
      <c r="AW199">
        <f>ROUND(T199/W199,3)</f>
        <v>1.137</v>
      </c>
    </row>
    <row r="200" spans="1:49" ht="25.5" outlineLevel="1" x14ac:dyDescent="0.3">
      <c r="A200" s="477"/>
      <c r="B200" s="477"/>
      <c r="C200" s="475"/>
      <c r="D200" s="471"/>
      <c r="E200" s="484"/>
      <c r="F200" s="471"/>
      <c r="G200" s="478"/>
      <c r="H200" s="471"/>
      <c r="I200" s="471"/>
      <c r="J200" s="295" t="s">
        <v>366</v>
      </c>
      <c r="K200" s="121" t="s">
        <v>335</v>
      </c>
      <c r="L200" s="478" t="str">
        <f>VLOOKUP(K200,[2]материалы!$A$5:$G$31,5, FALSE)</f>
        <v>кг</v>
      </c>
      <c r="M200" s="471">
        <f>VLOOKUP(K200,[2]материалы!$A$5:$G$34,7, FALSE)</f>
        <v>720.83</v>
      </c>
      <c r="N200" s="471">
        <v>5.0000000000000001E-3</v>
      </c>
      <c r="O200" s="471">
        <f>ROUND(M200*N200,2)</f>
        <v>3.6</v>
      </c>
      <c r="P200" s="471"/>
      <c r="Q200" s="471"/>
      <c r="R200" s="472"/>
      <c r="S200" s="472"/>
      <c r="T200" s="472"/>
      <c r="U200" s="269"/>
      <c r="V200" s="336"/>
      <c r="W200" s="498"/>
      <c r="X200" s="470"/>
      <c r="Y200" s="499"/>
      <c r="Z200" s="487"/>
      <c r="AC200" s="467"/>
      <c r="AD200" s="468"/>
      <c r="AE200" s="284"/>
      <c r="AG200" s="466"/>
      <c r="AH200" s="285"/>
      <c r="AI200" s="285"/>
      <c r="AK200" s="286"/>
      <c r="AM200" s="466"/>
      <c r="AN200" s="337"/>
      <c r="AO200" s="285"/>
      <c r="AQ200" s="288"/>
      <c r="AR200" s="467"/>
      <c r="AT200" s="289"/>
    </row>
    <row r="201" spans="1:49" outlineLevel="1" x14ac:dyDescent="0.3">
      <c r="A201" s="477"/>
      <c r="B201" s="477"/>
      <c r="C201" s="475"/>
      <c r="D201" s="471"/>
      <c r="E201" s="484"/>
      <c r="F201" s="471"/>
      <c r="G201" s="478"/>
      <c r="H201" s="471"/>
      <c r="I201" s="471"/>
      <c r="J201" s="471"/>
      <c r="K201" s="296" t="s">
        <v>329</v>
      </c>
      <c r="L201" s="478" t="str">
        <f>VLOOKUP(K201,[2]материалы!$A$5:$G$31,5, FALSE)</f>
        <v>кг</v>
      </c>
      <c r="M201" s="471">
        <f>VLOOKUP(K201,[2]материалы!$A$5:$G$34,7, FALSE)</f>
        <v>79.17</v>
      </c>
      <c r="N201" s="471">
        <v>1E-3</v>
      </c>
      <c r="O201" s="471">
        <f t="shared" ref="O201:O203" si="118">ROUND(M201*N201,2)</f>
        <v>0.08</v>
      </c>
      <c r="P201" s="471"/>
      <c r="Q201" s="471"/>
      <c r="R201" s="472"/>
      <c r="S201" s="472"/>
      <c r="T201" s="472"/>
      <c r="U201" s="269"/>
      <c r="V201" s="336"/>
      <c r="W201" s="498"/>
      <c r="X201" s="470"/>
      <c r="Y201" s="499"/>
      <c r="Z201" s="487"/>
      <c r="AC201" s="467"/>
      <c r="AD201" s="468"/>
      <c r="AE201" s="284"/>
      <c r="AG201" s="466"/>
      <c r="AH201" s="285"/>
      <c r="AI201" s="285"/>
      <c r="AK201" s="286"/>
      <c r="AM201" s="466"/>
      <c r="AN201" s="337"/>
      <c r="AO201" s="285"/>
      <c r="AQ201" s="288"/>
      <c r="AR201" s="467"/>
      <c r="AT201" s="289"/>
    </row>
    <row r="202" spans="1:49" outlineLevel="1" x14ac:dyDescent="0.3">
      <c r="A202" s="477"/>
      <c r="B202" s="477"/>
      <c r="C202" s="475"/>
      <c r="D202" s="471"/>
      <c r="E202" s="484"/>
      <c r="F202" s="471"/>
      <c r="G202" s="478"/>
      <c r="H202" s="471"/>
      <c r="I202" s="471"/>
      <c r="J202" s="471"/>
      <c r="K202" s="296" t="s">
        <v>330</v>
      </c>
      <c r="L202" s="478" t="str">
        <f>VLOOKUP(K202,[2]материалы!$A$5:$G$31,5, FALSE)</f>
        <v>кг</v>
      </c>
      <c r="M202" s="471">
        <f>VLOOKUP(K202,[2]материалы!$A$5:$G$34,7, FALSE)</f>
        <v>66.67</v>
      </c>
      <c r="N202" s="471">
        <v>0.01</v>
      </c>
      <c r="O202" s="471">
        <f t="shared" si="118"/>
        <v>0.67</v>
      </c>
      <c r="P202" s="471"/>
      <c r="Q202" s="471"/>
      <c r="R202" s="472"/>
      <c r="S202" s="472"/>
      <c r="T202" s="472"/>
      <c r="U202" s="269"/>
      <c r="V202" s="336"/>
      <c r="W202" s="498"/>
      <c r="X202" s="470"/>
      <c r="Y202" s="499"/>
      <c r="Z202" s="487"/>
      <c r="AC202" s="467"/>
      <c r="AD202" s="468"/>
      <c r="AE202" s="284"/>
      <c r="AG202" s="466"/>
      <c r="AH202" s="285"/>
      <c r="AI202" s="285"/>
      <c r="AK202" s="286"/>
      <c r="AM202" s="466"/>
      <c r="AN202" s="337"/>
      <c r="AO202" s="285"/>
      <c r="AQ202" s="288"/>
      <c r="AR202" s="467"/>
      <c r="AT202" s="289"/>
    </row>
    <row r="203" spans="1:49" ht="25.5" outlineLevel="1" x14ac:dyDescent="0.3">
      <c r="A203" s="477"/>
      <c r="B203" s="477"/>
      <c r="C203" s="475"/>
      <c r="D203" s="471"/>
      <c r="E203" s="484"/>
      <c r="F203" s="471"/>
      <c r="G203" s="478"/>
      <c r="H203" s="471"/>
      <c r="I203" s="471"/>
      <c r="J203" s="471"/>
      <c r="K203" s="296" t="s">
        <v>332</v>
      </c>
      <c r="L203" s="478" t="str">
        <f>VLOOKUP(K203,[2]материалы!$A$5:$G$31,5, FALSE)</f>
        <v>шт.</v>
      </c>
      <c r="M203" s="471">
        <f>VLOOKUP(K203,[2]материалы!$A$5:$G$34,7, FALSE)</f>
        <v>0.57999999999999996</v>
      </c>
      <c r="N203" s="471">
        <v>1</v>
      </c>
      <c r="O203" s="471">
        <f t="shared" si="118"/>
        <v>0.57999999999999996</v>
      </c>
      <c r="P203" s="471"/>
      <c r="Q203" s="471"/>
      <c r="R203" s="472"/>
      <c r="S203" s="472"/>
      <c r="T203" s="472"/>
      <c r="U203" s="269"/>
      <c r="V203" s="336"/>
      <c r="W203" s="498"/>
      <c r="X203" s="470"/>
      <c r="Y203" s="499"/>
      <c r="Z203" s="487"/>
      <c r="AC203" s="467"/>
      <c r="AD203" s="468"/>
      <c r="AE203" s="284"/>
      <c r="AG203" s="466"/>
      <c r="AH203" s="285"/>
      <c r="AI203" s="285"/>
      <c r="AK203" s="286"/>
      <c r="AM203" s="466"/>
      <c r="AN203" s="337"/>
      <c r="AO203" s="285"/>
      <c r="AQ203" s="288"/>
      <c r="AR203" s="467"/>
      <c r="AT203" s="289"/>
    </row>
    <row r="204" spans="1:49" ht="25.5" x14ac:dyDescent="0.3">
      <c r="A204" s="477" t="s">
        <v>684</v>
      </c>
      <c r="B204" s="477" t="s">
        <v>217</v>
      </c>
      <c r="C204" s="475" t="s">
        <v>685</v>
      </c>
      <c r="D204" s="471" t="s">
        <v>204</v>
      </c>
      <c r="E204" s="484" t="s">
        <v>161</v>
      </c>
      <c r="F204" s="471">
        <f>VLOOKUP(E204,'[2]условия, ФОТ'!$A$14:$I$28,9, FALSE)</f>
        <v>206.19</v>
      </c>
      <c r="G204" s="478">
        <v>0.6</v>
      </c>
      <c r="H204" s="471">
        <f t="shared" ref="H204" si="119">ROUND(F204*G204,2)</f>
        <v>123.71</v>
      </c>
      <c r="I204" s="471">
        <f t="shared" ref="I204" si="120">ROUND(H204*$I$5,2)</f>
        <v>37.36</v>
      </c>
      <c r="J204" s="471">
        <f t="shared" ref="J204" si="121">H204+I204</f>
        <v>161.07</v>
      </c>
      <c r="K204" s="479"/>
      <c r="L204" s="471"/>
      <c r="M204" s="471"/>
      <c r="N204" s="471"/>
      <c r="O204" s="471">
        <f>SUM(O205:O210)</f>
        <v>51.589999999999996</v>
      </c>
      <c r="P204" s="471">
        <f t="shared" ref="P204" si="122">J204+O204</f>
        <v>212.66</v>
      </c>
      <c r="Q204" s="471">
        <f t="shared" ref="Q204" si="123">ROUND(P204*$Q$5,2)</f>
        <v>141.41999999999999</v>
      </c>
      <c r="R204" s="472">
        <f t="shared" ref="R204" si="124">ROUND(T204/1.2,2)</f>
        <v>374.17</v>
      </c>
      <c r="S204" s="472">
        <f t="shared" ref="S204" si="125">ROUND(R204*$S$5,2)</f>
        <v>74.83</v>
      </c>
      <c r="T204" s="472">
        <f>ROUND((P204+Q204)*(1+Y204)*1.2,0)</f>
        <v>449</v>
      </c>
      <c r="U204" s="269">
        <v>336</v>
      </c>
      <c r="V204" s="336">
        <f t="shared" si="50"/>
        <v>33.63095238095238</v>
      </c>
      <c r="W204" s="498">
        <v>406</v>
      </c>
      <c r="X204" s="470">
        <f>T204/W204*100-100</f>
        <v>10.591133004926107</v>
      </c>
      <c r="Y204" s="499">
        <v>5.6000000000000001E-2</v>
      </c>
      <c r="Z204" s="487" t="e">
        <f>#REF!*Y204</f>
        <v>#REF!</v>
      </c>
      <c r="AB204" s="235">
        <v>358.798</v>
      </c>
      <c r="AC204" s="467"/>
      <c r="AD204" s="500">
        <f>T204-W204</f>
        <v>43</v>
      </c>
      <c r="AE204" s="284"/>
      <c r="AG204" s="466">
        <v>-3.5700000000000003E-2</v>
      </c>
      <c r="AH204" s="285">
        <f t="shared" ref="AH204:AH267" si="126">IF(AG204&lt;0,-AG204+1,AG204)</f>
        <v>1.0357000000000001</v>
      </c>
      <c r="AI204" s="285">
        <v>1.071</v>
      </c>
      <c r="AK204" s="286">
        <f>ROUND(W204*AI204,2)</f>
        <v>434.83</v>
      </c>
      <c r="AM204" s="466">
        <v>1.034</v>
      </c>
      <c r="AN204" s="337">
        <v>-3.5700000000000003E-2</v>
      </c>
      <c r="AO204" s="285" t="e">
        <f>#REF!-AM204</f>
        <v>#REF!</v>
      </c>
      <c r="AQ204" s="288">
        <f>Y204-AN204</f>
        <v>9.1700000000000004E-2</v>
      </c>
      <c r="AR204" s="467">
        <v>390</v>
      </c>
      <c r="AS204" s="127" t="b">
        <f>W204=AR204</f>
        <v>0</v>
      </c>
      <c r="AT204" s="289" t="e">
        <f>ROUND(W204/T204*100-100,2)+#REF!</f>
        <v>#REF!</v>
      </c>
      <c r="AW204">
        <f>ROUND(T204/W204,3)</f>
        <v>1.1060000000000001</v>
      </c>
    </row>
    <row r="205" spans="1:49" x14ac:dyDescent="0.3">
      <c r="A205" s="477"/>
      <c r="B205" s="477"/>
      <c r="C205" s="475"/>
      <c r="D205" s="471"/>
      <c r="E205" s="484"/>
      <c r="F205" s="471"/>
      <c r="G205" s="478"/>
      <c r="H205" s="471"/>
      <c r="I205" s="471"/>
      <c r="J205" s="295" t="s">
        <v>366</v>
      </c>
      <c r="K205" s="479" t="s">
        <v>204</v>
      </c>
      <c r="L205" s="471" t="s">
        <v>28</v>
      </c>
      <c r="M205" s="471">
        <f>VLOOKUP(K205,[2]материалы!$A$5:$G$34,7, FALSE)</f>
        <v>25</v>
      </c>
      <c r="N205" s="471">
        <v>1</v>
      </c>
      <c r="O205" s="471">
        <f>ROUND(M205*N205,2)</f>
        <v>25</v>
      </c>
      <c r="P205" s="471"/>
      <c r="Q205" s="471"/>
      <c r="R205" s="472"/>
      <c r="S205" s="472"/>
      <c r="T205" s="472"/>
      <c r="U205" s="269"/>
      <c r="V205" s="336"/>
      <c r="W205" s="498"/>
      <c r="X205" s="470"/>
      <c r="Y205" s="499"/>
      <c r="Z205" s="487"/>
      <c r="AC205" s="467"/>
      <c r="AD205" s="468"/>
      <c r="AE205" s="284"/>
      <c r="AG205" s="466"/>
      <c r="AH205" s="285"/>
      <c r="AI205" s="285"/>
      <c r="AK205" s="286"/>
      <c r="AM205" s="466"/>
      <c r="AN205" s="337"/>
      <c r="AO205" s="285"/>
      <c r="AQ205" s="288"/>
      <c r="AR205" s="467"/>
      <c r="AT205" s="289"/>
    </row>
    <row r="206" spans="1:49" x14ac:dyDescent="0.3">
      <c r="A206" s="477"/>
      <c r="B206" s="477"/>
      <c r="C206" s="475"/>
      <c r="D206" s="471"/>
      <c r="E206" s="484"/>
      <c r="F206" s="471"/>
      <c r="G206" s="478"/>
      <c r="H206" s="471"/>
      <c r="I206" s="471"/>
      <c r="J206" s="471"/>
      <c r="K206" s="479" t="s">
        <v>686</v>
      </c>
      <c r="L206" s="471" t="s">
        <v>25</v>
      </c>
      <c r="M206" s="471">
        <f>[2]материалы!G27</f>
        <v>10.83</v>
      </c>
      <c r="N206" s="471">
        <v>2</v>
      </c>
      <c r="O206" s="471">
        <f>ROUND(M206*N206,2)</f>
        <v>21.66</v>
      </c>
      <c r="P206" s="471"/>
      <c r="Q206" s="471"/>
      <c r="R206" s="472"/>
      <c r="S206" s="472"/>
      <c r="T206" s="472"/>
      <c r="U206" s="269"/>
      <c r="V206" s="336"/>
      <c r="W206" s="498"/>
      <c r="X206" s="470"/>
      <c r="Y206" s="499"/>
      <c r="Z206" s="487"/>
      <c r="AC206" s="467"/>
      <c r="AD206" s="468"/>
      <c r="AE206" s="284"/>
      <c r="AG206" s="466"/>
      <c r="AH206" s="285"/>
      <c r="AI206" s="285"/>
      <c r="AK206" s="286"/>
      <c r="AM206" s="466"/>
      <c r="AN206" s="337"/>
      <c r="AO206" s="285"/>
      <c r="AQ206" s="288"/>
      <c r="AR206" s="467"/>
      <c r="AT206" s="289"/>
    </row>
    <row r="207" spans="1:49" ht="25.5" x14ac:dyDescent="0.3">
      <c r="A207" s="477"/>
      <c r="B207" s="477"/>
      <c r="C207" s="475"/>
      <c r="D207" s="471"/>
      <c r="E207" s="484"/>
      <c r="F207" s="471"/>
      <c r="G207" s="478"/>
      <c r="H207" s="471"/>
      <c r="I207" s="471"/>
      <c r="J207" s="295" t="s">
        <v>366</v>
      </c>
      <c r="K207" s="121" t="s">
        <v>335</v>
      </c>
      <c r="L207" s="478" t="str">
        <f>VLOOKUP(K207,[3]материалы!$A$5:$G$31,5, FALSE)</f>
        <v>кг</v>
      </c>
      <c r="M207" s="471">
        <f>VLOOKUP(K207,[2]материалы!$A$5:$G$34,7, FALSE)</f>
        <v>720.83</v>
      </c>
      <c r="N207" s="471">
        <v>5.0000000000000001E-3</v>
      </c>
      <c r="O207" s="471">
        <f>ROUND(M207*N207,2)</f>
        <v>3.6</v>
      </c>
      <c r="P207" s="471"/>
      <c r="Q207" s="471"/>
      <c r="R207" s="472"/>
      <c r="S207" s="472"/>
      <c r="T207" s="472"/>
      <c r="U207" s="269"/>
      <c r="V207" s="336"/>
      <c r="W207" s="498"/>
      <c r="X207" s="470"/>
      <c r="Y207" s="499"/>
      <c r="Z207" s="487"/>
      <c r="AC207" s="467"/>
      <c r="AD207" s="468"/>
      <c r="AE207" s="284"/>
      <c r="AG207" s="466"/>
      <c r="AH207" s="285"/>
      <c r="AI207" s="285"/>
      <c r="AK207" s="286"/>
      <c r="AM207" s="466"/>
      <c r="AN207" s="337"/>
      <c r="AO207" s="285"/>
      <c r="AQ207" s="288"/>
      <c r="AR207" s="467"/>
      <c r="AT207" s="289"/>
    </row>
    <row r="208" spans="1:49" x14ac:dyDescent="0.3">
      <c r="A208" s="477"/>
      <c r="B208" s="477"/>
      <c r="C208" s="475"/>
      <c r="D208" s="471"/>
      <c r="E208" s="484"/>
      <c r="F208" s="471"/>
      <c r="G208" s="478"/>
      <c r="H208" s="471"/>
      <c r="I208" s="471"/>
      <c r="J208" s="471"/>
      <c r="K208" s="296" t="s">
        <v>329</v>
      </c>
      <c r="L208" s="478" t="str">
        <f>VLOOKUP(K208,[3]материалы!$A$5:$G$31,5, FALSE)</f>
        <v>кг</v>
      </c>
      <c r="M208" s="471">
        <f>VLOOKUP(K208,[2]материалы!$A$5:$G$34,7, FALSE)</f>
        <v>79.17</v>
      </c>
      <c r="N208" s="471">
        <v>1E-3</v>
      </c>
      <c r="O208" s="471">
        <f t="shared" ref="O208:O210" si="127">ROUND(M208*N208,2)</f>
        <v>0.08</v>
      </c>
      <c r="P208" s="471"/>
      <c r="Q208" s="471"/>
      <c r="R208" s="472"/>
      <c r="S208" s="472"/>
      <c r="T208" s="472"/>
      <c r="U208" s="269"/>
      <c r="V208" s="336"/>
      <c r="W208" s="498"/>
      <c r="X208" s="470"/>
      <c r="Y208" s="499"/>
      <c r="Z208" s="487"/>
      <c r="AC208" s="467"/>
      <c r="AD208" s="468"/>
      <c r="AE208" s="284"/>
      <c r="AG208" s="466"/>
      <c r="AH208" s="285"/>
      <c r="AI208" s="285"/>
      <c r="AK208" s="286"/>
      <c r="AM208" s="466"/>
      <c r="AN208" s="337"/>
      <c r="AO208" s="285"/>
      <c r="AQ208" s="288"/>
      <c r="AR208" s="467"/>
      <c r="AT208" s="289"/>
    </row>
    <row r="209" spans="1:49" x14ac:dyDescent="0.3">
      <c r="A209" s="477"/>
      <c r="B209" s="477"/>
      <c r="C209" s="475"/>
      <c r="D209" s="471"/>
      <c r="E209" s="484"/>
      <c r="F209" s="471"/>
      <c r="G209" s="478"/>
      <c r="H209" s="471"/>
      <c r="I209" s="471"/>
      <c r="J209" s="471"/>
      <c r="K209" s="296" t="s">
        <v>330</v>
      </c>
      <c r="L209" s="478" t="str">
        <f>VLOOKUP(K209,[3]материалы!$A$5:$G$31,5, FALSE)</f>
        <v>кг</v>
      </c>
      <c r="M209" s="471">
        <f>VLOOKUP(K209,[2]материалы!$A$5:$G$34,7, FALSE)</f>
        <v>66.67</v>
      </c>
      <c r="N209" s="471">
        <v>0.01</v>
      </c>
      <c r="O209" s="471">
        <f t="shared" si="127"/>
        <v>0.67</v>
      </c>
      <c r="P209" s="471"/>
      <c r="Q209" s="471"/>
      <c r="R209" s="472"/>
      <c r="S209" s="472"/>
      <c r="T209" s="472"/>
      <c r="U209" s="269"/>
      <c r="V209" s="336"/>
      <c r="W209" s="498"/>
      <c r="X209" s="470"/>
      <c r="Y209" s="499"/>
      <c r="Z209" s="487"/>
      <c r="AC209" s="467"/>
      <c r="AD209" s="468"/>
      <c r="AE209" s="284"/>
      <c r="AG209" s="466"/>
      <c r="AH209" s="285"/>
      <c r="AI209" s="285"/>
      <c r="AK209" s="286"/>
      <c r="AM209" s="466"/>
      <c r="AN209" s="337"/>
      <c r="AO209" s="285"/>
      <c r="AQ209" s="288"/>
      <c r="AR209" s="467"/>
      <c r="AT209" s="289"/>
    </row>
    <row r="210" spans="1:49" ht="25.5" x14ac:dyDescent="0.3">
      <c r="A210" s="477"/>
      <c r="B210" s="477"/>
      <c r="C210" s="475"/>
      <c r="D210" s="471"/>
      <c r="E210" s="484"/>
      <c r="F210" s="471"/>
      <c r="G210" s="478"/>
      <c r="H210" s="471"/>
      <c r="I210" s="471"/>
      <c r="J210" s="471"/>
      <c r="K210" s="296" t="s">
        <v>332</v>
      </c>
      <c r="L210" s="478" t="str">
        <f>VLOOKUP(K210,[3]материалы!$A$5:$G$31,5, FALSE)</f>
        <v>шт.</v>
      </c>
      <c r="M210" s="471">
        <f>VLOOKUP(K210,[2]материалы!$A$5:$G$34,7, FALSE)</f>
        <v>0.57999999999999996</v>
      </c>
      <c r="N210" s="471">
        <v>1</v>
      </c>
      <c r="O210" s="471">
        <f t="shared" si="127"/>
        <v>0.57999999999999996</v>
      </c>
      <c r="P210" s="471"/>
      <c r="Q210" s="471"/>
      <c r="R210" s="472"/>
      <c r="S210" s="472"/>
      <c r="T210" s="472"/>
      <c r="U210" s="269"/>
      <c r="V210" s="336"/>
      <c r="W210" s="498"/>
      <c r="X210" s="470"/>
      <c r="Y210" s="499"/>
      <c r="Z210" s="487"/>
      <c r="AC210" s="467"/>
      <c r="AD210" s="468"/>
      <c r="AE210" s="284"/>
      <c r="AG210" s="466"/>
      <c r="AH210" s="285"/>
      <c r="AI210" s="285"/>
      <c r="AK210" s="286"/>
      <c r="AM210" s="466"/>
      <c r="AN210" s="337"/>
      <c r="AO210" s="285"/>
      <c r="AQ210" s="288"/>
      <c r="AR210" s="467"/>
      <c r="AT210" s="289"/>
    </row>
    <row r="211" spans="1:49" ht="22.7" customHeight="1" x14ac:dyDescent="0.3">
      <c r="A211" s="727" t="s">
        <v>226</v>
      </c>
      <c r="B211" s="728"/>
      <c r="C211" s="728"/>
      <c r="D211" s="728"/>
      <c r="E211" s="728"/>
      <c r="F211" s="728"/>
      <c r="G211" s="728"/>
      <c r="H211" s="728"/>
      <c r="I211" s="728"/>
      <c r="J211" s="728"/>
      <c r="K211" s="728"/>
      <c r="L211" s="728"/>
      <c r="M211" s="728"/>
      <c r="N211" s="728"/>
      <c r="O211" s="728"/>
      <c r="P211" s="728"/>
      <c r="Q211" s="728"/>
      <c r="R211" s="382"/>
      <c r="S211" s="382"/>
      <c r="T211" s="382"/>
      <c r="U211" s="383"/>
      <c r="V211" s="336"/>
      <c r="W211" s="498"/>
      <c r="X211" s="470"/>
      <c r="Y211" s="499"/>
      <c r="Z211" s="487"/>
      <c r="AC211" s="467"/>
      <c r="AD211" s="468"/>
      <c r="AE211" s="284"/>
      <c r="AG211" s="466"/>
      <c r="AH211" s="285"/>
      <c r="AI211" s="285"/>
      <c r="AK211" s="286"/>
      <c r="AM211" s="466"/>
      <c r="AN211" s="337"/>
      <c r="AO211" s="285"/>
      <c r="AQ211" s="288"/>
      <c r="AR211" s="467"/>
      <c r="AT211" s="289"/>
    </row>
    <row r="212" spans="1:49" ht="45" customHeight="1" x14ac:dyDescent="0.3">
      <c r="A212" s="477" t="s">
        <v>464</v>
      </c>
      <c r="B212" s="477" t="s">
        <v>218</v>
      </c>
      <c r="C212" s="475" t="s">
        <v>372</v>
      </c>
      <c r="D212" s="484" t="s">
        <v>230</v>
      </c>
      <c r="E212" s="484" t="s">
        <v>162</v>
      </c>
      <c r="F212" s="471">
        <f>VLOOKUP(E212,'[2]условия, ФОТ'!$A$14:$I$28,9, FALSE)</f>
        <v>213.84</v>
      </c>
      <c r="G212" s="478">
        <v>3</v>
      </c>
      <c r="H212" s="471">
        <f t="shared" si="97"/>
        <v>641.52</v>
      </c>
      <c r="I212" s="471">
        <f t="shared" si="94"/>
        <v>193.74</v>
      </c>
      <c r="J212" s="471">
        <f t="shared" si="95"/>
        <v>835.26</v>
      </c>
      <c r="K212" s="479"/>
      <c r="L212" s="471"/>
      <c r="M212" s="471"/>
      <c r="N212" s="471"/>
      <c r="O212" s="471">
        <f>SUM(O213:O217)</f>
        <v>27.57</v>
      </c>
      <c r="P212" s="471">
        <f>J212+O212</f>
        <v>862.83</v>
      </c>
      <c r="Q212" s="471">
        <f t="shared" si="10"/>
        <v>573.78</v>
      </c>
      <c r="R212" s="472">
        <f>ROUND(T212/1.2,2)</f>
        <v>1550</v>
      </c>
      <c r="S212" s="472">
        <f t="shared" si="11"/>
        <v>310</v>
      </c>
      <c r="T212" s="472">
        <f>ROUND((P212+Q212)*(1+Y212)*1.2,0)</f>
        <v>1860</v>
      </c>
      <c r="U212" s="269">
        <v>1330</v>
      </c>
      <c r="V212" s="336">
        <f t="shared" si="50"/>
        <v>39.849624060150376</v>
      </c>
      <c r="W212" s="498">
        <v>1580</v>
      </c>
      <c r="X212" s="470">
        <f>T212/W212*100-100</f>
        <v>17.721518987341781</v>
      </c>
      <c r="Y212" s="499">
        <v>7.9200000000000007E-2</v>
      </c>
      <c r="Z212" s="487" t="e">
        <f>#REF!*Y212</f>
        <v>#REF!</v>
      </c>
      <c r="AB212" s="235">
        <v>1418.6480000000001</v>
      </c>
      <c r="AC212" s="467"/>
      <c r="AD212" s="500">
        <f>T212-W212</f>
        <v>280</v>
      </c>
      <c r="AE212" s="284"/>
      <c r="AG212" s="466">
        <v>-1.78E-2</v>
      </c>
      <c r="AH212" s="285">
        <f t="shared" si="126"/>
        <v>1.0178</v>
      </c>
      <c r="AI212" s="285">
        <v>1.052</v>
      </c>
      <c r="AK212" s="286">
        <f>ROUND(W212*AI212,2)</f>
        <v>1662.16</v>
      </c>
      <c r="AM212" s="466">
        <v>1.034</v>
      </c>
      <c r="AN212" s="337">
        <v>-1.78E-2</v>
      </c>
      <c r="AO212" s="285" t="e">
        <f>#REF!-AM212</f>
        <v>#REF!</v>
      </c>
      <c r="AQ212" s="288">
        <f>Y212-AN212</f>
        <v>9.7000000000000003E-2</v>
      </c>
      <c r="AR212" s="467">
        <v>1516</v>
      </c>
      <c r="AS212" s="127" t="b">
        <f>W212=AR212</f>
        <v>0</v>
      </c>
      <c r="AT212" s="289" t="e">
        <f>ROUND(W212/T212*100-100,2)+#REF!</f>
        <v>#REF!</v>
      </c>
      <c r="AW212">
        <f>ROUND(T212/W212,3)</f>
        <v>1.177</v>
      </c>
    </row>
    <row r="213" spans="1:49" ht="29.25" customHeight="1" outlineLevel="1" x14ac:dyDescent="0.3">
      <c r="A213" s="477"/>
      <c r="B213" s="477"/>
      <c r="C213" s="475"/>
      <c r="D213" s="484"/>
      <c r="E213" s="484"/>
      <c r="F213" s="471"/>
      <c r="G213" s="478"/>
      <c r="H213" s="471"/>
      <c r="I213" s="471"/>
      <c r="J213" s="295" t="s">
        <v>366</v>
      </c>
      <c r="K213" s="121" t="s">
        <v>333</v>
      </c>
      <c r="L213" s="478" t="str">
        <f>VLOOKUP(K213,[2]материалы!$A$5:$G$31,5, FALSE)</f>
        <v>кг</v>
      </c>
      <c r="M213" s="471">
        <f>VLOOKUP(K213,[2]материалы!$A$5:$G$34,7, FALSE)</f>
        <v>276.88</v>
      </c>
      <c r="N213" s="471">
        <v>0.05</v>
      </c>
      <c r="O213" s="471">
        <f>ROUND(M213*N213,2)</f>
        <v>13.84</v>
      </c>
      <c r="P213" s="471"/>
      <c r="Q213" s="471"/>
      <c r="R213" s="472"/>
      <c r="S213" s="472"/>
      <c r="T213" s="472"/>
      <c r="U213" s="269"/>
      <c r="V213" s="336"/>
      <c r="W213" s="498"/>
      <c r="X213" s="470"/>
      <c r="Y213" s="499"/>
      <c r="Z213" s="487"/>
      <c r="AC213" s="467"/>
      <c r="AD213" s="468"/>
      <c r="AE213" s="284"/>
      <c r="AG213" s="466"/>
      <c r="AH213" s="285"/>
      <c r="AI213" s="285"/>
      <c r="AK213" s="286"/>
      <c r="AM213" s="466"/>
      <c r="AN213" s="337"/>
      <c r="AO213" s="285"/>
      <c r="AQ213" s="288"/>
      <c r="AR213" s="467"/>
      <c r="AT213" s="289"/>
    </row>
    <row r="214" spans="1:49" ht="24" customHeight="1" outlineLevel="1" x14ac:dyDescent="0.3">
      <c r="A214" s="477"/>
      <c r="B214" s="477"/>
      <c r="C214" s="475"/>
      <c r="D214" s="484"/>
      <c r="E214" s="484"/>
      <c r="F214" s="471"/>
      <c r="G214" s="478"/>
      <c r="H214" s="471"/>
      <c r="I214" s="471"/>
      <c r="J214" s="452"/>
      <c r="K214" s="121" t="s">
        <v>335</v>
      </c>
      <c r="L214" s="478" t="str">
        <f>VLOOKUP(K214,[2]материалы!$A$5:$G$31,5, FALSE)</f>
        <v>кг</v>
      </c>
      <c r="M214" s="471">
        <f>VLOOKUP(K214,[2]материалы!$A$5:$G$34,7, FALSE)</f>
        <v>720.83</v>
      </c>
      <c r="N214" s="471">
        <v>5.0000000000000001E-3</v>
      </c>
      <c r="O214" s="471">
        <f>ROUND(M214*N214,2)</f>
        <v>3.6</v>
      </c>
      <c r="P214" s="471"/>
      <c r="Q214" s="471"/>
      <c r="R214" s="472"/>
      <c r="S214" s="472"/>
      <c r="T214" s="472"/>
      <c r="U214" s="269"/>
      <c r="V214" s="336"/>
      <c r="W214" s="498"/>
      <c r="X214" s="470"/>
      <c r="Y214" s="499"/>
      <c r="Z214" s="487"/>
      <c r="AC214" s="467"/>
      <c r="AD214" s="468"/>
      <c r="AE214" s="284"/>
      <c r="AG214" s="466"/>
      <c r="AH214" s="285"/>
      <c r="AI214" s="285"/>
      <c r="AK214" s="286"/>
      <c r="AM214" s="466"/>
      <c r="AN214" s="337"/>
      <c r="AO214" s="285"/>
      <c r="AQ214" s="288"/>
      <c r="AR214" s="467"/>
      <c r="AT214" s="289"/>
    </row>
    <row r="215" spans="1:49" ht="24.75" customHeight="1" outlineLevel="1" x14ac:dyDescent="0.3">
      <c r="A215" s="477"/>
      <c r="B215" s="477"/>
      <c r="C215" s="475"/>
      <c r="D215" s="484"/>
      <c r="E215" s="484"/>
      <c r="F215" s="471"/>
      <c r="G215" s="478"/>
      <c r="H215" s="471"/>
      <c r="I215" s="471"/>
      <c r="J215" s="471"/>
      <c r="K215" s="121" t="s">
        <v>342</v>
      </c>
      <c r="L215" s="478" t="str">
        <f>VLOOKUP(K215,[2]материалы!$A$5:$G$31,5, FALSE)</f>
        <v>шт.</v>
      </c>
      <c r="M215" s="471">
        <f>VLOOKUP(K215,[2]материалы!$A$5:$G$34,7, FALSE)</f>
        <v>37.5</v>
      </c>
      <c r="N215" s="471">
        <v>0.25</v>
      </c>
      <c r="O215" s="471">
        <f>ROUND(M215*N215,2)</f>
        <v>9.3800000000000008</v>
      </c>
      <c r="P215" s="471"/>
      <c r="Q215" s="471"/>
      <c r="R215" s="472"/>
      <c r="S215" s="472"/>
      <c r="T215" s="472"/>
      <c r="U215" s="269"/>
      <c r="V215" s="336"/>
      <c r="W215" s="498"/>
      <c r="X215" s="470"/>
      <c r="Y215" s="499"/>
      <c r="Z215" s="487"/>
      <c r="AC215" s="467"/>
      <c r="AD215" s="468"/>
      <c r="AE215" s="284"/>
      <c r="AG215" s="466"/>
      <c r="AH215" s="285"/>
      <c r="AI215" s="285"/>
      <c r="AK215" s="286"/>
      <c r="AM215" s="466"/>
      <c r="AN215" s="337"/>
      <c r="AO215" s="285"/>
      <c r="AQ215" s="288"/>
      <c r="AR215" s="467"/>
      <c r="AT215" s="289"/>
    </row>
    <row r="216" spans="1:49" outlineLevel="1" x14ac:dyDescent="0.3">
      <c r="A216" s="477"/>
      <c r="B216" s="477"/>
      <c r="C216" s="475"/>
      <c r="D216" s="484"/>
      <c r="E216" s="484"/>
      <c r="F216" s="471"/>
      <c r="G216" s="478"/>
      <c r="H216" s="471"/>
      <c r="I216" s="471"/>
      <c r="J216" s="471"/>
      <c r="K216" s="296" t="s">
        <v>329</v>
      </c>
      <c r="L216" s="478" t="str">
        <f>VLOOKUP(K216,[2]материалы!$A$5:$G$31,5, FALSE)</f>
        <v>кг</v>
      </c>
      <c r="M216" s="471">
        <f>VLOOKUP(K216,[2]материалы!$A$5:$G$34,7, FALSE)</f>
        <v>79.17</v>
      </c>
      <c r="N216" s="471">
        <v>1E-3</v>
      </c>
      <c r="O216" s="471">
        <f t="shared" ref="O216:O217" si="128">ROUND(M216*N216,2)</f>
        <v>0.08</v>
      </c>
      <c r="P216" s="471"/>
      <c r="Q216" s="471"/>
      <c r="R216" s="472"/>
      <c r="S216" s="472"/>
      <c r="T216" s="472"/>
      <c r="U216" s="269"/>
      <c r="V216" s="336"/>
      <c r="W216" s="498"/>
      <c r="X216" s="470"/>
      <c r="Y216" s="499"/>
      <c r="Z216" s="487"/>
      <c r="AC216" s="467"/>
      <c r="AD216" s="468"/>
      <c r="AE216" s="284"/>
      <c r="AG216" s="466"/>
      <c r="AH216" s="285"/>
      <c r="AI216" s="285"/>
      <c r="AK216" s="286"/>
      <c r="AM216" s="466"/>
      <c r="AN216" s="337"/>
      <c r="AO216" s="285"/>
      <c r="AQ216" s="288"/>
      <c r="AR216" s="467"/>
      <c r="AT216" s="289"/>
    </row>
    <row r="217" spans="1:49" outlineLevel="1" x14ac:dyDescent="0.3">
      <c r="A217" s="477"/>
      <c r="B217" s="477"/>
      <c r="C217" s="475"/>
      <c r="D217" s="484"/>
      <c r="E217" s="484"/>
      <c r="F217" s="471"/>
      <c r="G217" s="478"/>
      <c r="H217" s="471"/>
      <c r="I217" s="471"/>
      <c r="J217" s="471"/>
      <c r="K217" s="296" t="s">
        <v>330</v>
      </c>
      <c r="L217" s="478" t="str">
        <f>VLOOKUP(K217,[2]материалы!$A$5:$G$31,5, FALSE)</f>
        <v>кг</v>
      </c>
      <c r="M217" s="471">
        <f>VLOOKUP(K217,[2]материалы!$A$5:$G$34,7, FALSE)</f>
        <v>66.67</v>
      </c>
      <c r="N217" s="471">
        <v>0.01</v>
      </c>
      <c r="O217" s="471">
        <f t="shared" si="128"/>
        <v>0.67</v>
      </c>
      <c r="P217" s="471"/>
      <c r="Q217" s="471"/>
      <c r="R217" s="472"/>
      <c r="S217" s="472"/>
      <c r="T217" s="472"/>
      <c r="U217" s="269"/>
      <c r="V217" s="336"/>
      <c r="W217" s="498"/>
      <c r="X217" s="470"/>
      <c r="Y217" s="499"/>
      <c r="Z217" s="487"/>
      <c r="AC217" s="467"/>
      <c r="AD217" s="468"/>
      <c r="AE217" s="284"/>
      <c r="AG217" s="466"/>
      <c r="AH217" s="285"/>
      <c r="AI217" s="285"/>
      <c r="AK217" s="286"/>
      <c r="AM217" s="466"/>
      <c r="AN217" s="337"/>
      <c r="AO217" s="285"/>
      <c r="AQ217" s="288"/>
      <c r="AR217" s="467"/>
      <c r="AT217" s="289"/>
    </row>
    <row r="218" spans="1:49" ht="42" customHeight="1" x14ac:dyDescent="0.3">
      <c r="A218" s="477" t="s">
        <v>465</v>
      </c>
      <c r="B218" s="477" t="s">
        <v>218</v>
      </c>
      <c r="C218" s="475" t="s">
        <v>227</v>
      </c>
      <c r="D218" s="484" t="s">
        <v>230</v>
      </c>
      <c r="E218" s="484" t="s">
        <v>162</v>
      </c>
      <c r="F218" s="471">
        <f>VLOOKUP(E218,'[2]условия, ФОТ'!$A$14:$I$28,9, FALSE)</f>
        <v>213.84</v>
      </c>
      <c r="G218" s="478">
        <v>2.5</v>
      </c>
      <c r="H218" s="471">
        <f t="shared" si="97"/>
        <v>534.6</v>
      </c>
      <c r="I218" s="471">
        <f t="shared" si="94"/>
        <v>161.44999999999999</v>
      </c>
      <c r="J218" s="471">
        <f t="shared" si="95"/>
        <v>696.05</v>
      </c>
      <c r="K218" s="479"/>
      <c r="L218" s="471"/>
      <c r="M218" s="471"/>
      <c r="N218" s="471"/>
      <c r="O218" s="471">
        <f>SUM(O219:O223)</f>
        <v>27.57</v>
      </c>
      <c r="P218" s="471">
        <f t="shared" si="99"/>
        <v>723.62</v>
      </c>
      <c r="Q218" s="471">
        <f t="shared" si="10"/>
        <v>481.21</v>
      </c>
      <c r="R218" s="472">
        <f>ROUND(T218/1.2,2)</f>
        <v>1301.67</v>
      </c>
      <c r="S218" s="472">
        <f t="shared" si="11"/>
        <v>260.33</v>
      </c>
      <c r="T218" s="472">
        <f>ROUND((P218+Q218)*(1+Y218)*1.2,0)</f>
        <v>1562</v>
      </c>
      <c r="U218" s="269">
        <v>1119</v>
      </c>
      <c r="V218" s="336">
        <f t="shared" si="50"/>
        <v>39.588918677390524</v>
      </c>
      <c r="W218" s="498">
        <v>1328</v>
      </c>
      <c r="X218" s="470">
        <f>T218/W218*100-100</f>
        <v>17.620481927710841</v>
      </c>
      <c r="Y218" s="499">
        <v>8.0199999999999994E-2</v>
      </c>
      <c r="Z218" s="487" t="e">
        <f>#REF!*Y218</f>
        <v>#REF!</v>
      </c>
      <c r="AB218" s="235">
        <v>1194.27</v>
      </c>
      <c r="AC218" s="467"/>
      <c r="AD218" s="500">
        <f>T218-W218</f>
        <v>234</v>
      </c>
      <c r="AE218" s="284"/>
      <c r="AG218" s="466">
        <v>-1.5699999999999999E-2</v>
      </c>
      <c r="AH218" s="285">
        <f t="shared" si="126"/>
        <v>1.0157</v>
      </c>
      <c r="AI218" s="285">
        <v>1.05</v>
      </c>
      <c r="AK218" s="286">
        <f>ROUND(W218*AI218,2)</f>
        <v>1394.4</v>
      </c>
      <c r="AM218" s="466">
        <v>1.034</v>
      </c>
      <c r="AN218" s="337">
        <v>-1.5699999999999999E-2</v>
      </c>
      <c r="AO218" s="285" t="e">
        <f>#REF!-AM218</f>
        <v>#REF!</v>
      </c>
      <c r="AQ218" s="288">
        <f>Y218-AN218</f>
        <v>9.5899999999999985E-2</v>
      </c>
      <c r="AR218" s="467">
        <v>1274</v>
      </c>
      <c r="AS218" s="127" t="b">
        <f>W218=AR218</f>
        <v>0</v>
      </c>
      <c r="AT218" s="289" t="e">
        <f>ROUND(W218/T218*100-100,2)+#REF!</f>
        <v>#REF!</v>
      </c>
      <c r="AW218">
        <f>ROUND(T218/W218,3)</f>
        <v>1.1759999999999999</v>
      </c>
    </row>
    <row r="219" spans="1:49" ht="24.75" customHeight="1" outlineLevel="1" x14ac:dyDescent="0.3">
      <c r="A219" s="477"/>
      <c r="B219" s="477"/>
      <c r="C219" s="475"/>
      <c r="D219" s="484"/>
      <c r="E219" s="484"/>
      <c r="F219" s="471"/>
      <c r="G219" s="478"/>
      <c r="H219" s="471"/>
      <c r="I219" s="471"/>
      <c r="J219" s="295" t="s">
        <v>366</v>
      </c>
      <c r="K219" s="121" t="s">
        <v>335</v>
      </c>
      <c r="L219" s="478" t="str">
        <f>VLOOKUP(K219,[2]материалы!$A$5:$G$31,5, FALSE)</f>
        <v>кг</v>
      </c>
      <c r="M219" s="471">
        <f>VLOOKUP(K219,[2]материалы!$A$5:$G$34,7, FALSE)</f>
        <v>720.83</v>
      </c>
      <c r="N219" s="471">
        <v>5.0000000000000001E-3</v>
      </c>
      <c r="O219" s="471">
        <f>ROUND(M219*N219,2)</f>
        <v>3.6</v>
      </c>
      <c r="P219" s="471"/>
      <c r="Q219" s="471"/>
      <c r="R219" s="472"/>
      <c r="S219" s="472"/>
      <c r="T219" s="472"/>
      <c r="U219" s="269"/>
      <c r="V219" s="336"/>
      <c r="W219" s="498"/>
      <c r="X219" s="470"/>
      <c r="Y219" s="499"/>
      <c r="Z219" s="487"/>
      <c r="AC219" s="467"/>
      <c r="AD219" s="468"/>
      <c r="AE219" s="284"/>
      <c r="AG219" s="466"/>
      <c r="AH219" s="285"/>
      <c r="AI219" s="285"/>
      <c r="AK219" s="286"/>
      <c r="AM219" s="466"/>
      <c r="AN219" s="337"/>
      <c r="AO219" s="285"/>
      <c r="AQ219" s="288"/>
      <c r="AR219" s="467"/>
      <c r="AT219" s="289"/>
    </row>
    <row r="220" spans="1:49" ht="24.75" customHeight="1" outlineLevel="1" x14ac:dyDescent="0.3">
      <c r="A220" s="477"/>
      <c r="B220" s="477"/>
      <c r="C220" s="475"/>
      <c r="D220" s="484"/>
      <c r="E220" s="484"/>
      <c r="F220" s="471"/>
      <c r="G220" s="478"/>
      <c r="H220" s="471"/>
      <c r="I220" s="471"/>
      <c r="J220" s="295"/>
      <c r="K220" s="121" t="s">
        <v>333</v>
      </c>
      <c r="L220" s="478" t="str">
        <f>VLOOKUP(K220,[2]материалы!$A$5:$G$31,5, FALSE)</f>
        <v>кг</v>
      </c>
      <c r="M220" s="471">
        <f>VLOOKUP(K220,[2]материалы!$A$5:$G$34,7, FALSE)</f>
        <v>276.88</v>
      </c>
      <c r="N220" s="471">
        <v>0.05</v>
      </c>
      <c r="O220" s="471">
        <f>ROUND(M220*N220,2)</f>
        <v>13.84</v>
      </c>
      <c r="P220" s="471"/>
      <c r="Q220" s="471"/>
      <c r="R220" s="472"/>
      <c r="S220" s="472"/>
      <c r="T220" s="472"/>
      <c r="U220" s="269"/>
      <c r="V220" s="336"/>
      <c r="W220" s="498"/>
      <c r="X220" s="470"/>
      <c r="Y220" s="499"/>
      <c r="Z220" s="487"/>
      <c r="AC220" s="467"/>
      <c r="AD220" s="468"/>
      <c r="AE220" s="284"/>
      <c r="AG220" s="466"/>
      <c r="AH220" s="285"/>
      <c r="AI220" s="285"/>
      <c r="AK220" s="286"/>
      <c r="AM220" s="466"/>
      <c r="AN220" s="337"/>
      <c r="AO220" s="285"/>
      <c r="AQ220" s="288"/>
      <c r="AR220" s="467"/>
      <c r="AT220" s="289"/>
    </row>
    <row r="221" spans="1:49" ht="29.25" customHeight="1" outlineLevel="1" x14ac:dyDescent="0.3">
      <c r="A221" s="477"/>
      <c r="B221" s="477"/>
      <c r="C221" s="475"/>
      <c r="D221" s="484"/>
      <c r="E221" s="484"/>
      <c r="F221" s="471"/>
      <c r="G221" s="478"/>
      <c r="H221" s="471"/>
      <c r="I221" s="471"/>
      <c r="J221" s="471"/>
      <c r="K221" s="121" t="s">
        <v>342</v>
      </c>
      <c r="L221" s="478" t="str">
        <f>VLOOKUP(K221,[2]материалы!$A$5:$G$31,5, FALSE)</f>
        <v>шт.</v>
      </c>
      <c r="M221" s="471">
        <f>VLOOKUP(K221,[2]материалы!$A$5:$G$34,7, FALSE)</f>
        <v>37.5</v>
      </c>
      <c r="N221" s="471">
        <v>0.25</v>
      </c>
      <c r="O221" s="471">
        <f>ROUND(M221*N221,2)</f>
        <v>9.3800000000000008</v>
      </c>
      <c r="P221" s="471"/>
      <c r="Q221" s="471"/>
      <c r="R221" s="472"/>
      <c r="S221" s="472"/>
      <c r="T221" s="472"/>
      <c r="U221" s="269"/>
      <c r="V221" s="336"/>
      <c r="W221" s="498"/>
      <c r="X221" s="470"/>
      <c r="Y221" s="499"/>
      <c r="Z221" s="487"/>
      <c r="AC221" s="467"/>
      <c r="AD221" s="468"/>
      <c r="AE221" s="284"/>
      <c r="AG221" s="466"/>
      <c r="AH221" s="285"/>
      <c r="AI221" s="285"/>
      <c r="AK221" s="286"/>
      <c r="AM221" s="466"/>
      <c r="AN221" s="337"/>
      <c r="AO221" s="285"/>
      <c r="AQ221" s="288"/>
      <c r="AR221" s="467"/>
      <c r="AT221" s="289"/>
    </row>
    <row r="222" spans="1:49" outlineLevel="1" x14ac:dyDescent="0.3">
      <c r="A222" s="477"/>
      <c r="B222" s="477"/>
      <c r="C222" s="475"/>
      <c r="D222" s="484"/>
      <c r="E222" s="484"/>
      <c r="F222" s="471"/>
      <c r="G222" s="478"/>
      <c r="H222" s="471"/>
      <c r="I222" s="471"/>
      <c r="J222" s="471"/>
      <c r="K222" s="296" t="s">
        <v>329</v>
      </c>
      <c r="L222" s="478" t="str">
        <f>VLOOKUP(K222,[2]материалы!$A$5:$G$31,5, FALSE)</f>
        <v>кг</v>
      </c>
      <c r="M222" s="471">
        <f>VLOOKUP(K222,[2]материалы!$A$5:$G$34,7, FALSE)</f>
        <v>79.17</v>
      </c>
      <c r="N222" s="471">
        <v>1E-3</v>
      </c>
      <c r="O222" s="471">
        <f t="shared" ref="O222:O223" si="129">ROUND(M222*N222,2)</f>
        <v>0.08</v>
      </c>
      <c r="P222" s="471"/>
      <c r="Q222" s="471"/>
      <c r="R222" s="472"/>
      <c r="S222" s="472"/>
      <c r="T222" s="472"/>
      <c r="U222" s="269"/>
      <c r="V222" s="336"/>
      <c r="W222" s="498"/>
      <c r="X222" s="470"/>
      <c r="Y222" s="499"/>
      <c r="Z222" s="487"/>
      <c r="AC222" s="467"/>
      <c r="AD222" s="468"/>
      <c r="AE222" s="284"/>
      <c r="AG222" s="466"/>
      <c r="AH222" s="285"/>
      <c r="AI222" s="285"/>
      <c r="AK222" s="286"/>
      <c r="AM222" s="466"/>
      <c r="AN222" s="337"/>
      <c r="AO222" s="285"/>
      <c r="AQ222" s="288"/>
      <c r="AR222" s="467"/>
      <c r="AT222" s="289"/>
    </row>
    <row r="223" spans="1:49" outlineLevel="1" x14ac:dyDescent="0.3">
      <c r="A223" s="477"/>
      <c r="B223" s="477"/>
      <c r="C223" s="475"/>
      <c r="D223" s="484"/>
      <c r="E223" s="484"/>
      <c r="F223" s="471"/>
      <c r="G223" s="478"/>
      <c r="H223" s="471"/>
      <c r="I223" s="471"/>
      <c r="J223" s="471"/>
      <c r="K223" s="296" t="s">
        <v>330</v>
      </c>
      <c r="L223" s="478" t="str">
        <f>VLOOKUP(K223,[2]материалы!$A$5:$G$31,5, FALSE)</f>
        <v>кг</v>
      </c>
      <c r="M223" s="471">
        <f>VLOOKUP(K223,[2]материалы!$A$5:$G$34,7, FALSE)</f>
        <v>66.67</v>
      </c>
      <c r="N223" s="471">
        <v>0.01</v>
      </c>
      <c r="O223" s="471">
        <f t="shared" si="129"/>
        <v>0.67</v>
      </c>
      <c r="P223" s="471"/>
      <c r="Q223" s="471"/>
      <c r="R223" s="472"/>
      <c r="S223" s="472"/>
      <c r="T223" s="472"/>
      <c r="U223" s="269"/>
      <c r="V223" s="336"/>
      <c r="W223" s="498"/>
      <c r="X223" s="470"/>
      <c r="Y223" s="499"/>
      <c r="Z223" s="487"/>
      <c r="AC223" s="467"/>
      <c r="AD223" s="468"/>
      <c r="AE223" s="284"/>
      <c r="AG223" s="466"/>
      <c r="AH223" s="285"/>
      <c r="AI223" s="285"/>
      <c r="AK223" s="286"/>
      <c r="AM223" s="466"/>
      <c r="AN223" s="337"/>
      <c r="AO223" s="285"/>
      <c r="AQ223" s="288"/>
      <c r="AR223" s="467"/>
      <c r="AT223" s="289"/>
    </row>
    <row r="224" spans="1:49" ht="21.75" customHeight="1" x14ac:dyDescent="0.3">
      <c r="A224" s="477" t="s">
        <v>466</v>
      </c>
      <c r="B224" s="477" t="s">
        <v>219</v>
      </c>
      <c r="C224" s="475" t="s">
        <v>228</v>
      </c>
      <c r="D224" s="471" t="s">
        <v>230</v>
      </c>
      <c r="E224" s="484" t="s">
        <v>162</v>
      </c>
      <c r="F224" s="471">
        <f>VLOOKUP(E224,'[2]условия, ФОТ'!$A$14:$I$28,9, FALSE)</f>
        <v>213.84</v>
      </c>
      <c r="G224" s="478">
        <v>1.2</v>
      </c>
      <c r="H224" s="471">
        <f t="shared" si="97"/>
        <v>256.61</v>
      </c>
      <c r="I224" s="471">
        <f t="shared" si="94"/>
        <v>77.5</v>
      </c>
      <c r="J224" s="471">
        <f t="shared" si="95"/>
        <v>334.11</v>
      </c>
      <c r="K224" s="479"/>
      <c r="L224" s="471"/>
      <c r="M224" s="471"/>
      <c r="N224" s="471"/>
      <c r="O224" s="471"/>
      <c r="P224" s="471">
        <f t="shared" si="99"/>
        <v>334.11</v>
      </c>
      <c r="Q224" s="471">
        <f t="shared" si="10"/>
        <v>222.18</v>
      </c>
      <c r="R224" s="472">
        <f>ROUND(T224/1.2,2)</f>
        <v>598.33000000000004</v>
      </c>
      <c r="S224" s="472">
        <f t="shared" si="11"/>
        <v>119.67</v>
      </c>
      <c r="T224" s="472">
        <f>ROUND((P224+Q224)*(1+Y224)*1.2,0)</f>
        <v>718</v>
      </c>
      <c r="U224" s="269">
        <v>504</v>
      </c>
      <c r="V224" s="336">
        <f t="shared" si="50"/>
        <v>42.460317460317469</v>
      </c>
      <c r="W224" s="498">
        <v>606</v>
      </c>
      <c r="X224" s="470">
        <f>T224/W224*100-100</f>
        <v>18.481848184818489</v>
      </c>
      <c r="Y224" s="499">
        <v>7.6300000000000007E-2</v>
      </c>
      <c r="Z224" s="487" t="e">
        <f>#REF!*Y224</f>
        <v>#REF!</v>
      </c>
      <c r="AB224" s="235">
        <v>537.68000000000006</v>
      </c>
      <c r="AC224" s="467"/>
      <c r="AD224" s="500">
        <f>T224-W224</f>
        <v>112</v>
      </c>
      <c r="AE224" s="284"/>
      <c r="AG224" s="466">
        <v>-3.09E-2</v>
      </c>
      <c r="AH224" s="285">
        <f t="shared" si="126"/>
        <v>1.0308999999999999</v>
      </c>
      <c r="AI224" s="285">
        <v>1.0660000000000001</v>
      </c>
      <c r="AK224" s="286">
        <f>ROUND(W224*AI224,2)</f>
        <v>646</v>
      </c>
      <c r="AM224" s="466">
        <v>1.034</v>
      </c>
      <c r="AN224" s="337">
        <v>-3.09E-2</v>
      </c>
      <c r="AO224" s="285" t="e">
        <f>#REF!-AM224</f>
        <v>#REF!</v>
      </c>
      <c r="AQ224" s="288">
        <f>Y224-AN224</f>
        <v>0.1072</v>
      </c>
      <c r="AR224" s="467">
        <v>582</v>
      </c>
      <c r="AS224" s="127" t="b">
        <f>W224=AR224</f>
        <v>0</v>
      </c>
      <c r="AT224" s="289" t="e">
        <f>ROUND(W224/T224*100-100,2)+#REF!</f>
        <v>#REF!</v>
      </c>
      <c r="AW224">
        <f>ROUND(T224/W224,3)</f>
        <v>1.1850000000000001</v>
      </c>
    </row>
    <row r="225" spans="1:49" ht="14.25" customHeight="1" x14ac:dyDescent="0.25">
      <c r="A225" s="647" t="s">
        <v>467</v>
      </c>
      <c r="B225" s="646" t="s">
        <v>221</v>
      </c>
      <c r="C225" s="660" t="s">
        <v>229</v>
      </c>
      <c r="D225" s="649" t="s">
        <v>230</v>
      </c>
      <c r="E225" s="484" t="s">
        <v>162</v>
      </c>
      <c r="F225" s="471">
        <f>VLOOKUP(E225,'[2]условия, ФОТ'!$A$14:$I$28,9, FALSE)</f>
        <v>213.84</v>
      </c>
      <c r="G225" s="478">
        <f>1.2+0.68</f>
        <v>1.88</v>
      </c>
      <c r="H225" s="661">
        <f>ROUND((F225*G225+F226*G226),2)</f>
        <v>572.92999999999995</v>
      </c>
      <c r="I225" s="661">
        <f>ROUND(H225*$I$5,2)</f>
        <v>173.02</v>
      </c>
      <c r="J225" s="661">
        <f>H225+I225</f>
        <v>745.94999999999993</v>
      </c>
      <c r="K225" s="669"/>
      <c r="L225" s="661"/>
      <c r="M225" s="661"/>
      <c r="N225" s="661"/>
      <c r="O225" s="661">
        <f>SUM(O227:O233)</f>
        <v>117.25</v>
      </c>
      <c r="P225" s="661">
        <f>J225+O225</f>
        <v>863.19999999999993</v>
      </c>
      <c r="Q225" s="661">
        <f t="shared" si="10"/>
        <v>574.03</v>
      </c>
      <c r="R225" s="711">
        <f>ROUND(T225/1.2,2)</f>
        <v>1544.17</v>
      </c>
      <c r="S225" s="665">
        <f t="shared" si="11"/>
        <v>308.83</v>
      </c>
      <c r="T225" s="665">
        <f>ROUND((P225+Q225)*(1+Y225)*1.2,0)</f>
        <v>1853</v>
      </c>
      <c r="U225" s="666">
        <v>1412</v>
      </c>
      <c r="V225" s="713">
        <f t="shared" si="50"/>
        <v>31.232294617563753</v>
      </c>
      <c r="W225" s="685">
        <v>1568</v>
      </c>
      <c r="X225" s="729">
        <f>T225/W225*100-100</f>
        <v>18.176020408163268</v>
      </c>
      <c r="Y225" s="680">
        <v>7.4399999999999994E-2</v>
      </c>
      <c r="Z225" s="681" t="e">
        <f>#REF!*Y225</f>
        <v>#REF!</v>
      </c>
      <c r="AB225" s="235">
        <v>1505.5040000000001</v>
      </c>
      <c r="AC225" s="674"/>
      <c r="AD225" s="683">
        <f>T225-W225</f>
        <v>285</v>
      </c>
      <c r="AE225" s="284"/>
      <c r="AG225" s="715">
        <v>7.3200000000000001E-2</v>
      </c>
      <c r="AH225" s="670">
        <f t="shared" si="126"/>
        <v>7.3200000000000001E-2</v>
      </c>
      <c r="AI225" s="670">
        <v>0</v>
      </c>
      <c r="AK225" s="676"/>
      <c r="AM225" s="715">
        <v>1.034</v>
      </c>
      <c r="AN225" s="717">
        <v>7.3200000000000001E-2</v>
      </c>
      <c r="AO225" s="670" t="e">
        <f>#REF!-AM225</f>
        <v>#REF!</v>
      </c>
      <c r="AQ225" s="672">
        <f>Y225-AN225</f>
        <v>1.1999999999999927E-3</v>
      </c>
      <c r="AR225" s="674">
        <v>1505</v>
      </c>
      <c r="AS225" s="675" t="b">
        <f>W225=AR225</f>
        <v>0</v>
      </c>
      <c r="AT225" s="289" t="e">
        <f>ROUND(W225/T225*100-100,2)+#REF!</f>
        <v>#REF!</v>
      </c>
      <c r="AW225">
        <f>ROUND(T225/W225,3)</f>
        <v>1.1819999999999999</v>
      </c>
    </row>
    <row r="226" spans="1:49" ht="15.75" customHeight="1" x14ac:dyDescent="0.25">
      <c r="A226" s="647"/>
      <c r="B226" s="646"/>
      <c r="C226" s="660"/>
      <c r="D226" s="649"/>
      <c r="E226" s="484" t="s">
        <v>166</v>
      </c>
      <c r="F226" s="471">
        <f>VLOOKUP(E226,'[2]условия, ФОТ'!$A$14:$I$28,9, FALSE)</f>
        <v>251.34</v>
      </c>
      <c r="G226" s="478">
        <v>0.68</v>
      </c>
      <c r="H226" s="661">
        <f t="shared" ref="H226:H235" si="130">ROUND(F226*G226,2)</f>
        <v>170.91</v>
      </c>
      <c r="I226" s="661">
        <f t="shared" ref="I226" si="131">ROUND(H226*$I$5,2)</f>
        <v>51.61</v>
      </c>
      <c r="J226" s="661">
        <f t="shared" ref="J226" si="132">H226+I226</f>
        <v>222.51999999999998</v>
      </c>
      <c r="K226" s="669"/>
      <c r="L226" s="661"/>
      <c r="M226" s="661"/>
      <c r="N226" s="661"/>
      <c r="O226" s="661"/>
      <c r="P226" s="661"/>
      <c r="Q226" s="661">
        <f t="shared" si="10"/>
        <v>0</v>
      </c>
      <c r="R226" s="726"/>
      <c r="S226" s="665">
        <f t="shared" si="11"/>
        <v>0</v>
      </c>
      <c r="T226" s="665">
        <f>ROUND((P226+Q226)*(1+$R$5)*1.18,0)</f>
        <v>0</v>
      </c>
      <c r="U226" s="667"/>
      <c r="V226" s="713"/>
      <c r="W226" s="686">
        <v>0</v>
      </c>
      <c r="X226" s="730"/>
      <c r="Y226" s="680"/>
      <c r="Z226" s="682"/>
      <c r="AC226" s="674"/>
      <c r="AD226" s="684"/>
      <c r="AE226" s="284"/>
      <c r="AG226" s="716"/>
      <c r="AH226" s="671"/>
      <c r="AI226" s="671"/>
      <c r="AK226" s="677"/>
      <c r="AM226" s="716"/>
      <c r="AN226" s="718"/>
      <c r="AO226" s="671"/>
      <c r="AQ226" s="673"/>
      <c r="AR226" s="674"/>
      <c r="AS226" s="675"/>
      <c r="AT226" s="289"/>
    </row>
    <row r="227" spans="1:49" ht="22.5" customHeight="1" outlineLevel="1" x14ac:dyDescent="0.3">
      <c r="A227" s="477"/>
      <c r="B227" s="476"/>
      <c r="C227" s="475"/>
      <c r="D227" s="484"/>
      <c r="E227" s="484"/>
      <c r="F227" s="471"/>
      <c r="G227" s="478"/>
      <c r="H227" s="471"/>
      <c r="I227" s="471"/>
      <c r="J227" s="295" t="s">
        <v>366</v>
      </c>
      <c r="K227" s="121" t="s">
        <v>324</v>
      </c>
      <c r="L227" s="478" t="str">
        <f>VLOOKUP(K227,[2]материалы!$A$5:$G$31,5, FALSE)</f>
        <v>м3</v>
      </c>
      <c r="M227" s="471">
        <f>VLOOKUP(K227,[2]материалы!$A$5:$G$34,7, FALSE)</f>
        <v>152.78</v>
      </c>
      <c r="N227" s="471">
        <v>0.15</v>
      </c>
      <c r="O227" s="471">
        <f t="shared" ref="O227:O233" si="133">ROUND(M227*N227,2)</f>
        <v>22.92</v>
      </c>
      <c r="P227" s="471"/>
      <c r="Q227" s="471"/>
      <c r="R227" s="472"/>
      <c r="S227" s="472"/>
      <c r="T227" s="472"/>
      <c r="U227" s="269"/>
      <c r="V227" s="336"/>
      <c r="W227" s="486"/>
      <c r="X227" s="470"/>
      <c r="Y227" s="499"/>
      <c r="Z227" s="487"/>
      <c r="AC227" s="467"/>
      <c r="AD227" s="468"/>
      <c r="AE227" s="284"/>
      <c r="AG227" s="466"/>
      <c r="AH227" s="285"/>
      <c r="AI227" s="285"/>
      <c r="AK227" s="286"/>
      <c r="AM227" s="466"/>
      <c r="AN227" s="337"/>
      <c r="AO227" s="285"/>
      <c r="AQ227" s="288"/>
      <c r="AR227" s="467"/>
      <c r="AT227" s="289"/>
    </row>
    <row r="228" spans="1:49" ht="21" customHeight="1" outlineLevel="1" x14ac:dyDescent="0.3">
      <c r="A228" s="477"/>
      <c r="B228" s="476"/>
      <c r="C228" s="475"/>
      <c r="D228" s="484"/>
      <c r="E228" s="484"/>
      <c r="F228" s="471"/>
      <c r="G228" s="478"/>
      <c r="H228" s="471"/>
      <c r="I228" s="471"/>
      <c r="J228" s="471"/>
      <c r="K228" s="121" t="s">
        <v>323</v>
      </c>
      <c r="L228" s="478" t="str">
        <f>VLOOKUP(K228,[2]материалы!$A$5:$G$31,5, FALSE)</f>
        <v>м3</v>
      </c>
      <c r="M228" s="471">
        <f>VLOOKUP(K228,[2]материалы!$A$5:$G$34,7, FALSE)</f>
        <v>486.11</v>
      </c>
      <c r="N228" s="478">
        <v>8.7499999999999994E-2</v>
      </c>
      <c r="O228" s="471">
        <f t="shared" si="133"/>
        <v>42.53</v>
      </c>
      <c r="P228" s="471"/>
      <c r="Q228" s="471"/>
      <c r="R228" s="472"/>
      <c r="S228" s="472"/>
      <c r="T228" s="472"/>
      <c r="U228" s="269"/>
      <c r="V228" s="336"/>
      <c r="W228" s="486"/>
      <c r="X228" s="470"/>
      <c r="Y228" s="499"/>
      <c r="Z228" s="487"/>
      <c r="AC228" s="467"/>
      <c r="AD228" s="468"/>
      <c r="AE228" s="284"/>
      <c r="AG228" s="466"/>
      <c r="AH228" s="285"/>
      <c r="AI228" s="285"/>
      <c r="AK228" s="286"/>
      <c r="AM228" s="466"/>
      <c r="AN228" s="337"/>
      <c r="AO228" s="285"/>
      <c r="AQ228" s="288"/>
      <c r="AR228" s="467"/>
      <c r="AT228" s="289"/>
    </row>
    <row r="229" spans="1:49" ht="38.25" customHeight="1" outlineLevel="1" x14ac:dyDescent="0.3">
      <c r="A229" s="477"/>
      <c r="B229" s="476"/>
      <c r="C229" s="475"/>
      <c r="D229" s="484"/>
      <c r="E229" s="484"/>
      <c r="F229" s="471"/>
      <c r="G229" s="478"/>
      <c r="H229" s="471"/>
      <c r="I229" s="471"/>
      <c r="J229" s="471"/>
      <c r="K229" s="121" t="s">
        <v>341</v>
      </c>
      <c r="L229" s="478" t="str">
        <f>VLOOKUP(K229,[2]материалы!$A$5:$G$31,5, FALSE)</f>
        <v>кг</v>
      </c>
      <c r="M229" s="471">
        <f>VLOOKUP(K229,[2]материалы!$A$5:$G$34,7, FALSE)</f>
        <v>125</v>
      </c>
      <c r="N229" s="471">
        <v>0.1</v>
      </c>
      <c r="O229" s="471">
        <f t="shared" si="133"/>
        <v>12.5</v>
      </c>
      <c r="P229" s="471"/>
      <c r="Q229" s="471"/>
      <c r="R229" s="472"/>
      <c r="S229" s="472"/>
      <c r="T229" s="472"/>
      <c r="U229" s="269"/>
      <c r="V229" s="336"/>
      <c r="W229" s="486"/>
      <c r="X229" s="470"/>
      <c r="Y229" s="499"/>
      <c r="Z229" s="487"/>
      <c r="AC229" s="467"/>
      <c r="AD229" s="468"/>
      <c r="AE229" s="284"/>
      <c r="AG229" s="466"/>
      <c r="AH229" s="285"/>
      <c r="AI229" s="285"/>
      <c r="AK229" s="286"/>
      <c r="AM229" s="466"/>
      <c r="AN229" s="337"/>
      <c r="AO229" s="285"/>
      <c r="AQ229" s="288"/>
      <c r="AR229" s="467"/>
      <c r="AT229" s="289"/>
    </row>
    <row r="230" spans="1:49" ht="26.25" customHeight="1" outlineLevel="1" x14ac:dyDescent="0.3">
      <c r="A230" s="477"/>
      <c r="B230" s="476"/>
      <c r="C230" s="475"/>
      <c r="D230" s="484"/>
      <c r="E230" s="484"/>
      <c r="F230" s="471"/>
      <c r="G230" s="478"/>
      <c r="H230" s="471"/>
      <c r="I230" s="471"/>
      <c r="J230" s="471"/>
      <c r="K230" s="121" t="s">
        <v>342</v>
      </c>
      <c r="L230" s="478" t="str">
        <f>VLOOKUP(K230,[2]материалы!$A$5:$G$31,5, FALSE)</f>
        <v>шт.</v>
      </c>
      <c r="M230" s="471">
        <f>VLOOKUP(K230,[2]материалы!$A$5:$G$34,7, FALSE)</f>
        <v>37.5</v>
      </c>
      <c r="N230" s="471">
        <v>0.25</v>
      </c>
      <c r="O230" s="471">
        <f t="shared" si="133"/>
        <v>9.3800000000000008</v>
      </c>
      <c r="P230" s="471"/>
      <c r="Q230" s="471"/>
      <c r="R230" s="472"/>
      <c r="S230" s="472"/>
      <c r="T230" s="472"/>
      <c r="U230" s="269"/>
      <c r="V230" s="336"/>
      <c r="W230" s="486"/>
      <c r="X230" s="470"/>
      <c r="Y230" s="499"/>
      <c r="Z230" s="487"/>
      <c r="AC230" s="467"/>
      <c r="AD230" s="468"/>
      <c r="AE230" s="284"/>
      <c r="AG230" s="466"/>
      <c r="AH230" s="285"/>
      <c r="AI230" s="285"/>
      <c r="AK230" s="286"/>
      <c r="AM230" s="466"/>
      <c r="AN230" s="337"/>
      <c r="AO230" s="285"/>
      <c r="AQ230" s="288"/>
      <c r="AR230" s="467"/>
      <c r="AT230" s="289"/>
    </row>
    <row r="231" spans="1:49" ht="24.75" customHeight="1" outlineLevel="1" x14ac:dyDescent="0.3">
      <c r="A231" s="477"/>
      <c r="B231" s="476"/>
      <c r="C231" s="475"/>
      <c r="D231" s="484"/>
      <c r="E231" s="484"/>
      <c r="F231" s="471"/>
      <c r="G231" s="478"/>
      <c r="H231" s="471"/>
      <c r="I231" s="471"/>
      <c r="J231" s="471"/>
      <c r="K231" s="121" t="s">
        <v>346</v>
      </c>
      <c r="L231" s="478" t="str">
        <f>VLOOKUP(K231,[2]материалы!$A$5:$G$31,5, FALSE)</f>
        <v>шт.</v>
      </c>
      <c r="M231" s="471">
        <f>VLOOKUP(K231,[2]материалы!$A$5:$G$34,7, FALSE)</f>
        <v>29.17</v>
      </c>
      <c r="N231" s="471">
        <v>1</v>
      </c>
      <c r="O231" s="471">
        <f t="shared" si="133"/>
        <v>29.17</v>
      </c>
      <c r="P231" s="471"/>
      <c r="Q231" s="471"/>
      <c r="R231" s="472"/>
      <c r="S231" s="472"/>
      <c r="T231" s="472"/>
      <c r="U231" s="269"/>
      <c r="V231" s="336"/>
      <c r="W231" s="486"/>
      <c r="X231" s="470"/>
      <c r="Y231" s="499"/>
      <c r="Z231" s="487"/>
      <c r="AC231" s="467"/>
      <c r="AD231" s="468"/>
      <c r="AE231" s="284"/>
      <c r="AG231" s="466"/>
      <c r="AH231" s="285"/>
      <c r="AI231" s="285"/>
      <c r="AK231" s="286"/>
      <c r="AM231" s="466"/>
      <c r="AN231" s="337"/>
      <c r="AO231" s="285"/>
      <c r="AQ231" s="288"/>
      <c r="AR231" s="467"/>
      <c r="AT231" s="289"/>
    </row>
    <row r="232" spans="1:49" ht="15.75" customHeight="1" outlineLevel="1" x14ac:dyDescent="0.3">
      <c r="A232" s="477"/>
      <c r="B232" s="476"/>
      <c r="C232" s="475"/>
      <c r="D232" s="484"/>
      <c r="E232" s="484"/>
      <c r="F232" s="471"/>
      <c r="G232" s="478"/>
      <c r="H232" s="471"/>
      <c r="I232" s="471"/>
      <c r="J232" s="471"/>
      <c r="K232" s="296" t="s">
        <v>329</v>
      </c>
      <c r="L232" s="478" t="str">
        <f>VLOOKUP(K232,[2]материалы!$A$5:$G$31,5, FALSE)</f>
        <v>кг</v>
      </c>
      <c r="M232" s="471">
        <f>VLOOKUP(K232,[2]материалы!$A$5:$G$34,7, FALSE)</f>
        <v>79.17</v>
      </c>
      <c r="N232" s="471">
        <v>1E-3</v>
      </c>
      <c r="O232" s="471">
        <f t="shared" si="133"/>
        <v>0.08</v>
      </c>
      <c r="P232" s="471"/>
      <c r="Q232" s="471"/>
      <c r="R232" s="472"/>
      <c r="S232" s="472"/>
      <c r="T232" s="472"/>
      <c r="U232" s="269"/>
      <c r="V232" s="336"/>
      <c r="W232" s="486"/>
      <c r="X232" s="470"/>
      <c r="Y232" s="499"/>
      <c r="Z232" s="487"/>
      <c r="AC232" s="467"/>
      <c r="AD232" s="468"/>
      <c r="AE232" s="284"/>
      <c r="AG232" s="466"/>
      <c r="AH232" s="285"/>
      <c r="AI232" s="285"/>
      <c r="AK232" s="286"/>
      <c r="AM232" s="466"/>
      <c r="AN232" s="337"/>
      <c r="AO232" s="285"/>
      <c r="AQ232" s="288"/>
      <c r="AR232" s="467"/>
      <c r="AT232" s="289"/>
    </row>
    <row r="233" spans="1:49" ht="15.75" customHeight="1" outlineLevel="1" x14ac:dyDescent="0.3">
      <c r="A233" s="477"/>
      <c r="B233" s="476"/>
      <c r="C233" s="475"/>
      <c r="D233" s="484"/>
      <c r="E233" s="484"/>
      <c r="F233" s="471"/>
      <c r="G233" s="478"/>
      <c r="H233" s="471"/>
      <c r="I233" s="471"/>
      <c r="J233" s="471"/>
      <c r="K233" s="296" t="s">
        <v>330</v>
      </c>
      <c r="L233" s="478" t="str">
        <f>VLOOKUP(K233,[2]материалы!$A$5:$G$31,5, FALSE)</f>
        <v>кг</v>
      </c>
      <c r="M233" s="471">
        <f>VLOOKUP(K233,[2]материалы!$A$5:$G$34,7, FALSE)</f>
        <v>66.67</v>
      </c>
      <c r="N233" s="471">
        <v>0.01</v>
      </c>
      <c r="O233" s="471">
        <f t="shared" si="133"/>
        <v>0.67</v>
      </c>
      <c r="P233" s="471"/>
      <c r="Q233" s="471"/>
      <c r="R233" s="472"/>
      <c r="S233" s="472"/>
      <c r="T233" s="472"/>
      <c r="U233" s="269"/>
      <c r="V233" s="336"/>
      <c r="W233" s="486"/>
      <c r="X233" s="470"/>
      <c r="Y233" s="499"/>
      <c r="Z233" s="487"/>
      <c r="AC233" s="467"/>
      <c r="AD233" s="468"/>
      <c r="AE233" s="284"/>
      <c r="AG233" s="466"/>
      <c r="AH233" s="285"/>
      <c r="AI233" s="285"/>
      <c r="AK233" s="286"/>
      <c r="AM233" s="466"/>
      <c r="AN233" s="337"/>
      <c r="AO233" s="285"/>
      <c r="AQ233" s="288"/>
      <c r="AR233" s="467"/>
      <c r="AT233" s="289"/>
    </row>
    <row r="234" spans="1:49" ht="17.25" customHeight="1" x14ac:dyDescent="0.25">
      <c r="A234" s="647" t="s">
        <v>468</v>
      </c>
      <c r="B234" s="646" t="s">
        <v>223</v>
      </c>
      <c r="C234" s="660" t="s">
        <v>60</v>
      </c>
      <c r="D234" s="649" t="s">
        <v>222</v>
      </c>
      <c r="E234" s="484" t="s">
        <v>162</v>
      </c>
      <c r="F234" s="471">
        <f>VLOOKUP(E234,'[2]условия, ФОТ'!$A$14:$I$28,9, FALSE)</f>
        <v>213.84</v>
      </c>
      <c r="G234" s="478">
        <f>0.72+1.2</f>
        <v>1.92</v>
      </c>
      <c r="H234" s="661">
        <f>ROUND((F234*G234+F235*G235),2)</f>
        <v>581.48</v>
      </c>
      <c r="I234" s="661">
        <f t="shared" si="94"/>
        <v>175.61</v>
      </c>
      <c r="J234" s="661">
        <f t="shared" si="95"/>
        <v>757.09</v>
      </c>
      <c r="K234" s="669"/>
      <c r="L234" s="661"/>
      <c r="M234" s="661"/>
      <c r="N234" s="661"/>
      <c r="O234" s="661">
        <f>SUM(O236:O242)</f>
        <v>117.25</v>
      </c>
      <c r="P234" s="709">
        <f t="shared" si="99"/>
        <v>874.34</v>
      </c>
      <c r="Q234" s="709">
        <f t="shared" si="10"/>
        <v>581.44000000000005</v>
      </c>
      <c r="R234" s="665">
        <f>ROUND(T234/1.2,2)</f>
        <v>1564.17</v>
      </c>
      <c r="S234" s="665">
        <f>ROUND(R234*$S$5,2)</f>
        <v>312.83</v>
      </c>
      <c r="T234" s="665">
        <f>ROUND((P234+Q234)*(1+Y234)*1.2,0)</f>
        <v>1877</v>
      </c>
      <c r="U234" s="666">
        <v>1428</v>
      </c>
      <c r="V234" s="713">
        <f t="shared" si="50"/>
        <v>31.442577030812316</v>
      </c>
      <c r="W234" s="685">
        <v>1588</v>
      </c>
      <c r="X234" s="679">
        <f>T234/W234*100-100</f>
        <v>18.19899244332494</v>
      </c>
      <c r="Y234" s="680">
        <v>7.4200000000000002E-2</v>
      </c>
      <c r="Z234" s="681" t="e">
        <f>#REF!*Y234</f>
        <v>#REF!</v>
      </c>
      <c r="AB234" s="235">
        <v>1524.116</v>
      </c>
      <c r="AC234" s="674"/>
      <c r="AD234" s="683">
        <f>T234-W234</f>
        <v>289</v>
      </c>
      <c r="AE234" s="284"/>
      <c r="AG234" s="715">
        <v>7.2400000000000006E-2</v>
      </c>
      <c r="AH234" s="670">
        <f t="shared" si="126"/>
        <v>7.2400000000000006E-2</v>
      </c>
      <c r="AI234" s="670">
        <v>0</v>
      </c>
      <c r="AK234" s="676"/>
      <c r="AM234" s="715">
        <v>1.034</v>
      </c>
      <c r="AN234" s="717">
        <v>7.2400000000000006E-2</v>
      </c>
      <c r="AO234" s="670" t="e">
        <f>#REF!-AM234</f>
        <v>#REF!</v>
      </c>
      <c r="AQ234" s="672">
        <f>Y234-AN234</f>
        <v>1.799999999999996E-3</v>
      </c>
      <c r="AR234" s="674">
        <v>1524</v>
      </c>
      <c r="AS234" s="675" t="b">
        <f>W234=AR234</f>
        <v>0</v>
      </c>
      <c r="AT234" s="289" t="e">
        <f>ROUND(W234/T234*100-100,2)+#REF!</f>
        <v>#REF!</v>
      </c>
      <c r="AW234">
        <f>ROUND(T234/W234,3)</f>
        <v>1.1819999999999999</v>
      </c>
    </row>
    <row r="235" spans="1:49" ht="26.25" customHeight="1" x14ac:dyDescent="0.25">
      <c r="A235" s="647"/>
      <c r="B235" s="646"/>
      <c r="C235" s="660"/>
      <c r="D235" s="649"/>
      <c r="E235" s="484" t="s">
        <v>166</v>
      </c>
      <c r="F235" s="471">
        <f>VLOOKUP(E235,'[2]условия, ФОТ'!$A$14:$I$28,9, FALSE)</f>
        <v>251.34</v>
      </c>
      <c r="G235" s="478">
        <v>0.68</v>
      </c>
      <c r="H235" s="661">
        <f t="shared" si="130"/>
        <v>170.91</v>
      </c>
      <c r="I235" s="661">
        <f t="shared" si="94"/>
        <v>51.61</v>
      </c>
      <c r="J235" s="661">
        <f t="shared" si="95"/>
        <v>222.51999999999998</v>
      </c>
      <c r="K235" s="669"/>
      <c r="L235" s="661"/>
      <c r="M235" s="661"/>
      <c r="N235" s="661"/>
      <c r="O235" s="661"/>
      <c r="P235" s="731"/>
      <c r="Q235" s="731"/>
      <c r="R235" s="665">
        <f t="shared" ref="R235" si="134">ROUND(T235/1.18,2)</f>
        <v>0</v>
      </c>
      <c r="S235" s="665">
        <f t="shared" si="11"/>
        <v>0</v>
      </c>
      <c r="T235" s="665">
        <f>ROUND((P235+Q235)*(1+$R$5)*1.18,0)</f>
        <v>0</v>
      </c>
      <c r="U235" s="667"/>
      <c r="V235" s="713"/>
      <c r="W235" s="686">
        <v>0</v>
      </c>
      <c r="X235" s="679"/>
      <c r="Y235" s="680"/>
      <c r="Z235" s="682"/>
      <c r="AC235" s="674"/>
      <c r="AD235" s="684"/>
      <c r="AE235" s="284"/>
      <c r="AG235" s="716"/>
      <c r="AH235" s="671"/>
      <c r="AI235" s="671"/>
      <c r="AK235" s="677"/>
      <c r="AM235" s="716"/>
      <c r="AN235" s="718"/>
      <c r="AO235" s="671"/>
      <c r="AQ235" s="673"/>
      <c r="AR235" s="674"/>
      <c r="AS235" s="675"/>
      <c r="AT235" s="289"/>
    </row>
    <row r="236" spans="1:49" ht="19.5" customHeight="1" outlineLevel="1" x14ac:dyDescent="0.3">
      <c r="A236" s="477"/>
      <c r="B236" s="476"/>
      <c r="C236" s="475"/>
      <c r="D236" s="484"/>
      <c r="E236" s="484"/>
      <c r="F236" s="471"/>
      <c r="G236" s="478"/>
      <c r="H236" s="471"/>
      <c r="I236" s="471"/>
      <c r="J236" s="295" t="s">
        <v>366</v>
      </c>
      <c r="K236" s="121" t="s">
        <v>324</v>
      </c>
      <c r="L236" s="478" t="str">
        <f>VLOOKUP(K236,[2]материалы!$A$5:$G$31,5, FALSE)</f>
        <v>м3</v>
      </c>
      <c r="M236" s="471">
        <f>VLOOKUP(K236,[2]материалы!$A$5:$G$34,7, FALSE)</f>
        <v>152.78</v>
      </c>
      <c r="N236" s="471">
        <v>0.15</v>
      </c>
      <c r="O236" s="471">
        <f t="shared" ref="O236:O242" si="135">ROUND(M236*N236,2)</f>
        <v>22.92</v>
      </c>
      <c r="P236" s="471"/>
      <c r="Q236" s="471"/>
      <c r="R236" s="472"/>
      <c r="S236" s="472"/>
      <c r="T236" s="472"/>
      <c r="U236" s="269"/>
      <c r="V236" s="336"/>
      <c r="W236" s="486"/>
      <c r="X236" s="470"/>
      <c r="Y236" s="499"/>
      <c r="Z236" s="487"/>
      <c r="AC236" s="467"/>
      <c r="AD236" s="468"/>
      <c r="AE236" s="284"/>
      <c r="AG236" s="466"/>
      <c r="AH236" s="285"/>
      <c r="AI236" s="285"/>
      <c r="AK236" s="286"/>
      <c r="AM236" s="466"/>
      <c r="AN236" s="337"/>
      <c r="AO236" s="285"/>
      <c r="AQ236" s="288"/>
      <c r="AR236" s="467"/>
      <c r="AT236" s="289"/>
    </row>
    <row r="237" spans="1:49" ht="19.5" customHeight="1" outlineLevel="1" x14ac:dyDescent="0.3">
      <c r="A237" s="477"/>
      <c r="B237" s="476"/>
      <c r="C237" s="475"/>
      <c r="D237" s="484"/>
      <c r="E237" s="484"/>
      <c r="F237" s="471"/>
      <c r="G237" s="478"/>
      <c r="H237" s="471"/>
      <c r="I237" s="471"/>
      <c r="J237" s="471"/>
      <c r="K237" s="121" t="s">
        <v>323</v>
      </c>
      <c r="L237" s="478" t="str">
        <f>VLOOKUP(K237,[2]материалы!$A$5:$G$31,5, FALSE)</f>
        <v>м3</v>
      </c>
      <c r="M237" s="471">
        <f>VLOOKUP(K237,[2]материалы!$A$5:$G$34,7, FALSE)</f>
        <v>486.11</v>
      </c>
      <c r="N237" s="478">
        <v>8.7499999999999994E-2</v>
      </c>
      <c r="O237" s="471">
        <f t="shared" si="135"/>
        <v>42.53</v>
      </c>
      <c r="P237" s="471"/>
      <c r="Q237" s="471"/>
      <c r="R237" s="472"/>
      <c r="S237" s="472"/>
      <c r="T237" s="472"/>
      <c r="U237" s="269"/>
      <c r="V237" s="336"/>
      <c r="W237" s="486"/>
      <c r="X237" s="470"/>
      <c r="Y237" s="499"/>
      <c r="Z237" s="487"/>
      <c r="AC237" s="467"/>
      <c r="AD237" s="468"/>
      <c r="AE237" s="284"/>
      <c r="AG237" s="466"/>
      <c r="AH237" s="285"/>
      <c r="AI237" s="285"/>
      <c r="AK237" s="286"/>
      <c r="AM237" s="466"/>
      <c r="AN237" s="337"/>
      <c r="AO237" s="285"/>
      <c r="AQ237" s="288"/>
      <c r="AR237" s="467"/>
      <c r="AT237" s="289"/>
    </row>
    <row r="238" spans="1:49" ht="41.25" customHeight="1" outlineLevel="1" x14ac:dyDescent="0.3">
      <c r="A238" s="477"/>
      <c r="B238" s="476"/>
      <c r="C238" s="475"/>
      <c r="D238" s="484"/>
      <c r="E238" s="484"/>
      <c r="F238" s="471"/>
      <c r="G238" s="478"/>
      <c r="H238" s="471"/>
      <c r="I238" s="471"/>
      <c r="J238" s="471"/>
      <c r="K238" s="121" t="s">
        <v>341</v>
      </c>
      <c r="L238" s="478" t="str">
        <f>VLOOKUP(K238,[2]материалы!$A$5:$G$31,5, FALSE)</f>
        <v>кг</v>
      </c>
      <c r="M238" s="471">
        <f>VLOOKUP(K238,[2]материалы!$A$5:$G$34,7, FALSE)</f>
        <v>125</v>
      </c>
      <c r="N238" s="471">
        <v>0.1</v>
      </c>
      <c r="O238" s="471">
        <f t="shared" si="135"/>
        <v>12.5</v>
      </c>
      <c r="P238" s="471"/>
      <c r="Q238" s="471"/>
      <c r="R238" s="472"/>
      <c r="S238" s="472"/>
      <c r="T238" s="472"/>
      <c r="U238" s="269"/>
      <c r="V238" s="336"/>
      <c r="W238" s="486"/>
      <c r="X238" s="470"/>
      <c r="Y238" s="499"/>
      <c r="Z238" s="487"/>
      <c r="AC238" s="467"/>
      <c r="AD238" s="468"/>
      <c r="AE238" s="284"/>
      <c r="AG238" s="466"/>
      <c r="AH238" s="285"/>
      <c r="AI238" s="285"/>
      <c r="AK238" s="286"/>
      <c r="AM238" s="466"/>
      <c r="AN238" s="337"/>
      <c r="AO238" s="285"/>
      <c r="AQ238" s="288"/>
      <c r="AR238" s="467"/>
      <c r="AT238" s="289"/>
    </row>
    <row r="239" spans="1:49" ht="36.75" customHeight="1" outlineLevel="1" x14ac:dyDescent="0.3">
      <c r="A239" s="477"/>
      <c r="B239" s="476"/>
      <c r="C239" s="475"/>
      <c r="D239" s="484"/>
      <c r="E239" s="484"/>
      <c r="F239" s="471"/>
      <c r="G239" s="478"/>
      <c r="H239" s="471"/>
      <c r="I239" s="471"/>
      <c r="J239" s="471"/>
      <c r="K239" s="121" t="s">
        <v>342</v>
      </c>
      <c r="L239" s="478" t="str">
        <f>VLOOKUP(K239,[2]материалы!$A$5:$G$31,5, FALSE)</f>
        <v>шт.</v>
      </c>
      <c r="M239" s="471">
        <f>VLOOKUP(K239,[2]материалы!$A$5:$G$34,7, FALSE)</f>
        <v>37.5</v>
      </c>
      <c r="N239" s="471">
        <v>0.25</v>
      </c>
      <c r="O239" s="471">
        <f t="shared" si="135"/>
        <v>9.3800000000000008</v>
      </c>
      <c r="P239" s="471"/>
      <c r="Q239" s="471"/>
      <c r="R239" s="472"/>
      <c r="S239" s="472"/>
      <c r="T239" s="472"/>
      <c r="U239" s="269"/>
      <c r="V239" s="336"/>
      <c r="W239" s="486"/>
      <c r="X239" s="470"/>
      <c r="Y239" s="499"/>
      <c r="Z239" s="487"/>
      <c r="AC239" s="467"/>
      <c r="AD239" s="468"/>
      <c r="AE239" s="284"/>
      <c r="AG239" s="466"/>
      <c r="AH239" s="285"/>
      <c r="AI239" s="285"/>
      <c r="AK239" s="286"/>
      <c r="AM239" s="466"/>
      <c r="AN239" s="337"/>
      <c r="AO239" s="285"/>
      <c r="AQ239" s="288"/>
      <c r="AR239" s="467"/>
      <c r="AT239" s="289"/>
    </row>
    <row r="240" spans="1:49" ht="28.5" customHeight="1" outlineLevel="1" x14ac:dyDescent="0.3">
      <c r="A240" s="477"/>
      <c r="B240" s="476"/>
      <c r="C240" s="475"/>
      <c r="D240" s="484"/>
      <c r="E240" s="484"/>
      <c r="F240" s="471"/>
      <c r="G240" s="478"/>
      <c r="H240" s="471"/>
      <c r="I240" s="471"/>
      <c r="J240" s="471"/>
      <c r="K240" s="121" t="s">
        <v>346</v>
      </c>
      <c r="L240" s="478" t="str">
        <f>VLOOKUP(K240,[2]материалы!$A$5:$G$31,5, FALSE)</f>
        <v>шт.</v>
      </c>
      <c r="M240" s="471">
        <f>VLOOKUP(K240,[2]материалы!$A$5:$G$34,7, FALSE)</f>
        <v>29.17</v>
      </c>
      <c r="N240" s="471">
        <v>1</v>
      </c>
      <c r="O240" s="471">
        <f t="shared" si="135"/>
        <v>29.17</v>
      </c>
      <c r="P240" s="471"/>
      <c r="Q240" s="471"/>
      <c r="R240" s="472"/>
      <c r="S240" s="472"/>
      <c r="T240" s="472"/>
      <c r="U240" s="269"/>
      <c r="V240" s="336"/>
      <c r="W240" s="486"/>
      <c r="X240" s="470"/>
      <c r="Y240" s="499"/>
      <c r="Z240" s="487"/>
      <c r="AC240" s="467"/>
      <c r="AD240" s="468"/>
      <c r="AE240" s="284"/>
      <c r="AG240" s="466"/>
      <c r="AH240" s="285"/>
      <c r="AI240" s="285"/>
      <c r="AK240" s="286"/>
      <c r="AM240" s="466"/>
      <c r="AN240" s="337"/>
      <c r="AO240" s="285"/>
      <c r="AQ240" s="288"/>
      <c r="AR240" s="467"/>
      <c r="AT240" s="289"/>
    </row>
    <row r="241" spans="1:49" ht="19.5" customHeight="1" outlineLevel="1" x14ac:dyDescent="0.3">
      <c r="A241" s="477"/>
      <c r="B241" s="476"/>
      <c r="C241" s="475"/>
      <c r="D241" s="484"/>
      <c r="E241" s="484"/>
      <c r="F241" s="471"/>
      <c r="G241" s="478"/>
      <c r="H241" s="471"/>
      <c r="I241" s="471"/>
      <c r="J241" s="471"/>
      <c r="K241" s="296" t="s">
        <v>329</v>
      </c>
      <c r="L241" s="478" t="str">
        <f>VLOOKUP(K241,[2]материалы!$A$5:$G$31,5, FALSE)</f>
        <v>кг</v>
      </c>
      <c r="M241" s="471">
        <f>VLOOKUP(K241,[2]материалы!$A$5:$G$34,7, FALSE)</f>
        <v>79.17</v>
      </c>
      <c r="N241" s="471">
        <v>1E-3</v>
      </c>
      <c r="O241" s="471">
        <f t="shared" si="135"/>
        <v>0.08</v>
      </c>
      <c r="P241" s="471"/>
      <c r="Q241" s="471"/>
      <c r="R241" s="472"/>
      <c r="S241" s="472"/>
      <c r="T241" s="472"/>
      <c r="U241" s="269"/>
      <c r="V241" s="336"/>
      <c r="W241" s="486"/>
      <c r="X241" s="470"/>
      <c r="Y241" s="499"/>
      <c r="Z241" s="487"/>
      <c r="AC241" s="467"/>
      <c r="AD241" s="468"/>
      <c r="AE241" s="284"/>
      <c r="AG241" s="466"/>
      <c r="AH241" s="285"/>
      <c r="AI241" s="285"/>
      <c r="AK241" s="286"/>
      <c r="AM241" s="466"/>
      <c r="AN241" s="337"/>
      <c r="AO241" s="285"/>
      <c r="AQ241" s="288"/>
      <c r="AR241" s="467"/>
      <c r="AT241" s="289"/>
    </row>
    <row r="242" spans="1:49" ht="19.5" customHeight="1" outlineLevel="1" x14ac:dyDescent="0.3">
      <c r="A242" s="477"/>
      <c r="B242" s="476"/>
      <c r="C242" s="475"/>
      <c r="D242" s="484"/>
      <c r="E242" s="484"/>
      <c r="F242" s="471"/>
      <c r="G242" s="478"/>
      <c r="H242" s="471"/>
      <c r="I242" s="471"/>
      <c r="J242" s="471"/>
      <c r="K242" s="296" t="s">
        <v>330</v>
      </c>
      <c r="L242" s="478" t="str">
        <f>VLOOKUP(K242,[2]материалы!$A$5:$G$31,5, FALSE)</f>
        <v>кг</v>
      </c>
      <c r="M242" s="471">
        <f>VLOOKUP(K242,[2]материалы!$A$5:$G$34,7, FALSE)</f>
        <v>66.67</v>
      </c>
      <c r="N242" s="471">
        <v>0.01</v>
      </c>
      <c r="O242" s="471">
        <f t="shared" si="135"/>
        <v>0.67</v>
      </c>
      <c r="P242" s="471"/>
      <c r="Q242" s="471"/>
      <c r="R242" s="472"/>
      <c r="S242" s="472"/>
      <c r="T242" s="472"/>
      <c r="U242" s="269"/>
      <c r="V242" s="336"/>
      <c r="W242" s="486"/>
      <c r="X242" s="470"/>
      <c r="Y242" s="499"/>
      <c r="Z242" s="487"/>
      <c r="AC242" s="467"/>
      <c r="AD242" s="468"/>
      <c r="AE242" s="284"/>
      <c r="AG242" s="466"/>
      <c r="AH242" s="285"/>
      <c r="AI242" s="285"/>
      <c r="AK242" s="286"/>
      <c r="AM242" s="466"/>
      <c r="AN242" s="337"/>
      <c r="AO242" s="285"/>
      <c r="AQ242" s="288"/>
      <c r="AR242" s="467"/>
      <c r="AT242" s="289"/>
    </row>
    <row r="243" spans="1:49" x14ac:dyDescent="0.3">
      <c r="A243" s="477" t="s">
        <v>469</v>
      </c>
      <c r="B243" s="477" t="s">
        <v>224</v>
      </c>
      <c r="C243" s="475" t="s">
        <v>231</v>
      </c>
      <c r="D243" s="471" t="s">
        <v>177</v>
      </c>
      <c r="E243" s="484" t="s">
        <v>162</v>
      </c>
      <c r="F243" s="471">
        <f>VLOOKUP(E243,'[2]условия, ФОТ'!$A$14:$I$28,9, FALSE)</f>
        <v>213.84</v>
      </c>
      <c r="G243" s="478">
        <v>0.5</v>
      </c>
      <c r="H243" s="471">
        <f t="shared" si="97"/>
        <v>106.92</v>
      </c>
      <c r="I243" s="471">
        <f t="shared" si="94"/>
        <v>32.29</v>
      </c>
      <c r="J243" s="471">
        <f t="shared" si="95"/>
        <v>139.21</v>
      </c>
      <c r="K243" s="479"/>
      <c r="L243" s="471"/>
      <c r="M243" s="471"/>
      <c r="N243" s="471"/>
      <c r="O243" s="471"/>
      <c r="P243" s="471">
        <f t="shared" si="99"/>
        <v>139.21</v>
      </c>
      <c r="Q243" s="471">
        <f t="shared" ref="Q243:Q334" si="136">ROUND(P243*$Q$5,2)</f>
        <v>92.57</v>
      </c>
      <c r="R243" s="472">
        <f>ROUND(T243/1.2,2)</f>
        <v>250</v>
      </c>
      <c r="S243" s="472">
        <f t="shared" ref="S243:S334" si="137">ROUND(R243*$S$5,2)</f>
        <v>50</v>
      </c>
      <c r="T243" s="472">
        <f t="shared" ref="T243:T293" si="138">ROUND((P243+Q243)*(1+Y243)*1.2,0)</f>
        <v>300</v>
      </c>
      <c r="U243" s="269">
        <v>210</v>
      </c>
      <c r="V243" s="336">
        <f t="shared" si="50"/>
        <v>42.857142857142861</v>
      </c>
      <c r="W243" s="498">
        <v>253</v>
      </c>
      <c r="X243" s="470">
        <f t="shared" ref="X243:X293" si="139">T243/W243*100-100</f>
        <v>18.577075098814234</v>
      </c>
      <c r="Y243" s="499">
        <v>7.85E-2</v>
      </c>
      <c r="Z243" s="487" t="e">
        <f>#REF!*Y243</f>
        <v>#REF!</v>
      </c>
      <c r="AB243" s="235">
        <v>224.37800000000001</v>
      </c>
      <c r="AC243" s="467"/>
      <c r="AD243" s="500">
        <f t="shared" ref="AD243:AD293" si="140">T243-W243</f>
        <v>47</v>
      </c>
      <c r="AE243" s="284"/>
      <c r="AG243" s="466">
        <v>-2.9399999999999999E-2</v>
      </c>
      <c r="AH243" s="285">
        <f t="shared" si="126"/>
        <v>1.0294000000000001</v>
      </c>
      <c r="AI243" s="285">
        <v>1.0640000000000001</v>
      </c>
      <c r="AK243" s="286">
        <f t="shared" ref="AK243:AK287" si="141">ROUND(W243*AI243,2)</f>
        <v>269.19</v>
      </c>
      <c r="AM243" s="466">
        <v>1.034</v>
      </c>
      <c r="AN243" s="337">
        <v>-2.9399999999999999E-2</v>
      </c>
      <c r="AO243" s="285" t="e">
        <f>#REF!-AM243</f>
        <v>#REF!</v>
      </c>
      <c r="AQ243" s="288">
        <f t="shared" ref="AQ243:AQ293" si="142">Y243-AN243</f>
        <v>0.1079</v>
      </c>
      <c r="AR243" s="467">
        <v>243</v>
      </c>
      <c r="AS243" s="127" t="b">
        <f t="shared" ref="AS243:AS293" si="143">W243=AR243</f>
        <v>0</v>
      </c>
      <c r="AT243" s="289" t="e">
        <f>ROUND(W243/T243*100-100,2)+#REF!</f>
        <v>#REF!</v>
      </c>
      <c r="AW243">
        <f t="shared" ref="AW243:AW293" si="144">ROUND(T243/W243,3)</f>
        <v>1.1859999999999999</v>
      </c>
    </row>
    <row r="244" spans="1:49" x14ac:dyDescent="0.3">
      <c r="A244" s="477" t="s">
        <v>471</v>
      </c>
      <c r="B244" s="477" t="s">
        <v>225</v>
      </c>
      <c r="C244" s="475" t="s">
        <v>61</v>
      </c>
      <c r="D244" s="471" t="s">
        <v>232</v>
      </c>
      <c r="E244" s="484" t="s">
        <v>162</v>
      </c>
      <c r="F244" s="471">
        <f>VLOOKUP(E244,'[2]условия, ФОТ'!$A$14:$I$28,9, FALSE)</f>
        <v>213.84</v>
      </c>
      <c r="G244" s="478">
        <v>1.1000000000000001</v>
      </c>
      <c r="H244" s="471">
        <f t="shared" si="97"/>
        <v>235.22</v>
      </c>
      <c r="I244" s="471">
        <f t="shared" si="94"/>
        <v>71.040000000000006</v>
      </c>
      <c r="J244" s="471">
        <f t="shared" si="95"/>
        <v>306.26</v>
      </c>
      <c r="K244" s="479"/>
      <c r="L244" s="471"/>
      <c r="M244" s="471"/>
      <c r="N244" s="471"/>
      <c r="O244" s="471"/>
      <c r="P244" s="471">
        <f t="shared" si="99"/>
        <v>306.26</v>
      </c>
      <c r="Q244" s="471">
        <f t="shared" si="136"/>
        <v>203.66</v>
      </c>
      <c r="R244" s="472">
        <f t="shared" ref="R244:R292" si="145">ROUND(T244/1.2,2)</f>
        <v>549.16999999999996</v>
      </c>
      <c r="S244" s="472">
        <f t="shared" si="137"/>
        <v>109.83</v>
      </c>
      <c r="T244" s="472">
        <f t="shared" si="138"/>
        <v>659</v>
      </c>
      <c r="U244" s="269">
        <v>462</v>
      </c>
      <c r="V244" s="336">
        <f t="shared" si="50"/>
        <v>42.640692640692635</v>
      </c>
      <c r="W244" s="498">
        <v>556</v>
      </c>
      <c r="X244" s="470">
        <f t="shared" si="139"/>
        <v>18.525179856115102</v>
      </c>
      <c r="Y244" s="499">
        <v>7.7299999999999994E-2</v>
      </c>
      <c r="Z244" s="487" t="e">
        <f>#REF!*Y244</f>
        <v>#REF!</v>
      </c>
      <c r="AB244" s="235">
        <v>493.21800000000002</v>
      </c>
      <c r="AC244" s="467"/>
      <c r="AD244" s="500">
        <f t="shared" si="140"/>
        <v>103</v>
      </c>
      <c r="AE244" s="284"/>
      <c r="AG244" s="466">
        <v>-3.0200000000000001E-2</v>
      </c>
      <c r="AH244" s="285">
        <f t="shared" si="126"/>
        <v>1.0302</v>
      </c>
      <c r="AI244" s="285">
        <v>1.0649999999999999</v>
      </c>
      <c r="AK244" s="286">
        <f t="shared" si="141"/>
        <v>592.14</v>
      </c>
      <c r="AM244" s="466">
        <v>1.034</v>
      </c>
      <c r="AN244" s="337">
        <v>-3.0200000000000001E-2</v>
      </c>
      <c r="AO244" s="285" t="e">
        <f>#REF!-AM244</f>
        <v>#REF!</v>
      </c>
      <c r="AQ244" s="288">
        <f t="shared" si="142"/>
        <v>0.1075</v>
      </c>
      <c r="AR244" s="467">
        <v>534</v>
      </c>
      <c r="AS244" s="127" t="b">
        <f t="shared" si="143"/>
        <v>0</v>
      </c>
      <c r="AT244" s="289" t="e">
        <f>ROUND(W244/T244*100-100,2)+#REF!</f>
        <v>#REF!</v>
      </c>
      <c r="AW244">
        <f t="shared" si="144"/>
        <v>1.1850000000000001</v>
      </c>
    </row>
    <row r="245" spans="1:49" x14ac:dyDescent="0.3">
      <c r="A245" s="477" t="s">
        <v>470</v>
      </c>
      <c r="B245" s="477" t="s">
        <v>233</v>
      </c>
      <c r="C245" s="475" t="s">
        <v>62</v>
      </c>
      <c r="D245" s="471" t="s">
        <v>190</v>
      </c>
      <c r="E245" s="484" t="s">
        <v>162</v>
      </c>
      <c r="F245" s="471">
        <f>VLOOKUP(E245,'[2]условия, ФОТ'!$A$14:$I$28,9, FALSE)</f>
        <v>213.84</v>
      </c>
      <c r="G245" s="478">
        <v>0.6</v>
      </c>
      <c r="H245" s="471">
        <f t="shared" si="97"/>
        <v>128.30000000000001</v>
      </c>
      <c r="I245" s="471">
        <f t="shared" si="94"/>
        <v>38.75</v>
      </c>
      <c r="J245" s="471">
        <f t="shared" si="95"/>
        <v>167.05</v>
      </c>
      <c r="K245" s="479"/>
      <c r="L245" s="471"/>
      <c r="M245" s="471"/>
      <c r="N245" s="471"/>
      <c r="O245" s="471"/>
      <c r="P245" s="471">
        <f t="shared" si="99"/>
        <v>167.05</v>
      </c>
      <c r="Q245" s="471">
        <f t="shared" si="136"/>
        <v>111.09</v>
      </c>
      <c r="R245" s="472">
        <f t="shared" si="145"/>
        <v>299.17</v>
      </c>
      <c r="S245" s="472">
        <f t="shared" si="137"/>
        <v>59.83</v>
      </c>
      <c r="T245" s="472">
        <f t="shared" si="138"/>
        <v>359</v>
      </c>
      <c r="U245" s="269">
        <v>252</v>
      </c>
      <c r="V245" s="336">
        <f t="shared" si="50"/>
        <v>42.460317460317469</v>
      </c>
      <c r="W245" s="498">
        <v>303</v>
      </c>
      <c r="X245" s="470">
        <f t="shared" si="139"/>
        <v>18.481848184818489</v>
      </c>
      <c r="Y245" s="499">
        <v>7.6200000000000004E-2</v>
      </c>
      <c r="Z245" s="487" t="e">
        <f>#REF!*Y245</f>
        <v>#REF!</v>
      </c>
      <c r="AB245" s="235">
        <v>268.84000000000003</v>
      </c>
      <c r="AC245" s="467"/>
      <c r="AD245" s="500">
        <f t="shared" si="140"/>
        <v>56</v>
      </c>
      <c r="AE245" s="284"/>
      <c r="AG245" s="466">
        <v>-3.0800000000000001E-2</v>
      </c>
      <c r="AH245" s="285">
        <f t="shared" si="126"/>
        <v>1.0307999999999999</v>
      </c>
      <c r="AI245" s="285">
        <v>1.0660000000000001</v>
      </c>
      <c r="AK245" s="286">
        <f t="shared" si="141"/>
        <v>323</v>
      </c>
      <c r="AM245" s="466">
        <v>1.034</v>
      </c>
      <c r="AN245" s="337">
        <v>-3.0800000000000001E-2</v>
      </c>
      <c r="AO245" s="285" t="e">
        <f>#REF!-AM245</f>
        <v>#REF!</v>
      </c>
      <c r="AQ245" s="288">
        <f t="shared" si="142"/>
        <v>0.10700000000000001</v>
      </c>
      <c r="AR245" s="467">
        <v>291</v>
      </c>
      <c r="AS245" s="127" t="b">
        <f t="shared" si="143"/>
        <v>0</v>
      </c>
      <c r="AT245" s="289" t="e">
        <f>ROUND(W245/T245*100-100,2)+#REF!</f>
        <v>#REF!</v>
      </c>
      <c r="AW245">
        <f t="shared" si="144"/>
        <v>1.1850000000000001</v>
      </c>
    </row>
    <row r="246" spans="1:49" x14ac:dyDescent="0.3">
      <c r="A246" s="477" t="s">
        <v>472</v>
      </c>
      <c r="B246" s="477" t="s">
        <v>347</v>
      </c>
      <c r="C246" s="475" t="s">
        <v>63</v>
      </c>
      <c r="D246" s="471" t="s">
        <v>190</v>
      </c>
      <c r="E246" s="484" t="s">
        <v>162</v>
      </c>
      <c r="F246" s="471">
        <f>VLOOKUP(E246,'[2]условия, ФОТ'!$A$14:$I$28,9, FALSE)</f>
        <v>213.84</v>
      </c>
      <c r="G246" s="478">
        <v>1</v>
      </c>
      <c r="H246" s="471">
        <f t="shared" si="97"/>
        <v>213.84</v>
      </c>
      <c r="I246" s="471">
        <f t="shared" si="94"/>
        <v>64.58</v>
      </c>
      <c r="J246" s="471">
        <f t="shared" si="95"/>
        <v>278.42</v>
      </c>
      <c r="K246" s="479"/>
      <c r="L246" s="471"/>
      <c r="M246" s="471"/>
      <c r="N246" s="471"/>
      <c r="O246" s="471"/>
      <c r="P246" s="471">
        <f t="shared" si="99"/>
        <v>278.42</v>
      </c>
      <c r="Q246" s="471">
        <f t="shared" si="136"/>
        <v>185.15</v>
      </c>
      <c r="R246" s="472">
        <f t="shared" si="145"/>
        <v>499.17</v>
      </c>
      <c r="S246" s="472">
        <f t="shared" si="137"/>
        <v>99.83</v>
      </c>
      <c r="T246" s="472">
        <f t="shared" si="138"/>
        <v>599</v>
      </c>
      <c r="U246" s="269">
        <v>420</v>
      </c>
      <c r="V246" s="336">
        <f t="shared" si="50"/>
        <v>42.61904761904762</v>
      </c>
      <c r="W246" s="498">
        <v>505</v>
      </c>
      <c r="X246" s="470">
        <f t="shared" si="139"/>
        <v>18.613861386138609</v>
      </c>
      <c r="Y246" s="499">
        <v>7.6300000000000007E-2</v>
      </c>
      <c r="Z246" s="487" t="e">
        <f>#REF!*Y246</f>
        <v>#REF!</v>
      </c>
      <c r="AB246" s="235">
        <v>448.75600000000003</v>
      </c>
      <c r="AC246" s="467"/>
      <c r="AD246" s="500">
        <f t="shared" si="140"/>
        <v>94</v>
      </c>
      <c r="AE246" s="284"/>
      <c r="AG246" s="466">
        <v>-2.9399999999999999E-2</v>
      </c>
      <c r="AH246" s="285">
        <f t="shared" si="126"/>
        <v>1.0294000000000001</v>
      </c>
      <c r="AI246" s="285">
        <v>1.0640000000000001</v>
      </c>
      <c r="AK246" s="286">
        <f t="shared" si="141"/>
        <v>537.32000000000005</v>
      </c>
      <c r="AM246" s="466">
        <v>1.034</v>
      </c>
      <c r="AN246" s="337">
        <v>-2.9399999999999999E-2</v>
      </c>
      <c r="AO246" s="285" t="e">
        <f>#REF!-AM246</f>
        <v>#REF!</v>
      </c>
      <c r="AQ246" s="288">
        <f t="shared" si="142"/>
        <v>0.1057</v>
      </c>
      <c r="AR246" s="467">
        <v>485</v>
      </c>
      <c r="AS246" s="127" t="b">
        <f t="shared" si="143"/>
        <v>0</v>
      </c>
      <c r="AT246" s="289" t="e">
        <f>ROUND(W246/T246*100-100,2)+#REF!</f>
        <v>#REF!</v>
      </c>
      <c r="AW246">
        <f t="shared" si="144"/>
        <v>1.1859999999999999</v>
      </c>
    </row>
    <row r="247" spans="1:49" x14ac:dyDescent="0.3">
      <c r="A247" s="477" t="s">
        <v>473</v>
      </c>
      <c r="B247" s="477" t="s">
        <v>234</v>
      </c>
      <c r="C247" s="475" t="s">
        <v>64</v>
      </c>
      <c r="D247" s="471" t="s">
        <v>236</v>
      </c>
      <c r="E247" s="484" t="s">
        <v>162</v>
      </c>
      <c r="F247" s="471">
        <f>VLOOKUP(E247,'[2]условия, ФОТ'!$A$14:$I$28,9, FALSE)</f>
        <v>213.84</v>
      </c>
      <c r="G247" s="478">
        <v>0.7</v>
      </c>
      <c r="H247" s="471">
        <f t="shared" si="97"/>
        <v>149.69</v>
      </c>
      <c r="I247" s="471">
        <f t="shared" si="94"/>
        <v>45.21</v>
      </c>
      <c r="J247" s="471">
        <f t="shared" si="95"/>
        <v>194.9</v>
      </c>
      <c r="K247" s="479"/>
      <c r="L247" s="471"/>
      <c r="M247" s="471"/>
      <c r="N247" s="471"/>
      <c r="O247" s="471"/>
      <c r="P247" s="471">
        <f t="shared" si="99"/>
        <v>194.9</v>
      </c>
      <c r="Q247" s="471">
        <f t="shared" si="136"/>
        <v>129.61000000000001</v>
      </c>
      <c r="R247" s="472">
        <f t="shared" si="145"/>
        <v>350</v>
      </c>
      <c r="S247" s="472">
        <f>ROUND(R247*$S$5,2)</f>
        <v>70</v>
      </c>
      <c r="T247" s="472">
        <f t="shared" si="138"/>
        <v>420</v>
      </c>
      <c r="U247" s="269">
        <v>294</v>
      </c>
      <c r="V247" s="336">
        <f t="shared" si="50"/>
        <v>42.857142857142861</v>
      </c>
      <c r="W247" s="498">
        <v>354</v>
      </c>
      <c r="X247" s="470">
        <f t="shared" si="139"/>
        <v>18.644067796610159</v>
      </c>
      <c r="Y247" s="499">
        <v>7.7899999999999997E-2</v>
      </c>
      <c r="Z247" s="487" t="e">
        <f>#REF!*Y247</f>
        <v>#REF!</v>
      </c>
      <c r="AB247" s="235">
        <v>314.33600000000001</v>
      </c>
      <c r="AC247" s="467"/>
      <c r="AD247" s="500">
        <f t="shared" si="140"/>
        <v>66</v>
      </c>
      <c r="AE247" s="284"/>
      <c r="AG247" s="466">
        <v>-2.87E-2</v>
      </c>
      <c r="AH247" s="285">
        <f t="shared" si="126"/>
        <v>1.0286999999999999</v>
      </c>
      <c r="AI247" s="285">
        <v>1.0640000000000001</v>
      </c>
      <c r="AK247" s="286">
        <f t="shared" si="141"/>
        <v>376.66</v>
      </c>
      <c r="AM247" s="466">
        <v>1.034</v>
      </c>
      <c r="AN247" s="337">
        <v>-2.87E-2</v>
      </c>
      <c r="AO247" s="285" t="e">
        <f>#REF!-AM247</f>
        <v>#REF!</v>
      </c>
      <c r="AQ247" s="288">
        <f t="shared" si="142"/>
        <v>0.1066</v>
      </c>
      <c r="AR247" s="467">
        <v>340</v>
      </c>
      <c r="AS247" s="127" t="b">
        <f t="shared" si="143"/>
        <v>0</v>
      </c>
      <c r="AT247" s="289" t="e">
        <f>ROUND(W247/T247*100-100,2)+#REF!</f>
        <v>#REF!</v>
      </c>
      <c r="AW247">
        <f t="shared" si="144"/>
        <v>1.1859999999999999</v>
      </c>
    </row>
    <row r="248" spans="1:49" x14ac:dyDescent="0.3">
      <c r="A248" s="477" t="s">
        <v>474</v>
      </c>
      <c r="B248" s="477" t="s">
        <v>235</v>
      </c>
      <c r="C248" s="475" t="s">
        <v>65</v>
      </c>
      <c r="D248" s="471" t="s">
        <v>236</v>
      </c>
      <c r="E248" s="484" t="s">
        <v>162</v>
      </c>
      <c r="F248" s="471">
        <f>VLOOKUP(E248,'[2]условия, ФОТ'!$A$14:$I$28,9, FALSE)</f>
        <v>213.84</v>
      </c>
      <c r="G248" s="478">
        <v>0.4</v>
      </c>
      <c r="H248" s="471">
        <f t="shared" si="97"/>
        <v>85.54</v>
      </c>
      <c r="I248" s="471">
        <f t="shared" si="94"/>
        <v>25.83</v>
      </c>
      <c r="J248" s="471">
        <f t="shared" si="95"/>
        <v>111.37</v>
      </c>
      <c r="K248" s="479"/>
      <c r="L248" s="471"/>
      <c r="M248" s="471"/>
      <c r="N248" s="471"/>
      <c r="O248" s="471"/>
      <c r="P248" s="471">
        <f t="shared" si="99"/>
        <v>111.37</v>
      </c>
      <c r="Q248" s="471">
        <f t="shared" si="136"/>
        <v>74.06</v>
      </c>
      <c r="R248" s="472">
        <f t="shared" si="145"/>
        <v>200</v>
      </c>
      <c r="S248" s="472">
        <f t="shared" si="137"/>
        <v>40</v>
      </c>
      <c r="T248" s="472">
        <f t="shared" si="138"/>
        <v>240</v>
      </c>
      <c r="U248" s="269">
        <v>168</v>
      </c>
      <c r="V248" s="336">
        <f t="shared" si="50"/>
        <v>42.857142857142861</v>
      </c>
      <c r="W248" s="498">
        <v>202</v>
      </c>
      <c r="X248" s="470">
        <f t="shared" si="139"/>
        <v>18.811881188118804</v>
      </c>
      <c r="Y248" s="499">
        <v>7.6399999999999996E-2</v>
      </c>
      <c r="Z248" s="487" t="e">
        <f>#REF!*Y248</f>
        <v>#REF!</v>
      </c>
      <c r="AB248" s="235">
        <v>178.88200000000001</v>
      </c>
      <c r="AC248" s="467"/>
      <c r="AD248" s="500">
        <f t="shared" si="140"/>
        <v>38</v>
      </c>
      <c r="AE248" s="284"/>
      <c r="AG248" s="466">
        <v>-3.2899999999999999E-2</v>
      </c>
      <c r="AH248" s="285">
        <f t="shared" si="126"/>
        <v>1.0328999999999999</v>
      </c>
      <c r="AI248" s="285">
        <v>1.0680000000000001</v>
      </c>
      <c r="AK248" s="286">
        <f t="shared" si="141"/>
        <v>215.74</v>
      </c>
      <c r="AM248" s="466">
        <v>1.034</v>
      </c>
      <c r="AN248" s="337">
        <v>-3.2899999999999999E-2</v>
      </c>
      <c r="AO248" s="285" t="e">
        <f>#REF!-AM248</f>
        <v>#REF!</v>
      </c>
      <c r="AQ248" s="288">
        <f t="shared" si="142"/>
        <v>0.10929999999999999</v>
      </c>
      <c r="AR248" s="467">
        <v>194</v>
      </c>
      <c r="AS248" s="127" t="b">
        <f t="shared" si="143"/>
        <v>0</v>
      </c>
      <c r="AT248" s="289" t="e">
        <f>ROUND(W248/T248*100-100,2)+#REF!</f>
        <v>#REF!</v>
      </c>
      <c r="AW248">
        <f t="shared" si="144"/>
        <v>1.1879999999999999</v>
      </c>
    </row>
    <row r="249" spans="1:49" ht="26.25" customHeight="1" x14ac:dyDescent="0.3">
      <c r="A249" s="477" t="s">
        <v>475</v>
      </c>
      <c r="B249" s="477" t="s">
        <v>237</v>
      </c>
      <c r="C249" s="475" t="s">
        <v>66</v>
      </c>
      <c r="D249" s="471" t="s">
        <v>238</v>
      </c>
      <c r="E249" s="484" t="s">
        <v>162</v>
      </c>
      <c r="F249" s="471">
        <f>VLOOKUP(E249,'[2]условия, ФОТ'!$A$14:$I$28,9, FALSE)</f>
        <v>213.84</v>
      </c>
      <c r="G249" s="478">
        <v>0.4</v>
      </c>
      <c r="H249" s="471">
        <f t="shared" si="97"/>
        <v>85.54</v>
      </c>
      <c r="I249" s="471">
        <f t="shared" si="94"/>
        <v>25.83</v>
      </c>
      <c r="J249" s="471">
        <f t="shared" si="95"/>
        <v>111.37</v>
      </c>
      <c r="K249" s="479"/>
      <c r="L249" s="471"/>
      <c r="M249" s="471"/>
      <c r="N249" s="471"/>
      <c r="O249" s="471"/>
      <c r="P249" s="471">
        <f t="shared" si="99"/>
        <v>111.37</v>
      </c>
      <c r="Q249" s="471">
        <f t="shared" si="136"/>
        <v>74.06</v>
      </c>
      <c r="R249" s="472">
        <f t="shared" si="145"/>
        <v>200</v>
      </c>
      <c r="S249" s="472">
        <f t="shared" si="137"/>
        <v>40</v>
      </c>
      <c r="T249" s="472">
        <f t="shared" si="138"/>
        <v>240</v>
      </c>
      <c r="U249" s="269">
        <v>168</v>
      </c>
      <c r="V249" s="336">
        <f t="shared" si="50"/>
        <v>42.857142857142861</v>
      </c>
      <c r="W249" s="498">
        <v>202</v>
      </c>
      <c r="X249" s="470">
        <f t="shared" si="139"/>
        <v>18.811881188118804</v>
      </c>
      <c r="Y249" s="499">
        <v>7.6399999999999996E-2</v>
      </c>
      <c r="Z249" s="487" t="e">
        <f>#REF!*Y249</f>
        <v>#REF!</v>
      </c>
      <c r="AB249" s="235">
        <v>178.88200000000001</v>
      </c>
      <c r="AC249" s="467"/>
      <c r="AD249" s="500">
        <f t="shared" si="140"/>
        <v>38</v>
      </c>
      <c r="AE249" s="284"/>
      <c r="AG249" s="466">
        <v>-3.2899999999999999E-2</v>
      </c>
      <c r="AH249" s="285">
        <f t="shared" si="126"/>
        <v>1.0328999999999999</v>
      </c>
      <c r="AI249" s="285">
        <v>1.0680000000000001</v>
      </c>
      <c r="AK249" s="286">
        <f t="shared" si="141"/>
        <v>215.74</v>
      </c>
      <c r="AM249" s="466">
        <v>1.034</v>
      </c>
      <c r="AN249" s="337">
        <v>-3.2899999999999999E-2</v>
      </c>
      <c r="AO249" s="285" t="e">
        <f>#REF!-AM249</f>
        <v>#REF!</v>
      </c>
      <c r="AQ249" s="288">
        <f t="shared" si="142"/>
        <v>0.10929999999999999</v>
      </c>
      <c r="AR249" s="467">
        <v>194</v>
      </c>
      <c r="AS249" s="127" t="b">
        <f t="shared" si="143"/>
        <v>0</v>
      </c>
      <c r="AT249" s="289" t="e">
        <f>ROUND(W249/T249*100-100,2)+#REF!</f>
        <v>#REF!</v>
      </c>
      <c r="AW249">
        <f t="shared" si="144"/>
        <v>1.1879999999999999</v>
      </c>
    </row>
    <row r="250" spans="1:49" x14ac:dyDescent="0.3">
      <c r="A250" s="477" t="s">
        <v>476</v>
      </c>
      <c r="B250" s="477" t="s">
        <v>239</v>
      </c>
      <c r="C250" s="475" t="s">
        <v>67</v>
      </c>
      <c r="D250" s="471" t="s">
        <v>240</v>
      </c>
      <c r="E250" s="484" t="s">
        <v>162</v>
      </c>
      <c r="F250" s="471">
        <f>VLOOKUP(E250,'[2]условия, ФОТ'!$A$14:$I$28,9, FALSE)</f>
        <v>213.84</v>
      </c>
      <c r="G250" s="478">
        <v>0.24</v>
      </c>
      <c r="H250" s="471">
        <f t="shared" si="97"/>
        <v>51.32</v>
      </c>
      <c r="I250" s="471">
        <f t="shared" si="94"/>
        <v>15.5</v>
      </c>
      <c r="J250" s="471">
        <f t="shared" si="95"/>
        <v>66.819999999999993</v>
      </c>
      <c r="K250" s="479"/>
      <c r="L250" s="471"/>
      <c r="M250" s="471"/>
      <c r="N250" s="471"/>
      <c r="O250" s="471"/>
      <c r="P250" s="471">
        <f t="shared" si="99"/>
        <v>66.819999999999993</v>
      </c>
      <c r="Q250" s="471">
        <f t="shared" si="136"/>
        <v>44.44</v>
      </c>
      <c r="R250" s="472">
        <f t="shared" si="145"/>
        <v>119.17</v>
      </c>
      <c r="S250" s="472">
        <f t="shared" si="137"/>
        <v>23.83</v>
      </c>
      <c r="T250" s="472">
        <f t="shared" si="138"/>
        <v>143</v>
      </c>
      <c r="U250" s="269">
        <v>101</v>
      </c>
      <c r="V250" s="336">
        <f t="shared" si="50"/>
        <v>41.584158415841586</v>
      </c>
      <c r="W250" s="498">
        <v>121</v>
      </c>
      <c r="X250" s="470">
        <f t="shared" si="139"/>
        <v>18.181818181818187</v>
      </c>
      <c r="Y250" s="499">
        <v>7.2599999999999998E-2</v>
      </c>
      <c r="Z250" s="487" t="e">
        <f>#REF!*Y250</f>
        <v>#REF!</v>
      </c>
      <c r="AB250" s="235">
        <v>107.536</v>
      </c>
      <c r="AC250" s="467"/>
      <c r="AD250" s="500">
        <f t="shared" si="140"/>
        <v>22</v>
      </c>
      <c r="AE250" s="284"/>
      <c r="AG250" s="466">
        <v>-3.0800000000000001E-2</v>
      </c>
      <c r="AH250" s="285">
        <f t="shared" si="126"/>
        <v>1.0307999999999999</v>
      </c>
      <c r="AI250" s="285">
        <v>1.0660000000000001</v>
      </c>
      <c r="AK250" s="286">
        <f t="shared" si="141"/>
        <v>128.99</v>
      </c>
      <c r="AM250" s="466">
        <v>1.034</v>
      </c>
      <c r="AN250" s="337">
        <v>-3.0800000000000001E-2</v>
      </c>
      <c r="AO250" s="285" t="e">
        <f>#REF!-AM250</f>
        <v>#REF!</v>
      </c>
      <c r="AQ250" s="288">
        <f t="shared" si="142"/>
        <v>0.10339999999999999</v>
      </c>
      <c r="AR250" s="467">
        <v>116</v>
      </c>
      <c r="AS250" s="127" t="b">
        <f t="shared" si="143"/>
        <v>0</v>
      </c>
      <c r="AT250" s="289" t="e">
        <f>ROUND(W250/T250*100-100,2)+#REF!</f>
        <v>#REF!</v>
      </c>
      <c r="AW250">
        <f t="shared" si="144"/>
        <v>1.1819999999999999</v>
      </c>
    </row>
    <row r="251" spans="1:49" ht="27" customHeight="1" x14ac:dyDescent="0.3">
      <c r="A251" s="477" t="s">
        <v>477</v>
      </c>
      <c r="B251" s="477" t="s">
        <v>241</v>
      </c>
      <c r="C251" s="475" t="s">
        <v>68</v>
      </c>
      <c r="D251" s="471" t="s">
        <v>190</v>
      </c>
      <c r="E251" s="484" t="s">
        <v>162</v>
      </c>
      <c r="F251" s="471">
        <f>VLOOKUP(E251,'[2]условия, ФОТ'!$A$14:$I$28,9, FALSE)</f>
        <v>213.84</v>
      </c>
      <c r="G251" s="478">
        <v>0.2</v>
      </c>
      <c r="H251" s="471">
        <f t="shared" si="97"/>
        <v>42.77</v>
      </c>
      <c r="I251" s="471">
        <f t="shared" si="94"/>
        <v>12.92</v>
      </c>
      <c r="J251" s="471">
        <f t="shared" si="95"/>
        <v>55.690000000000005</v>
      </c>
      <c r="K251" s="479"/>
      <c r="L251" s="471"/>
      <c r="M251" s="471"/>
      <c r="N251" s="471"/>
      <c r="O251" s="471"/>
      <c r="P251" s="471">
        <f t="shared" si="99"/>
        <v>55.690000000000005</v>
      </c>
      <c r="Q251" s="471">
        <f t="shared" si="136"/>
        <v>37.03</v>
      </c>
      <c r="R251" s="472">
        <f t="shared" si="145"/>
        <v>100</v>
      </c>
      <c r="S251" s="472">
        <f t="shared" si="137"/>
        <v>20</v>
      </c>
      <c r="T251" s="472">
        <f t="shared" si="138"/>
        <v>120</v>
      </c>
      <c r="U251" s="269">
        <v>84</v>
      </c>
      <c r="V251" s="336">
        <f t="shared" si="50"/>
        <v>42.857142857142861</v>
      </c>
      <c r="W251" s="498">
        <v>101</v>
      </c>
      <c r="X251" s="470">
        <f t="shared" si="139"/>
        <v>18.811881188118804</v>
      </c>
      <c r="Y251" s="499">
        <v>7.6200000000000004E-2</v>
      </c>
      <c r="Z251" s="487" t="e">
        <f>#REF!*Y251</f>
        <v>#REF!</v>
      </c>
      <c r="AB251" s="235">
        <v>89.957999999999998</v>
      </c>
      <c r="AC251" s="467"/>
      <c r="AD251" s="500">
        <f t="shared" si="140"/>
        <v>19</v>
      </c>
      <c r="AE251" s="284"/>
      <c r="AG251" s="466">
        <v>-2.7199999999999998E-2</v>
      </c>
      <c r="AH251" s="285">
        <f t="shared" si="126"/>
        <v>1.0271999999999999</v>
      </c>
      <c r="AI251" s="285">
        <v>1.0620000000000001</v>
      </c>
      <c r="AK251" s="286">
        <f t="shared" si="141"/>
        <v>107.26</v>
      </c>
      <c r="AM251" s="466">
        <v>1.034</v>
      </c>
      <c r="AN251" s="337">
        <v>-2.7199999999999998E-2</v>
      </c>
      <c r="AO251" s="285" t="e">
        <f>#REF!-AM251</f>
        <v>#REF!</v>
      </c>
      <c r="AQ251" s="288">
        <f t="shared" si="142"/>
        <v>0.10340000000000001</v>
      </c>
      <c r="AR251" s="467">
        <v>97</v>
      </c>
      <c r="AS251" s="127" t="b">
        <f t="shared" si="143"/>
        <v>0</v>
      </c>
      <c r="AT251" s="289" t="e">
        <f>ROUND(W251/T251*100-100,2)+#REF!</f>
        <v>#REF!</v>
      </c>
      <c r="AW251">
        <f t="shared" si="144"/>
        <v>1.1879999999999999</v>
      </c>
    </row>
    <row r="252" spans="1:49" x14ac:dyDescent="0.3">
      <c r="A252" s="477" t="s">
        <v>478</v>
      </c>
      <c r="B252" s="477" t="s">
        <v>242</v>
      </c>
      <c r="C252" s="475" t="s">
        <v>69</v>
      </c>
      <c r="D252" s="471" t="s">
        <v>190</v>
      </c>
      <c r="E252" s="484" t="s">
        <v>162</v>
      </c>
      <c r="F252" s="471">
        <f>VLOOKUP(E252,'[2]условия, ФОТ'!$A$14:$I$28,9, FALSE)</f>
        <v>213.84</v>
      </c>
      <c r="G252" s="478">
        <v>0.25</v>
      </c>
      <c r="H252" s="471">
        <f t="shared" si="97"/>
        <v>53.46</v>
      </c>
      <c r="I252" s="471">
        <f t="shared" si="94"/>
        <v>16.14</v>
      </c>
      <c r="J252" s="471">
        <f t="shared" si="95"/>
        <v>69.599999999999994</v>
      </c>
      <c r="K252" s="479"/>
      <c r="L252" s="471"/>
      <c r="M252" s="471"/>
      <c r="N252" s="471"/>
      <c r="O252" s="471"/>
      <c r="P252" s="471">
        <f t="shared" si="99"/>
        <v>69.599999999999994</v>
      </c>
      <c r="Q252" s="471">
        <f t="shared" si="136"/>
        <v>46.28</v>
      </c>
      <c r="R252" s="472">
        <f t="shared" si="145"/>
        <v>124.17</v>
      </c>
      <c r="S252" s="472">
        <f t="shared" si="137"/>
        <v>24.83</v>
      </c>
      <c r="T252" s="472">
        <f t="shared" si="138"/>
        <v>149</v>
      </c>
      <c r="U252" s="269">
        <v>105</v>
      </c>
      <c r="V252" s="336">
        <f t="shared" si="50"/>
        <v>41.904761904761898</v>
      </c>
      <c r="W252" s="498">
        <v>126</v>
      </c>
      <c r="X252" s="470">
        <f t="shared" si="139"/>
        <v>18.253968253968253</v>
      </c>
      <c r="Y252" s="499">
        <v>7.3800000000000004E-2</v>
      </c>
      <c r="Z252" s="487" t="e">
        <f>#REF!*Y252</f>
        <v>#REF!</v>
      </c>
      <c r="AB252" s="235">
        <v>111.672</v>
      </c>
      <c r="AC252" s="467"/>
      <c r="AD252" s="500">
        <f t="shared" si="140"/>
        <v>23</v>
      </c>
      <c r="AE252" s="284"/>
      <c r="AG252" s="466">
        <v>-3.4000000000000002E-2</v>
      </c>
      <c r="AH252" s="285">
        <f t="shared" si="126"/>
        <v>1.034</v>
      </c>
      <c r="AI252" s="285">
        <v>1.069</v>
      </c>
      <c r="AK252" s="286">
        <f t="shared" si="141"/>
        <v>134.69</v>
      </c>
      <c r="AM252" s="466">
        <v>1.034</v>
      </c>
      <c r="AN252" s="337">
        <v>-3.4000000000000002E-2</v>
      </c>
      <c r="AO252" s="285" t="e">
        <f>#REF!-AM252</f>
        <v>#REF!</v>
      </c>
      <c r="AQ252" s="288">
        <f t="shared" si="142"/>
        <v>0.10780000000000001</v>
      </c>
      <c r="AR252" s="467">
        <v>121</v>
      </c>
      <c r="AS252" s="127" t="b">
        <f t="shared" si="143"/>
        <v>0</v>
      </c>
      <c r="AT252" s="289" t="e">
        <f>ROUND(W252/T252*100-100,2)+#REF!</f>
        <v>#REF!</v>
      </c>
      <c r="AW252">
        <f t="shared" si="144"/>
        <v>1.1830000000000001</v>
      </c>
    </row>
    <row r="253" spans="1:49" x14ac:dyDescent="0.3">
      <c r="A253" s="477" t="s">
        <v>479</v>
      </c>
      <c r="B253" s="477" t="s">
        <v>243</v>
      </c>
      <c r="C253" s="475" t="s">
        <v>70</v>
      </c>
      <c r="D253" s="471" t="s">
        <v>244</v>
      </c>
      <c r="E253" s="484" t="s">
        <v>162</v>
      </c>
      <c r="F253" s="471">
        <f>VLOOKUP(E253,'[2]условия, ФОТ'!$A$14:$I$28,9, FALSE)</f>
        <v>213.84</v>
      </c>
      <c r="G253" s="478">
        <v>1</v>
      </c>
      <c r="H253" s="471">
        <f t="shared" si="97"/>
        <v>213.84</v>
      </c>
      <c r="I253" s="471">
        <f t="shared" si="94"/>
        <v>64.58</v>
      </c>
      <c r="J253" s="471">
        <f t="shared" si="95"/>
        <v>278.42</v>
      </c>
      <c r="K253" s="479"/>
      <c r="L253" s="471"/>
      <c r="M253" s="471"/>
      <c r="N253" s="471"/>
      <c r="O253" s="471"/>
      <c r="P253" s="471">
        <f t="shared" si="99"/>
        <v>278.42</v>
      </c>
      <c r="Q253" s="471">
        <f t="shared" si="136"/>
        <v>185.15</v>
      </c>
      <c r="R253" s="472">
        <f t="shared" si="145"/>
        <v>499.17</v>
      </c>
      <c r="S253" s="472">
        <f t="shared" si="137"/>
        <v>99.83</v>
      </c>
      <c r="T253" s="472">
        <f t="shared" si="138"/>
        <v>599</v>
      </c>
      <c r="U253" s="269">
        <v>420</v>
      </c>
      <c r="V253" s="336">
        <f t="shared" si="50"/>
        <v>42.61904761904762</v>
      </c>
      <c r="W253" s="498">
        <v>505</v>
      </c>
      <c r="X253" s="470">
        <f t="shared" si="139"/>
        <v>18.613861386138609</v>
      </c>
      <c r="Y253" s="499">
        <v>7.6300000000000007E-2</v>
      </c>
      <c r="Z253" s="487" t="e">
        <f>#REF!*Y253</f>
        <v>#REF!</v>
      </c>
      <c r="AB253" s="235">
        <v>448.75600000000003</v>
      </c>
      <c r="AC253" s="467"/>
      <c r="AD253" s="500">
        <f t="shared" si="140"/>
        <v>94</v>
      </c>
      <c r="AE253" s="284"/>
      <c r="AG253" s="466">
        <v>-2.9399999999999999E-2</v>
      </c>
      <c r="AH253" s="285">
        <f t="shared" si="126"/>
        <v>1.0294000000000001</v>
      </c>
      <c r="AI253" s="285">
        <v>1.0640000000000001</v>
      </c>
      <c r="AK253" s="286">
        <f t="shared" si="141"/>
        <v>537.32000000000005</v>
      </c>
      <c r="AM253" s="466">
        <v>1.034</v>
      </c>
      <c r="AN253" s="337">
        <v>-2.9399999999999999E-2</v>
      </c>
      <c r="AO253" s="285" t="e">
        <f>#REF!-AM253</f>
        <v>#REF!</v>
      </c>
      <c r="AQ253" s="288">
        <f t="shared" si="142"/>
        <v>0.1057</v>
      </c>
      <c r="AR253" s="467">
        <v>485</v>
      </c>
      <c r="AS253" s="127" t="b">
        <f t="shared" si="143"/>
        <v>0</v>
      </c>
      <c r="AT253" s="289" t="e">
        <f>ROUND(W253/T253*100-100,2)+#REF!</f>
        <v>#REF!</v>
      </c>
      <c r="AW253">
        <f t="shared" si="144"/>
        <v>1.1859999999999999</v>
      </c>
    </row>
    <row r="254" spans="1:49" x14ac:dyDescent="0.3">
      <c r="A254" s="477" t="s">
        <v>480</v>
      </c>
      <c r="B254" s="477" t="s">
        <v>246</v>
      </c>
      <c r="C254" s="475" t="s">
        <v>71</v>
      </c>
      <c r="D254" s="471" t="s">
        <v>180</v>
      </c>
      <c r="E254" s="484" t="s">
        <v>162</v>
      </c>
      <c r="F254" s="471">
        <f>VLOOKUP(E254,'[2]условия, ФОТ'!$A$14:$I$28,9, FALSE)</f>
        <v>213.84</v>
      </c>
      <c r="G254" s="478">
        <v>0.54</v>
      </c>
      <c r="H254" s="471">
        <f t="shared" si="97"/>
        <v>115.47</v>
      </c>
      <c r="I254" s="471">
        <f t="shared" si="94"/>
        <v>34.869999999999997</v>
      </c>
      <c r="J254" s="471">
        <f t="shared" si="95"/>
        <v>150.34</v>
      </c>
      <c r="K254" s="479"/>
      <c r="L254" s="471"/>
      <c r="M254" s="471"/>
      <c r="N254" s="471"/>
      <c r="O254" s="471"/>
      <c r="P254" s="471">
        <f t="shared" si="99"/>
        <v>150.34</v>
      </c>
      <c r="Q254" s="471">
        <f t="shared" si="136"/>
        <v>99.98</v>
      </c>
      <c r="R254" s="472">
        <f t="shared" si="145"/>
        <v>269.17</v>
      </c>
      <c r="S254" s="472">
        <f t="shared" si="137"/>
        <v>53.83</v>
      </c>
      <c r="T254" s="472">
        <f t="shared" si="138"/>
        <v>323</v>
      </c>
      <c r="U254" s="269">
        <v>227</v>
      </c>
      <c r="V254" s="336">
        <f t="shared" si="50"/>
        <v>42.290748898678402</v>
      </c>
      <c r="W254" s="498">
        <v>273</v>
      </c>
      <c r="X254" s="470">
        <f t="shared" si="139"/>
        <v>18.315018315018321</v>
      </c>
      <c r="Y254" s="499">
        <v>7.6600000000000001E-2</v>
      </c>
      <c r="Z254" s="487" t="e">
        <f>#REF!*Y254</f>
        <v>#REF!</v>
      </c>
      <c r="AB254" s="235">
        <v>241.95600000000002</v>
      </c>
      <c r="AC254" s="467"/>
      <c r="AD254" s="500">
        <f t="shared" si="140"/>
        <v>50</v>
      </c>
      <c r="AE254" s="284"/>
      <c r="AG254" s="466">
        <v>-3.0800000000000001E-2</v>
      </c>
      <c r="AH254" s="285">
        <f t="shared" si="126"/>
        <v>1.0307999999999999</v>
      </c>
      <c r="AI254" s="285">
        <v>1.0660000000000001</v>
      </c>
      <c r="AK254" s="286">
        <f t="shared" si="141"/>
        <v>291.02</v>
      </c>
      <c r="AM254" s="466">
        <v>1.034</v>
      </c>
      <c r="AN254" s="337">
        <v>-3.0800000000000001E-2</v>
      </c>
      <c r="AO254" s="285" t="e">
        <f>#REF!-AM254</f>
        <v>#REF!</v>
      </c>
      <c r="AQ254" s="288">
        <f t="shared" si="142"/>
        <v>0.1074</v>
      </c>
      <c r="AR254" s="467">
        <v>262</v>
      </c>
      <c r="AS254" s="127" t="b">
        <f t="shared" si="143"/>
        <v>0</v>
      </c>
      <c r="AT254" s="289" t="e">
        <f>ROUND(W254/T254*100-100,2)+#REF!</f>
        <v>#REF!</v>
      </c>
      <c r="AW254">
        <f t="shared" si="144"/>
        <v>1.1830000000000001</v>
      </c>
    </row>
    <row r="255" spans="1:49" x14ac:dyDescent="0.3">
      <c r="A255" s="477" t="s">
        <v>481</v>
      </c>
      <c r="B255" s="477" t="s">
        <v>246</v>
      </c>
      <c r="C255" s="475" t="s">
        <v>72</v>
      </c>
      <c r="D255" s="471" t="s">
        <v>247</v>
      </c>
      <c r="E255" s="484" t="s">
        <v>162</v>
      </c>
      <c r="F255" s="471">
        <f>VLOOKUP(E255,'[2]условия, ФОТ'!$A$14:$I$28,9, FALSE)</f>
        <v>213.84</v>
      </c>
      <c r="G255" s="478">
        <f>0.11*13</f>
        <v>1.43</v>
      </c>
      <c r="H255" s="471">
        <f t="shared" si="97"/>
        <v>305.79000000000002</v>
      </c>
      <c r="I255" s="471">
        <f t="shared" si="94"/>
        <v>92.35</v>
      </c>
      <c r="J255" s="471">
        <f t="shared" si="95"/>
        <v>398.14</v>
      </c>
      <c r="K255" s="479"/>
      <c r="L255" s="471"/>
      <c r="M255" s="471"/>
      <c r="N255" s="471"/>
      <c r="O255" s="471"/>
      <c r="P255" s="471">
        <f t="shared" si="99"/>
        <v>398.14</v>
      </c>
      <c r="Q255" s="471">
        <f t="shared" si="136"/>
        <v>264.76</v>
      </c>
      <c r="R255" s="472">
        <f t="shared" si="145"/>
        <v>714.17</v>
      </c>
      <c r="S255" s="472">
        <f t="shared" si="137"/>
        <v>142.83000000000001</v>
      </c>
      <c r="T255" s="472">
        <f t="shared" si="138"/>
        <v>857</v>
      </c>
      <c r="U255" s="269">
        <v>601</v>
      </c>
      <c r="V255" s="336">
        <f t="shared" si="50"/>
        <v>42.595673876871899</v>
      </c>
      <c r="W255" s="498">
        <v>723</v>
      </c>
      <c r="X255" s="470">
        <f t="shared" si="139"/>
        <v>18.53388658367912</v>
      </c>
      <c r="Y255" s="499">
        <v>7.6999999999999999E-2</v>
      </c>
      <c r="Z255" s="487" t="e">
        <f>#REF!*Y255</f>
        <v>#REF!</v>
      </c>
      <c r="AB255" s="235">
        <v>641.08000000000004</v>
      </c>
      <c r="AC255" s="467"/>
      <c r="AD255" s="500">
        <f t="shared" si="140"/>
        <v>134</v>
      </c>
      <c r="AE255" s="284"/>
      <c r="AG255" s="466">
        <v>-3.04E-2</v>
      </c>
      <c r="AH255" s="285">
        <f t="shared" si="126"/>
        <v>1.0304</v>
      </c>
      <c r="AI255" s="285">
        <v>1.0649999999999999</v>
      </c>
      <c r="AK255" s="286">
        <f t="shared" si="141"/>
        <v>770</v>
      </c>
      <c r="AM255" s="466">
        <v>1.034</v>
      </c>
      <c r="AN255" s="337">
        <v>-3.04E-2</v>
      </c>
      <c r="AO255" s="285" t="e">
        <f>#REF!-AM255</f>
        <v>#REF!</v>
      </c>
      <c r="AQ255" s="288">
        <f t="shared" si="142"/>
        <v>0.1074</v>
      </c>
      <c r="AR255" s="467">
        <v>694</v>
      </c>
      <c r="AS255" s="127" t="b">
        <f t="shared" si="143"/>
        <v>0</v>
      </c>
      <c r="AT255" s="289" t="e">
        <f>ROUND(W255/T255*100-100,2)+#REF!</f>
        <v>#REF!</v>
      </c>
      <c r="AW255">
        <f t="shared" si="144"/>
        <v>1.1850000000000001</v>
      </c>
    </row>
    <row r="256" spans="1:49" ht="36.950000000000003" customHeight="1" x14ac:dyDescent="0.3">
      <c r="A256" s="477" t="s">
        <v>482</v>
      </c>
      <c r="B256" s="477" t="s">
        <v>248</v>
      </c>
      <c r="C256" s="475" t="s">
        <v>73</v>
      </c>
      <c r="D256" s="471" t="s">
        <v>184</v>
      </c>
      <c r="E256" s="484" t="s">
        <v>162</v>
      </c>
      <c r="F256" s="471">
        <f>VLOOKUP(E256,'[2]условия, ФОТ'!$A$14:$I$28,9, FALSE)</f>
        <v>213.84</v>
      </c>
      <c r="G256" s="478">
        <v>0.5</v>
      </c>
      <c r="H256" s="471">
        <f t="shared" si="97"/>
        <v>106.92</v>
      </c>
      <c r="I256" s="471">
        <f t="shared" si="94"/>
        <v>32.29</v>
      </c>
      <c r="J256" s="471">
        <f t="shared" si="95"/>
        <v>139.21</v>
      </c>
      <c r="K256" s="479"/>
      <c r="L256" s="471"/>
      <c r="M256" s="471"/>
      <c r="N256" s="471"/>
      <c r="O256" s="471"/>
      <c r="P256" s="471">
        <f t="shared" si="99"/>
        <v>139.21</v>
      </c>
      <c r="Q256" s="471">
        <f t="shared" si="136"/>
        <v>92.57</v>
      </c>
      <c r="R256" s="472">
        <f t="shared" si="145"/>
        <v>250</v>
      </c>
      <c r="S256" s="472">
        <f t="shared" si="137"/>
        <v>50</v>
      </c>
      <c r="T256" s="472">
        <f t="shared" si="138"/>
        <v>300</v>
      </c>
      <c r="U256" s="269">
        <v>210</v>
      </c>
      <c r="V256" s="336">
        <f t="shared" si="50"/>
        <v>42.857142857142861</v>
      </c>
      <c r="W256" s="498">
        <v>253</v>
      </c>
      <c r="X256" s="470">
        <f t="shared" si="139"/>
        <v>18.577075098814234</v>
      </c>
      <c r="Y256" s="499">
        <v>7.85E-2</v>
      </c>
      <c r="Z256" s="487" t="e">
        <f>#REF!*Y256</f>
        <v>#REF!</v>
      </c>
      <c r="AB256" s="235">
        <v>224.37800000000001</v>
      </c>
      <c r="AC256" s="467"/>
      <c r="AD256" s="500">
        <f t="shared" si="140"/>
        <v>47</v>
      </c>
      <c r="AE256" s="284"/>
      <c r="AG256" s="466">
        <v>-2.9399999999999999E-2</v>
      </c>
      <c r="AH256" s="285">
        <f t="shared" si="126"/>
        <v>1.0294000000000001</v>
      </c>
      <c r="AI256" s="285">
        <v>1.0640000000000001</v>
      </c>
      <c r="AK256" s="286">
        <f t="shared" si="141"/>
        <v>269.19</v>
      </c>
      <c r="AM256" s="466">
        <v>1.034</v>
      </c>
      <c r="AN256" s="337">
        <v>-2.9399999999999999E-2</v>
      </c>
      <c r="AO256" s="285" t="e">
        <f>#REF!-AM256</f>
        <v>#REF!</v>
      </c>
      <c r="AQ256" s="288">
        <f t="shared" si="142"/>
        <v>0.1079</v>
      </c>
      <c r="AR256" s="467">
        <v>243</v>
      </c>
      <c r="AS256" s="127" t="b">
        <f t="shared" si="143"/>
        <v>0</v>
      </c>
      <c r="AT256" s="289" t="e">
        <f>ROUND(W256/T256*100-100,2)+#REF!</f>
        <v>#REF!</v>
      </c>
      <c r="AW256">
        <f t="shared" si="144"/>
        <v>1.1859999999999999</v>
      </c>
    </row>
    <row r="257" spans="1:49" x14ac:dyDescent="0.3">
      <c r="A257" s="477" t="s">
        <v>483</v>
      </c>
      <c r="B257" s="477" t="s">
        <v>249</v>
      </c>
      <c r="C257" s="475" t="s">
        <v>74</v>
      </c>
      <c r="D257" s="471" t="s">
        <v>184</v>
      </c>
      <c r="E257" s="484" t="s">
        <v>162</v>
      </c>
      <c r="F257" s="471">
        <f>VLOOKUP(E257,'[2]условия, ФОТ'!$A$14:$I$28,9, FALSE)</f>
        <v>213.84</v>
      </c>
      <c r="G257" s="478">
        <v>0.67</v>
      </c>
      <c r="H257" s="471">
        <f t="shared" si="97"/>
        <v>143.27000000000001</v>
      </c>
      <c r="I257" s="471">
        <f t="shared" si="94"/>
        <v>43.27</v>
      </c>
      <c r="J257" s="471">
        <f t="shared" si="95"/>
        <v>186.54000000000002</v>
      </c>
      <c r="K257" s="479"/>
      <c r="L257" s="471"/>
      <c r="M257" s="471"/>
      <c r="N257" s="471"/>
      <c r="O257" s="471"/>
      <c r="P257" s="471">
        <f t="shared" si="99"/>
        <v>186.54000000000002</v>
      </c>
      <c r="Q257" s="471">
        <f t="shared" si="136"/>
        <v>124.05</v>
      </c>
      <c r="R257" s="472">
        <f t="shared" si="145"/>
        <v>334.17</v>
      </c>
      <c r="S257" s="472">
        <f>ROUND(R257*$S$5,2)</f>
        <v>66.83</v>
      </c>
      <c r="T257" s="472">
        <f t="shared" si="138"/>
        <v>401</v>
      </c>
      <c r="U257" s="269">
        <v>282</v>
      </c>
      <c r="V257" s="336">
        <f t="shared" si="50"/>
        <v>42.198581560283685</v>
      </c>
      <c r="W257" s="498">
        <v>339</v>
      </c>
      <c r="X257" s="470">
        <f t="shared" si="139"/>
        <v>18.289085545722699</v>
      </c>
      <c r="Y257" s="499">
        <v>7.6399999999999996E-2</v>
      </c>
      <c r="Z257" s="487" t="e">
        <f>#REF!*Y257</f>
        <v>#REF!</v>
      </c>
      <c r="AB257" s="235">
        <v>300.89400000000001</v>
      </c>
      <c r="AC257" s="467"/>
      <c r="AD257" s="500">
        <f t="shared" si="140"/>
        <v>62</v>
      </c>
      <c r="AE257" s="284"/>
      <c r="AG257" s="466">
        <v>-2.87E-2</v>
      </c>
      <c r="AH257" s="285">
        <f t="shared" si="126"/>
        <v>1.0286999999999999</v>
      </c>
      <c r="AI257" s="285">
        <v>1.0640000000000001</v>
      </c>
      <c r="AK257" s="286">
        <f t="shared" si="141"/>
        <v>360.7</v>
      </c>
      <c r="AM257" s="466">
        <v>1.034</v>
      </c>
      <c r="AN257" s="337">
        <v>-2.87E-2</v>
      </c>
      <c r="AO257" s="285" t="e">
        <f>#REF!-AM257</f>
        <v>#REF!</v>
      </c>
      <c r="AQ257" s="288">
        <f t="shared" si="142"/>
        <v>0.1051</v>
      </c>
      <c r="AR257" s="467">
        <v>325</v>
      </c>
      <c r="AS257" s="127" t="b">
        <f t="shared" si="143"/>
        <v>0</v>
      </c>
      <c r="AT257" s="289" t="e">
        <f>ROUND(W257/T257*100-100,2)+#REF!</f>
        <v>#REF!</v>
      </c>
      <c r="AW257">
        <f t="shared" si="144"/>
        <v>1.1830000000000001</v>
      </c>
    </row>
    <row r="258" spans="1:49" x14ac:dyDescent="0.3">
      <c r="A258" s="477" t="s">
        <v>484</v>
      </c>
      <c r="B258" s="477" t="s">
        <v>250</v>
      </c>
      <c r="C258" s="475" t="s">
        <v>75</v>
      </c>
      <c r="D258" s="471" t="s">
        <v>184</v>
      </c>
      <c r="E258" s="484" t="s">
        <v>162</v>
      </c>
      <c r="F258" s="471">
        <f>VLOOKUP(E258,'[2]условия, ФОТ'!$A$14:$I$28,9, FALSE)</f>
        <v>213.84</v>
      </c>
      <c r="G258" s="478">
        <v>0.24</v>
      </c>
      <c r="H258" s="471">
        <f t="shared" si="97"/>
        <v>51.32</v>
      </c>
      <c r="I258" s="471">
        <f t="shared" si="94"/>
        <v>15.5</v>
      </c>
      <c r="J258" s="471">
        <f t="shared" si="95"/>
        <v>66.819999999999993</v>
      </c>
      <c r="K258" s="479"/>
      <c r="L258" s="471"/>
      <c r="M258" s="471"/>
      <c r="N258" s="471"/>
      <c r="O258" s="471"/>
      <c r="P258" s="471">
        <f t="shared" si="99"/>
        <v>66.819999999999993</v>
      </c>
      <c r="Q258" s="471">
        <f t="shared" si="136"/>
        <v>44.44</v>
      </c>
      <c r="R258" s="472">
        <f t="shared" si="145"/>
        <v>119.17</v>
      </c>
      <c r="S258" s="472">
        <f t="shared" si="137"/>
        <v>23.83</v>
      </c>
      <c r="T258" s="472">
        <f t="shared" si="138"/>
        <v>143</v>
      </c>
      <c r="U258" s="269">
        <v>101</v>
      </c>
      <c r="V258" s="336">
        <f t="shared" si="50"/>
        <v>41.584158415841586</v>
      </c>
      <c r="W258" s="498">
        <v>121</v>
      </c>
      <c r="X258" s="470">
        <f t="shared" si="139"/>
        <v>18.181818181818187</v>
      </c>
      <c r="Y258" s="499">
        <v>7.2599999999999998E-2</v>
      </c>
      <c r="Z258" s="487" t="e">
        <f>#REF!*Y258</f>
        <v>#REF!</v>
      </c>
      <c r="AB258" s="235">
        <v>107.536</v>
      </c>
      <c r="AC258" s="467"/>
      <c r="AD258" s="500">
        <f t="shared" si="140"/>
        <v>22</v>
      </c>
      <c r="AE258" s="284"/>
      <c r="AG258" s="466">
        <v>-3.0800000000000001E-2</v>
      </c>
      <c r="AH258" s="285">
        <f t="shared" si="126"/>
        <v>1.0307999999999999</v>
      </c>
      <c r="AI258" s="285">
        <v>1.0660000000000001</v>
      </c>
      <c r="AK258" s="286">
        <f t="shared" si="141"/>
        <v>128.99</v>
      </c>
      <c r="AM258" s="466">
        <v>1.034</v>
      </c>
      <c r="AN258" s="337">
        <v>-3.0800000000000001E-2</v>
      </c>
      <c r="AO258" s="285" t="e">
        <f>#REF!-AM258</f>
        <v>#REF!</v>
      </c>
      <c r="AQ258" s="288">
        <f t="shared" si="142"/>
        <v>0.10339999999999999</v>
      </c>
      <c r="AR258" s="467">
        <v>116</v>
      </c>
      <c r="AS258" s="127" t="b">
        <f t="shared" si="143"/>
        <v>0</v>
      </c>
      <c r="AT258" s="289" t="e">
        <f>ROUND(W258/T258*100-100,2)+#REF!</f>
        <v>#REF!</v>
      </c>
      <c r="AW258">
        <f t="shared" si="144"/>
        <v>1.1819999999999999</v>
      </c>
    </row>
    <row r="259" spans="1:49" x14ac:dyDescent="0.3">
      <c r="A259" s="477" t="s">
        <v>485</v>
      </c>
      <c r="B259" s="477" t="s">
        <v>251</v>
      </c>
      <c r="C259" s="475" t="s">
        <v>76</v>
      </c>
      <c r="D259" s="471" t="s">
        <v>245</v>
      </c>
      <c r="E259" s="484" t="s">
        <v>162</v>
      </c>
      <c r="F259" s="471">
        <f>VLOOKUP(E259,'[2]условия, ФОТ'!$A$14:$I$28,9, FALSE)</f>
        <v>213.84</v>
      </c>
      <c r="G259" s="478">
        <v>0.51</v>
      </c>
      <c r="H259" s="471">
        <f t="shared" ref="H259:H334" si="146">ROUND(F259*G259,2)</f>
        <v>109.06</v>
      </c>
      <c r="I259" s="471">
        <f t="shared" si="94"/>
        <v>32.94</v>
      </c>
      <c r="J259" s="471">
        <f t="shared" ref="J259:J334" si="147">H259+I259</f>
        <v>142</v>
      </c>
      <c r="K259" s="479"/>
      <c r="L259" s="471"/>
      <c r="M259" s="471"/>
      <c r="N259" s="471"/>
      <c r="O259" s="471"/>
      <c r="P259" s="471">
        <f t="shared" ref="P259:P334" si="148">J259+O259</f>
        <v>142</v>
      </c>
      <c r="Q259" s="471">
        <f t="shared" si="136"/>
        <v>94.43</v>
      </c>
      <c r="R259" s="472">
        <f t="shared" si="145"/>
        <v>255</v>
      </c>
      <c r="S259" s="472">
        <f t="shared" si="137"/>
        <v>51</v>
      </c>
      <c r="T259" s="472">
        <f t="shared" si="138"/>
        <v>306</v>
      </c>
      <c r="U259" s="269">
        <v>214</v>
      </c>
      <c r="V259" s="336">
        <f t="shared" ref="V259:V332" si="149">T259/U259*100-100</f>
        <v>42.990654205607484</v>
      </c>
      <c r="W259" s="498">
        <v>258</v>
      </c>
      <c r="X259" s="470">
        <f t="shared" si="139"/>
        <v>18.604651162790702</v>
      </c>
      <c r="Y259" s="499">
        <v>7.9100000000000004E-2</v>
      </c>
      <c r="Z259" s="487" t="e">
        <f>#REF!*Y259</f>
        <v>#REF!</v>
      </c>
      <c r="AB259" s="235">
        <v>228.51400000000001</v>
      </c>
      <c r="AC259" s="467"/>
      <c r="AD259" s="500">
        <f t="shared" si="140"/>
        <v>48</v>
      </c>
      <c r="AE259" s="284"/>
      <c r="AG259" s="466">
        <v>-3.09E-2</v>
      </c>
      <c r="AH259" s="285">
        <f t="shared" si="126"/>
        <v>1.0308999999999999</v>
      </c>
      <c r="AI259" s="285">
        <v>1.0660000000000001</v>
      </c>
      <c r="AK259" s="286">
        <f t="shared" si="141"/>
        <v>275.02999999999997</v>
      </c>
      <c r="AM259" s="466">
        <v>1.034</v>
      </c>
      <c r="AN259" s="337">
        <v>-3.09E-2</v>
      </c>
      <c r="AO259" s="285" t="e">
        <f>#REF!-AM259</f>
        <v>#REF!</v>
      </c>
      <c r="AQ259" s="288">
        <f t="shared" si="142"/>
        <v>0.11</v>
      </c>
      <c r="AR259" s="467">
        <v>248</v>
      </c>
      <c r="AS259" s="127" t="b">
        <f t="shared" si="143"/>
        <v>0</v>
      </c>
      <c r="AT259" s="289" t="e">
        <f>ROUND(W259/T259*100-100,2)+#REF!</f>
        <v>#REF!</v>
      </c>
      <c r="AW259">
        <f t="shared" si="144"/>
        <v>1.1859999999999999</v>
      </c>
    </row>
    <row r="260" spans="1:49" x14ac:dyDescent="0.3">
      <c r="A260" s="477" t="s">
        <v>486</v>
      </c>
      <c r="B260" s="477" t="s">
        <v>27</v>
      </c>
      <c r="C260" s="475" t="s">
        <v>417</v>
      </c>
      <c r="D260" s="471" t="s">
        <v>418</v>
      </c>
      <c r="E260" s="484" t="s">
        <v>162</v>
      </c>
      <c r="F260" s="471">
        <f>VLOOKUP(E260,'[2]условия, ФОТ'!$A$14:$I$28,9, FALSE)</f>
        <v>213.84</v>
      </c>
      <c r="G260" s="478">
        <v>0.51</v>
      </c>
      <c r="H260" s="471">
        <f t="shared" si="146"/>
        <v>109.06</v>
      </c>
      <c r="I260" s="471">
        <f t="shared" si="94"/>
        <v>32.94</v>
      </c>
      <c r="J260" s="471">
        <f t="shared" si="147"/>
        <v>142</v>
      </c>
      <c r="K260" s="479"/>
      <c r="L260" s="471"/>
      <c r="M260" s="471"/>
      <c r="N260" s="471"/>
      <c r="O260" s="471"/>
      <c r="P260" s="471">
        <f t="shared" si="148"/>
        <v>142</v>
      </c>
      <c r="Q260" s="471">
        <f t="shared" si="136"/>
        <v>94.43</v>
      </c>
      <c r="R260" s="472">
        <f t="shared" si="145"/>
        <v>255</v>
      </c>
      <c r="S260" s="472">
        <f t="shared" si="137"/>
        <v>51</v>
      </c>
      <c r="T260" s="472">
        <f t="shared" si="138"/>
        <v>306</v>
      </c>
      <c r="U260" s="269">
        <v>214</v>
      </c>
      <c r="V260" s="336"/>
      <c r="W260" s="498">
        <v>258</v>
      </c>
      <c r="X260" s="470">
        <f t="shared" si="139"/>
        <v>18.604651162790702</v>
      </c>
      <c r="Y260" s="499">
        <v>7.9100000000000004E-2</v>
      </c>
      <c r="Z260" s="487" t="e">
        <f>#REF!*Y260</f>
        <v>#REF!</v>
      </c>
      <c r="AB260" s="235">
        <v>228.51400000000001</v>
      </c>
      <c r="AC260" s="467"/>
      <c r="AD260" s="500">
        <f t="shared" si="140"/>
        <v>48</v>
      </c>
      <c r="AE260" s="284"/>
      <c r="AG260" s="466">
        <v>-3.09E-2</v>
      </c>
      <c r="AH260" s="285">
        <f t="shared" si="126"/>
        <v>1.0308999999999999</v>
      </c>
      <c r="AI260" s="285">
        <v>1.0660000000000001</v>
      </c>
      <c r="AK260" s="286">
        <f t="shared" si="141"/>
        <v>275.02999999999997</v>
      </c>
      <c r="AM260" s="466">
        <v>1.034</v>
      </c>
      <c r="AN260" s="337">
        <v>-3.09E-2</v>
      </c>
      <c r="AO260" s="285" t="e">
        <f>#REF!-AM260</f>
        <v>#REF!</v>
      </c>
      <c r="AQ260" s="288">
        <f t="shared" si="142"/>
        <v>0.11</v>
      </c>
      <c r="AR260" s="467">
        <v>248</v>
      </c>
      <c r="AS260" s="127" t="b">
        <f t="shared" si="143"/>
        <v>0</v>
      </c>
      <c r="AT260" s="289" t="e">
        <f>ROUND(W260/T260*100-100,2)+#REF!</f>
        <v>#REF!</v>
      </c>
      <c r="AW260">
        <f t="shared" si="144"/>
        <v>1.1859999999999999</v>
      </c>
    </row>
    <row r="261" spans="1:49" x14ac:dyDescent="0.3">
      <c r="A261" s="477" t="s">
        <v>487</v>
      </c>
      <c r="B261" s="477" t="s">
        <v>252</v>
      </c>
      <c r="C261" s="475" t="s">
        <v>77</v>
      </c>
      <c r="D261" s="471" t="s">
        <v>253</v>
      </c>
      <c r="E261" s="484" t="s">
        <v>162</v>
      </c>
      <c r="F261" s="471">
        <f>VLOOKUP(E261,'[2]условия, ФОТ'!$A$14:$I$28,9, FALSE)</f>
        <v>213.84</v>
      </c>
      <c r="G261" s="478">
        <v>0.33</v>
      </c>
      <c r="H261" s="471">
        <f t="shared" si="146"/>
        <v>70.569999999999993</v>
      </c>
      <c r="I261" s="471">
        <f t="shared" si="94"/>
        <v>21.31</v>
      </c>
      <c r="J261" s="471">
        <f t="shared" si="147"/>
        <v>91.88</v>
      </c>
      <c r="K261" s="479"/>
      <c r="L261" s="471"/>
      <c r="M261" s="471"/>
      <c r="N261" s="471"/>
      <c r="O261" s="471"/>
      <c r="P261" s="471">
        <f t="shared" si="148"/>
        <v>91.88</v>
      </c>
      <c r="Q261" s="471">
        <f t="shared" si="136"/>
        <v>61.1</v>
      </c>
      <c r="R261" s="472">
        <f t="shared" si="145"/>
        <v>164.17</v>
      </c>
      <c r="S261" s="472">
        <f t="shared" si="137"/>
        <v>32.83</v>
      </c>
      <c r="T261" s="472">
        <f t="shared" si="138"/>
        <v>197</v>
      </c>
      <c r="U261" s="269">
        <v>139</v>
      </c>
      <c r="V261" s="336">
        <f t="shared" si="149"/>
        <v>41.726618705035975</v>
      </c>
      <c r="W261" s="498">
        <v>167</v>
      </c>
      <c r="X261" s="470">
        <f t="shared" si="139"/>
        <v>17.964071856287433</v>
      </c>
      <c r="Y261" s="499">
        <v>7.5800000000000006E-2</v>
      </c>
      <c r="Z261" s="487" t="e">
        <f>#REF!*Y261</f>
        <v>#REF!</v>
      </c>
      <c r="AB261" s="235">
        <v>147.86199999999999</v>
      </c>
      <c r="AC261" s="467"/>
      <c r="AD261" s="500">
        <f t="shared" si="140"/>
        <v>30</v>
      </c>
      <c r="AE261" s="284"/>
      <c r="AG261" s="466">
        <v>-3.09E-2</v>
      </c>
      <c r="AH261" s="285">
        <f t="shared" si="126"/>
        <v>1.0308999999999999</v>
      </c>
      <c r="AI261" s="285">
        <v>1.0660000000000001</v>
      </c>
      <c r="AK261" s="286">
        <f t="shared" si="141"/>
        <v>178.02</v>
      </c>
      <c r="AM261" s="466">
        <v>1.034</v>
      </c>
      <c r="AN261" s="337">
        <v>-3.09E-2</v>
      </c>
      <c r="AO261" s="285" t="e">
        <f>#REF!-AM261</f>
        <v>#REF!</v>
      </c>
      <c r="AQ261" s="288">
        <f t="shared" si="142"/>
        <v>0.1067</v>
      </c>
      <c r="AR261" s="467">
        <v>160</v>
      </c>
      <c r="AS261" s="127" t="b">
        <f t="shared" si="143"/>
        <v>0</v>
      </c>
      <c r="AT261" s="289" t="e">
        <f>ROUND(W261/T261*100-100,2)+#REF!</f>
        <v>#REF!</v>
      </c>
      <c r="AW261">
        <f t="shared" si="144"/>
        <v>1.18</v>
      </c>
    </row>
    <row r="262" spans="1:49" x14ac:dyDescent="0.3">
      <c r="A262" s="477" t="s">
        <v>488</v>
      </c>
      <c r="B262" s="477" t="s">
        <v>27</v>
      </c>
      <c r="C262" s="475" t="s">
        <v>416</v>
      </c>
      <c r="D262" s="471" t="s">
        <v>190</v>
      </c>
      <c r="E262" s="484" t="s">
        <v>162</v>
      </c>
      <c r="F262" s="471">
        <f>VLOOKUP(E262,'[2]условия, ФОТ'!$A$14:$I$28,9, FALSE)</f>
        <v>213.84</v>
      </c>
      <c r="G262" s="478">
        <v>0.33</v>
      </c>
      <c r="H262" s="471">
        <f t="shared" si="146"/>
        <v>70.569999999999993</v>
      </c>
      <c r="I262" s="471">
        <f t="shared" si="94"/>
        <v>21.31</v>
      </c>
      <c r="J262" s="471">
        <f t="shared" si="147"/>
        <v>91.88</v>
      </c>
      <c r="K262" s="479"/>
      <c r="L262" s="471"/>
      <c r="M262" s="471"/>
      <c r="N262" s="471"/>
      <c r="O262" s="471"/>
      <c r="P262" s="471">
        <f t="shared" si="148"/>
        <v>91.88</v>
      </c>
      <c r="Q262" s="471">
        <f t="shared" si="136"/>
        <v>61.1</v>
      </c>
      <c r="R262" s="472">
        <f t="shared" si="145"/>
        <v>164.17</v>
      </c>
      <c r="S262" s="472">
        <f t="shared" si="137"/>
        <v>32.83</v>
      </c>
      <c r="T262" s="472">
        <f t="shared" si="138"/>
        <v>197</v>
      </c>
      <c r="U262" s="269">
        <v>139</v>
      </c>
      <c r="V262" s="336"/>
      <c r="W262" s="498">
        <v>167</v>
      </c>
      <c r="X262" s="470">
        <f t="shared" si="139"/>
        <v>17.964071856287433</v>
      </c>
      <c r="Y262" s="499">
        <v>7.5800000000000006E-2</v>
      </c>
      <c r="Z262" s="487" t="e">
        <f>#REF!*Y262</f>
        <v>#REF!</v>
      </c>
      <c r="AB262" s="235">
        <v>147.86199999999999</v>
      </c>
      <c r="AC262" s="467"/>
      <c r="AD262" s="500">
        <f t="shared" si="140"/>
        <v>30</v>
      </c>
      <c r="AE262" s="284"/>
      <c r="AG262" s="466">
        <v>-3.09E-2</v>
      </c>
      <c r="AH262" s="285">
        <f t="shared" si="126"/>
        <v>1.0308999999999999</v>
      </c>
      <c r="AI262" s="285">
        <v>1.0660000000000001</v>
      </c>
      <c r="AK262" s="286">
        <f t="shared" si="141"/>
        <v>178.02</v>
      </c>
      <c r="AM262" s="466">
        <v>1.034</v>
      </c>
      <c r="AN262" s="337">
        <v>-3.09E-2</v>
      </c>
      <c r="AO262" s="285" t="e">
        <f>#REF!-AM262</f>
        <v>#REF!</v>
      </c>
      <c r="AQ262" s="288">
        <f t="shared" si="142"/>
        <v>0.1067</v>
      </c>
      <c r="AR262" s="467">
        <v>160</v>
      </c>
      <c r="AS262" s="127" t="b">
        <f t="shared" si="143"/>
        <v>0</v>
      </c>
      <c r="AT262" s="289" t="e">
        <f>ROUND(W262/T262*100-100,2)+#REF!</f>
        <v>#REF!</v>
      </c>
      <c r="AW262">
        <f t="shared" si="144"/>
        <v>1.18</v>
      </c>
    </row>
    <row r="263" spans="1:49" x14ac:dyDescent="0.3">
      <c r="A263" s="477" t="s">
        <v>489</v>
      </c>
      <c r="B263" s="477" t="s">
        <v>254</v>
      </c>
      <c r="C263" s="475" t="s">
        <v>78</v>
      </c>
      <c r="D263" s="471" t="s">
        <v>186</v>
      </c>
      <c r="E263" s="484" t="s">
        <v>162</v>
      </c>
      <c r="F263" s="471">
        <f>VLOOKUP(E263,'[2]условия, ФОТ'!$A$14:$I$28,9, FALSE)</f>
        <v>213.84</v>
      </c>
      <c r="G263" s="478">
        <v>0.5</v>
      </c>
      <c r="H263" s="471">
        <f t="shared" si="146"/>
        <v>106.92</v>
      </c>
      <c r="I263" s="471">
        <f t="shared" si="94"/>
        <v>32.29</v>
      </c>
      <c r="J263" s="471">
        <f t="shared" si="147"/>
        <v>139.21</v>
      </c>
      <c r="K263" s="479"/>
      <c r="L263" s="471"/>
      <c r="M263" s="471"/>
      <c r="N263" s="471"/>
      <c r="O263" s="471"/>
      <c r="P263" s="471">
        <f t="shared" si="148"/>
        <v>139.21</v>
      </c>
      <c r="Q263" s="471">
        <f t="shared" si="136"/>
        <v>92.57</v>
      </c>
      <c r="R263" s="472">
        <f t="shared" si="145"/>
        <v>250</v>
      </c>
      <c r="S263" s="472">
        <f t="shared" si="137"/>
        <v>50</v>
      </c>
      <c r="T263" s="472">
        <f t="shared" si="138"/>
        <v>300</v>
      </c>
      <c r="U263" s="269">
        <v>210</v>
      </c>
      <c r="V263" s="336">
        <f t="shared" si="149"/>
        <v>42.857142857142861</v>
      </c>
      <c r="W263" s="498">
        <v>253</v>
      </c>
      <c r="X263" s="470">
        <f t="shared" si="139"/>
        <v>18.577075098814234</v>
      </c>
      <c r="Y263" s="499">
        <v>7.85E-2</v>
      </c>
      <c r="Z263" s="487" t="e">
        <f>#REF!*Y263</f>
        <v>#REF!</v>
      </c>
      <c r="AB263" s="235">
        <v>224.37800000000001</v>
      </c>
      <c r="AC263" s="467"/>
      <c r="AD263" s="500">
        <f t="shared" si="140"/>
        <v>47</v>
      </c>
      <c r="AE263" s="284"/>
      <c r="AG263" s="466">
        <v>-2.9399999999999999E-2</v>
      </c>
      <c r="AH263" s="285">
        <f t="shared" si="126"/>
        <v>1.0294000000000001</v>
      </c>
      <c r="AI263" s="285">
        <v>1.0640000000000001</v>
      </c>
      <c r="AK263" s="286">
        <f t="shared" si="141"/>
        <v>269.19</v>
      </c>
      <c r="AM263" s="466">
        <v>1.034</v>
      </c>
      <c r="AN263" s="337">
        <v>-2.9399999999999999E-2</v>
      </c>
      <c r="AO263" s="285" t="e">
        <f>#REF!-AM263</f>
        <v>#REF!</v>
      </c>
      <c r="AQ263" s="288">
        <f t="shared" si="142"/>
        <v>0.1079</v>
      </c>
      <c r="AR263" s="467">
        <v>243</v>
      </c>
      <c r="AS263" s="127" t="b">
        <f t="shared" si="143"/>
        <v>0</v>
      </c>
      <c r="AT263" s="289" t="e">
        <f>ROUND(W263/T263*100-100,2)+#REF!</f>
        <v>#REF!</v>
      </c>
      <c r="AW263">
        <f t="shared" si="144"/>
        <v>1.1859999999999999</v>
      </c>
    </row>
    <row r="264" spans="1:49" x14ac:dyDescent="0.3">
      <c r="A264" s="477" t="s">
        <v>490</v>
      </c>
      <c r="B264" s="477" t="s">
        <v>255</v>
      </c>
      <c r="C264" s="475" t="s">
        <v>79</v>
      </c>
      <c r="D264" s="471" t="s">
        <v>186</v>
      </c>
      <c r="E264" s="484" t="s">
        <v>162</v>
      </c>
      <c r="F264" s="471">
        <f>VLOOKUP(E264,'[2]условия, ФОТ'!$A$14:$I$28,9, FALSE)</f>
        <v>213.84</v>
      </c>
      <c r="G264" s="478">
        <v>0.33</v>
      </c>
      <c r="H264" s="471">
        <f t="shared" si="146"/>
        <v>70.569999999999993</v>
      </c>
      <c r="I264" s="471">
        <f t="shared" si="94"/>
        <v>21.31</v>
      </c>
      <c r="J264" s="471">
        <f t="shared" si="147"/>
        <v>91.88</v>
      </c>
      <c r="K264" s="479"/>
      <c r="L264" s="471"/>
      <c r="M264" s="471"/>
      <c r="N264" s="471"/>
      <c r="O264" s="471"/>
      <c r="P264" s="471">
        <f t="shared" si="148"/>
        <v>91.88</v>
      </c>
      <c r="Q264" s="471">
        <f t="shared" si="136"/>
        <v>61.1</v>
      </c>
      <c r="R264" s="472">
        <f t="shared" si="145"/>
        <v>164.17</v>
      </c>
      <c r="S264" s="472">
        <f t="shared" si="137"/>
        <v>32.83</v>
      </c>
      <c r="T264" s="472">
        <f t="shared" si="138"/>
        <v>197</v>
      </c>
      <c r="U264" s="269">
        <v>139</v>
      </c>
      <c r="V264" s="336">
        <f t="shared" si="149"/>
        <v>41.726618705035975</v>
      </c>
      <c r="W264" s="498">
        <v>167</v>
      </c>
      <c r="X264" s="470">
        <f t="shared" si="139"/>
        <v>17.964071856287433</v>
      </c>
      <c r="Y264" s="499">
        <v>7.5800000000000006E-2</v>
      </c>
      <c r="Z264" s="487" t="e">
        <f>#REF!*Y264</f>
        <v>#REF!</v>
      </c>
      <c r="AB264" s="235">
        <v>147.86199999999999</v>
      </c>
      <c r="AC264" s="467"/>
      <c r="AD264" s="500">
        <f t="shared" si="140"/>
        <v>30</v>
      </c>
      <c r="AE264" s="284"/>
      <c r="AG264" s="466">
        <v>-3.09E-2</v>
      </c>
      <c r="AH264" s="285">
        <f t="shared" si="126"/>
        <v>1.0308999999999999</v>
      </c>
      <c r="AI264" s="285">
        <v>1.0660000000000001</v>
      </c>
      <c r="AK264" s="286">
        <f t="shared" si="141"/>
        <v>178.02</v>
      </c>
      <c r="AM264" s="466">
        <v>1.034</v>
      </c>
      <c r="AN264" s="337">
        <v>-3.09E-2</v>
      </c>
      <c r="AO264" s="285" t="e">
        <f>#REF!-AM264</f>
        <v>#REF!</v>
      </c>
      <c r="AQ264" s="288">
        <f t="shared" si="142"/>
        <v>0.1067</v>
      </c>
      <c r="AR264" s="467">
        <v>160</v>
      </c>
      <c r="AS264" s="127" t="b">
        <f t="shared" si="143"/>
        <v>0</v>
      </c>
      <c r="AT264" s="289" t="e">
        <f>ROUND(W264/T264*100-100,2)+#REF!</f>
        <v>#REF!</v>
      </c>
      <c r="AW264">
        <f t="shared" si="144"/>
        <v>1.18</v>
      </c>
    </row>
    <row r="265" spans="1:49" ht="25.5" x14ac:dyDescent="0.3">
      <c r="A265" s="477" t="s">
        <v>491</v>
      </c>
      <c r="B265" s="477" t="s">
        <v>256</v>
      </c>
      <c r="C265" s="475" t="s">
        <v>80</v>
      </c>
      <c r="D265" s="471" t="s">
        <v>186</v>
      </c>
      <c r="E265" s="484" t="s">
        <v>162</v>
      </c>
      <c r="F265" s="471">
        <f>VLOOKUP(E265,'[2]условия, ФОТ'!$A$14:$I$28,9, FALSE)</f>
        <v>213.84</v>
      </c>
      <c r="G265" s="478">
        <v>1</v>
      </c>
      <c r="H265" s="471">
        <f t="shared" si="146"/>
        <v>213.84</v>
      </c>
      <c r="I265" s="471">
        <f t="shared" si="94"/>
        <v>64.58</v>
      </c>
      <c r="J265" s="471">
        <f t="shared" si="147"/>
        <v>278.42</v>
      </c>
      <c r="K265" s="479"/>
      <c r="L265" s="471"/>
      <c r="M265" s="471"/>
      <c r="N265" s="471"/>
      <c r="O265" s="471"/>
      <c r="P265" s="471">
        <f t="shared" si="148"/>
        <v>278.42</v>
      </c>
      <c r="Q265" s="471">
        <f t="shared" si="136"/>
        <v>185.15</v>
      </c>
      <c r="R265" s="472">
        <f t="shared" si="145"/>
        <v>499.17</v>
      </c>
      <c r="S265" s="472">
        <f t="shared" si="137"/>
        <v>99.83</v>
      </c>
      <c r="T265" s="472">
        <f t="shared" si="138"/>
        <v>599</v>
      </c>
      <c r="U265" s="269">
        <v>420</v>
      </c>
      <c r="V265" s="336">
        <f t="shared" si="149"/>
        <v>42.61904761904762</v>
      </c>
      <c r="W265" s="498">
        <v>505</v>
      </c>
      <c r="X265" s="470">
        <f t="shared" si="139"/>
        <v>18.613861386138609</v>
      </c>
      <c r="Y265" s="499">
        <v>7.6300000000000007E-2</v>
      </c>
      <c r="Z265" s="487" t="e">
        <f>#REF!*Y265</f>
        <v>#REF!</v>
      </c>
      <c r="AB265" s="235">
        <v>448.75600000000003</v>
      </c>
      <c r="AC265" s="467"/>
      <c r="AD265" s="500">
        <f t="shared" si="140"/>
        <v>94</v>
      </c>
      <c r="AE265" s="284"/>
      <c r="AG265" s="466">
        <v>-2.9399999999999999E-2</v>
      </c>
      <c r="AH265" s="285">
        <f t="shared" si="126"/>
        <v>1.0294000000000001</v>
      </c>
      <c r="AI265" s="285">
        <v>1.0640000000000001</v>
      </c>
      <c r="AK265" s="286">
        <f t="shared" si="141"/>
        <v>537.32000000000005</v>
      </c>
      <c r="AM265" s="466">
        <v>1.034</v>
      </c>
      <c r="AN265" s="337">
        <v>-2.9399999999999999E-2</v>
      </c>
      <c r="AO265" s="285" t="e">
        <f>#REF!-AM265</f>
        <v>#REF!</v>
      </c>
      <c r="AQ265" s="288">
        <f t="shared" si="142"/>
        <v>0.1057</v>
      </c>
      <c r="AR265" s="467">
        <v>485</v>
      </c>
      <c r="AS265" s="127" t="b">
        <f t="shared" si="143"/>
        <v>0</v>
      </c>
      <c r="AT265" s="289" t="e">
        <f>ROUND(W265/T265*100-100,2)+#REF!</f>
        <v>#REF!</v>
      </c>
      <c r="AW265">
        <f t="shared" si="144"/>
        <v>1.1859999999999999</v>
      </c>
    </row>
    <row r="266" spans="1:49" x14ac:dyDescent="0.3">
      <c r="A266" s="477" t="s">
        <v>492</v>
      </c>
      <c r="B266" s="477" t="s">
        <v>257</v>
      </c>
      <c r="C266" s="475" t="s">
        <v>81</v>
      </c>
      <c r="D266" s="471" t="s">
        <v>258</v>
      </c>
      <c r="E266" s="484" t="s">
        <v>162</v>
      </c>
      <c r="F266" s="471">
        <f>VLOOKUP(E266,'[2]условия, ФОТ'!$A$14:$I$28,9, FALSE)</f>
        <v>213.84</v>
      </c>
      <c r="G266" s="478">
        <v>0.25</v>
      </c>
      <c r="H266" s="471">
        <f t="shared" si="146"/>
        <v>53.46</v>
      </c>
      <c r="I266" s="471">
        <f t="shared" si="94"/>
        <v>16.14</v>
      </c>
      <c r="J266" s="471">
        <f t="shared" si="147"/>
        <v>69.599999999999994</v>
      </c>
      <c r="K266" s="479"/>
      <c r="L266" s="471"/>
      <c r="M266" s="471"/>
      <c r="N266" s="471"/>
      <c r="O266" s="471"/>
      <c r="P266" s="471">
        <f t="shared" si="148"/>
        <v>69.599999999999994</v>
      </c>
      <c r="Q266" s="471">
        <f t="shared" si="136"/>
        <v>46.28</v>
      </c>
      <c r="R266" s="472">
        <f t="shared" si="145"/>
        <v>124.17</v>
      </c>
      <c r="S266" s="472">
        <f t="shared" si="137"/>
        <v>24.83</v>
      </c>
      <c r="T266" s="472">
        <f t="shared" si="138"/>
        <v>149</v>
      </c>
      <c r="U266" s="269">
        <v>105</v>
      </c>
      <c r="V266" s="336">
        <f t="shared" si="149"/>
        <v>41.904761904761898</v>
      </c>
      <c r="W266" s="498">
        <v>126</v>
      </c>
      <c r="X266" s="470">
        <f t="shared" si="139"/>
        <v>18.253968253968253</v>
      </c>
      <c r="Y266" s="499">
        <v>7.3800000000000004E-2</v>
      </c>
      <c r="Z266" s="487" t="e">
        <f>#REF!*Y266</f>
        <v>#REF!</v>
      </c>
      <c r="AB266" s="235">
        <v>111.672</v>
      </c>
      <c r="AC266" s="467"/>
      <c r="AD266" s="500">
        <f t="shared" si="140"/>
        <v>23</v>
      </c>
      <c r="AE266" s="284"/>
      <c r="AG266" s="466">
        <v>-3.4000000000000002E-2</v>
      </c>
      <c r="AH266" s="285">
        <f t="shared" si="126"/>
        <v>1.034</v>
      </c>
      <c r="AI266" s="285">
        <v>1.069</v>
      </c>
      <c r="AK266" s="286">
        <f t="shared" si="141"/>
        <v>134.69</v>
      </c>
      <c r="AM266" s="466">
        <v>1.034</v>
      </c>
      <c r="AN266" s="337">
        <v>-3.4000000000000002E-2</v>
      </c>
      <c r="AO266" s="285" t="e">
        <f>#REF!-AM266</f>
        <v>#REF!</v>
      </c>
      <c r="AQ266" s="288">
        <f t="shared" si="142"/>
        <v>0.10780000000000001</v>
      </c>
      <c r="AR266" s="467">
        <v>121</v>
      </c>
      <c r="AS266" s="127" t="b">
        <f t="shared" si="143"/>
        <v>0</v>
      </c>
      <c r="AT266" s="289" t="e">
        <f>ROUND(W266/T266*100-100,2)+#REF!</f>
        <v>#REF!</v>
      </c>
      <c r="AW266">
        <f t="shared" si="144"/>
        <v>1.1830000000000001</v>
      </c>
    </row>
    <row r="267" spans="1:49" x14ac:dyDescent="0.3">
      <c r="A267" s="477" t="s">
        <v>493</v>
      </c>
      <c r="B267" s="477" t="s">
        <v>259</v>
      </c>
      <c r="C267" s="475" t="s">
        <v>82</v>
      </c>
      <c r="D267" s="471" t="s">
        <v>260</v>
      </c>
      <c r="E267" s="484" t="s">
        <v>162</v>
      </c>
      <c r="F267" s="471">
        <f>VLOOKUP(E267,'[2]условия, ФОТ'!$A$14:$I$28,9, FALSE)</f>
        <v>213.84</v>
      </c>
      <c r="G267" s="478">
        <v>0.1</v>
      </c>
      <c r="H267" s="471">
        <f t="shared" si="146"/>
        <v>21.38</v>
      </c>
      <c r="I267" s="471">
        <f t="shared" si="94"/>
        <v>6.46</v>
      </c>
      <c r="J267" s="471">
        <f t="shared" si="147"/>
        <v>27.84</v>
      </c>
      <c r="K267" s="479"/>
      <c r="L267" s="471"/>
      <c r="M267" s="471"/>
      <c r="N267" s="471"/>
      <c r="O267" s="471"/>
      <c r="P267" s="471">
        <f t="shared" si="148"/>
        <v>27.84</v>
      </c>
      <c r="Q267" s="471">
        <f t="shared" si="136"/>
        <v>18.510000000000002</v>
      </c>
      <c r="R267" s="472">
        <f t="shared" si="145"/>
        <v>50</v>
      </c>
      <c r="S267" s="472">
        <f>ROUND(R267*$S$5,2)</f>
        <v>10</v>
      </c>
      <c r="T267" s="472">
        <f t="shared" si="138"/>
        <v>60</v>
      </c>
      <c r="U267" s="269">
        <v>42</v>
      </c>
      <c r="V267" s="336">
        <f t="shared" si="149"/>
        <v>42.857142857142861</v>
      </c>
      <c r="W267" s="498">
        <v>51</v>
      </c>
      <c r="X267" s="470">
        <f t="shared" si="139"/>
        <v>17.64705882352942</v>
      </c>
      <c r="Y267" s="499">
        <v>8.7300000000000003E-2</v>
      </c>
      <c r="Z267" s="487" t="e">
        <f>#REF!*Y267</f>
        <v>#REF!</v>
      </c>
      <c r="AB267" s="235">
        <v>44.462000000000003</v>
      </c>
      <c r="AC267" s="467"/>
      <c r="AD267" s="500">
        <f t="shared" si="140"/>
        <v>9</v>
      </c>
      <c r="AE267" s="284"/>
      <c r="AG267" s="466">
        <v>-3.8100000000000002E-2</v>
      </c>
      <c r="AH267" s="285">
        <f t="shared" si="126"/>
        <v>1.0381</v>
      </c>
      <c r="AI267" s="285">
        <v>1.073</v>
      </c>
      <c r="AK267" s="286">
        <f t="shared" si="141"/>
        <v>54.72</v>
      </c>
      <c r="AM267" s="466">
        <v>1.034</v>
      </c>
      <c r="AN267" s="337">
        <v>-3.8100000000000002E-2</v>
      </c>
      <c r="AO267" s="285" t="e">
        <f>#REF!-AM267</f>
        <v>#REF!</v>
      </c>
      <c r="AQ267" s="288">
        <f t="shared" si="142"/>
        <v>0.12540000000000001</v>
      </c>
      <c r="AR267" s="467">
        <v>49</v>
      </c>
      <c r="AS267" s="127" t="b">
        <f t="shared" si="143"/>
        <v>0</v>
      </c>
      <c r="AT267" s="289" t="e">
        <f>ROUND(W267/T267*100-100,2)+#REF!</f>
        <v>#REF!</v>
      </c>
      <c r="AW267">
        <f t="shared" si="144"/>
        <v>1.1759999999999999</v>
      </c>
    </row>
    <row r="268" spans="1:49" x14ac:dyDescent="0.3">
      <c r="A268" s="477" t="s">
        <v>494</v>
      </c>
      <c r="B268" s="477" t="s">
        <v>262</v>
      </c>
      <c r="C268" s="475" t="s">
        <v>83</v>
      </c>
      <c r="D268" s="471" t="s">
        <v>261</v>
      </c>
      <c r="E268" s="484" t="s">
        <v>162</v>
      </c>
      <c r="F268" s="471">
        <f>VLOOKUP(E268,'[2]условия, ФОТ'!$A$14:$I$28,9, FALSE)</f>
        <v>213.84</v>
      </c>
      <c r="G268" s="478">
        <v>0.52</v>
      </c>
      <c r="H268" s="471">
        <f t="shared" si="146"/>
        <v>111.2</v>
      </c>
      <c r="I268" s="471">
        <f t="shared" si="94"/>
        <v>33.58</v>
      </c>
      <c r="J268" s="471">
        <f t="shared" si="147"/>
        <v>144.78</v>
      </c>
      <c r="K268" s="479"/>
      <c r="L268" s="471"/>
      <c r="M268" s="471"/>
      <c r="N268" s="471"/>
      <c r="O268" s="471"/>
      <c r="P268" s="471">
        <f t="shared" si="148"/>
        <v>144.78</v>
      </c>
      <c r="Q268" s="471">
        <f t="shared" si="136"/>
        <v>96.28</v>
      </c>
      <c r="R268" s="472">
        <f t="shared" si="145"/>
        <v>259.17</v>
      </c>
      <c r="S268" s="472">
        <f t="shared" si="137"/>
        <v>51.83</v>
      </c>
      <c r="T268" s="472">
        <f t="shared" si="138"/>
        <v>311</v>
      </c>
      <c r="U268" s="269">
        <v>219</v>
      </c>
      <c r="V268" s="336">
        <f t="shared" si="149"/>
        <v>42.009132420091333</v>
      </c>
      <c r="W268" s="498">
        <v>263</v>
      </c>
      <c r="X268" s="470">
        <f t="shared" si="139"/>
        <v>18.250950570342212</v>
      </c>
      <c r="Y268" s="499">
        <v>7.5399999999999995E-2</v>
      </c>
      <c r="Z268" s="487" t="e">
        <f>#REF!*Y268</f>
        <v>#REF!</v>
      </c>
      <c r="AB268" s="235">
        <v>233.684</v>
      </c>
      <c r="AC268" s="467"/>
      <c r="AD268" s="500">
        <f t="shared" si="140"/>
        <v>48</v>
      </c>
      <c r="AE268" s="284"/>
      <c r="AG268" s="466">
        <v>-2.8000000000000001E-2</v>
      </c>
      <c r="AH268" s="285">
        <f t="shared" ref="AH268:AH326" si="150">IF(AG268&lt;0,-AG268+1,AG268)</f>
        <v>1.028</v>
      </c>
      <c r="AI268" s="285">
        <v>1.0629999999999999</v>
      </c>
      <c r="AK268" s="286">
        <f t="shared" si="141"/>
        <v>279.57</v>
      </c>
      <c r="AM268" s="466">
        <v>1.034</v>
      </c>
      <c r="AN268" s="337">
        <v>-2.8000000000000001E-2</v>
      </c>
      <c r="AO268" s="285" t="e">
        <f>#REF!-AM268</f>
        <v>#REF!</v>
      </c>
      <c r="AQ268" s="288">
        <f t="shared" si="142"/>
        <v>0.10339999999999999</v>
      </c>
      <c r="AR268" s="467">
        <v>252</v>
      </c>
      <c r="AS268" s="127" t="b">
        <f t="shared" si="143"/>
        <v>0</v>
      </c>
      <c r="AT268" s="289" t="e">
        <f>ROUND(W268/T268*100-100,2)+#REF!</f>
        <v>#REF!</v>
      </c>
      <c r="AW268">
        <f t="shared" si="144"/>
        <v>1.1830000000000001</v>
      </c>
    </row>
    <row r="269" spans="1:49" x14ac:dyDescent="0.3">
      <c r="A269" s="477" t="s">
        <v>495</v>
      </c>
      <c r="B269" s="477" t="s">
        <v>263</v>
      </c>
      <c r="C269" s="475" t="s">
        <v>84</v>
      </c>
      <c r="D269" s="471" t="s">
        <v>261</v>
      </c>
      <c r="E269" s="484" t="s">
        <v>162</v>
      </c>
      <c r="F269" s="471">
        <f>VLOOKUP(E269,'[2]условия, ФОТ'!$A$14:$I$28,9, FALSE)</f>
        <v>213.84</v>
      </c>
      <c r="G269" s="478">
        <v>0.32</v>
      </c>
      <c r="H269" s="471">
        <f t="shared" si="146"/>
        <v>68.430000000000007</v>
      </c>
      <c r="I269" s="471">
        <f t="shared" si="94"/>
        <v>20.67</v>
      </c>
      <c r="J269" s="471">
        <f t="shared" si="147"/>
        <v>89.100000000000009</v>
      </c>
      <c r="K269" s="479"/>
      <c r="L269" s="471"/>
      <c r="M269" s="471"/>
      <c r="N269" s="471"/>
      <c r="O269" s="471"/>
      <c r="P269" s="471">
        <f t="shared" si="148"/>
        <v>89.100000000000009</v>
      </c>
      <c r="Q269" s="471">
        <f t="shared" si="136"/>
        <v>59.25</v>
      </c>
      <c r="R269" s="472">
        <f t="shared" si="145"/>
        <v>159.16999999999999</v>
      </c>
      <c r="S269" s="472">
        <f>ROUND(R269*$S$5,2)</f>
        <v>31.83</v>
      </c>
      <c r="T269" s="472">
        <f t="shared" si="138"/>
        <v>191</v>
      </c>
      <c r="U269" s="269">
        <v>135</v>
      </c>
      <c r="V269" s="336">
        <f t="shared" si="149"/>
        <v>41.481481481481467</v>
      </c>
      <c r="W269" s="498">
        <v>162</v>
      </c>
      <c r="X269" s="470">
        <f t="shared" si="139"/>
        <v>17.901234567901227</v>
      </c>
      <c r="Y269" s="499">
        <v>7.4899999999999994E-2</v>
      </c>
      <c r="Z269" s="487" t="e">
        <f>#REF!*Y269</f>
        <v>#REF!</v>
      </c>
      <c r="AB269" s="235">
        <v>143.726</v>
      </c>
      <c r="AC269" s="467"/>
      <c r="AD269" s="500">
        <f t="shared" si="140"/>
        <v>29</v>
      </c>
      <c r="AE269" s="284"/>
      <c r="AG269" s="466">
        <v>-2.86E-2</v>
      </c>
      <c r="AH269" s="285">
        <f t="shared" si="150"/>
        <v>1.0286</v>
      </c>
      <c r="AI269" s="285">
        <v>1.0640000000000001</v>
      </c>
      <c r="AK269" s="286">
        <f t="shared" si="141"/>
        <v>172.37</v>
      </c>
      <c r="AM269" s="466">
        <v>1.034</v>
      </c>
      <c r="AN269" s="337">
        <v>-2.86E-2</v>
      </c>
      <c r="AO269" s="285" t="e">
        <f>#REF!-AM269</f>
        <v>#REF!</v>
      </c>
      <c r="AQ269" s="288">
        <f t="shared" si="142"/>
        <v>0.10349999999999999</v>
      </c>
      <c r="AR269" s="467">
        <v>155</v>
      </c>
      <c r="AS269" s="127" t="b">
        <f t="shared" si="143"/>
        <v>0</v>
      </c>
      <c r="AT269" s="289" t="e">
        <f>ROUND(W269/T269*100-100,2)+#REF!</f>
        <v>#REF!</v>
      </c>
      <c r="AW269">
        <f t="shared" si="144"/>
        <v>1.179</v>
      </c>
    </row>
    <row r="270" spans="1:49" x14ac:dyDescent="0.3">
      <c r="A270" s="477" t="s">
        <v>496</v>
      </c>
      <c r="B270" s="477" t="s">
        <v>264</v>
      </c>
      <c r="C270" s="475" t="s">
        <v>85</v>
      </c>
      <c r="D270" s="471" t="s">
        <v>198</v>
      </c>
      <c r="E270" s="484" t="s">
        <v>162</v>
      </c>
      <c r="F270" s="471">
        <f>VLOOKUP(E270,'[2]условия, ФОТ'!$A$14:$I$28,9, FALSE)</f>
        <v>213.84</v>
      </c>
      <c r="G270" s="478">
        <v>0.4</v>
      </c>
      <c r="H270" s="471">
        <f t="shared" si="146"/>
        <v>85.54</v>
      </c>
      <c r="I270" s="471">
        <f t="shared" si="94"/>
        <v>25.83</v>
      </c>
      <c r="J270" s="471">
        <f t="shared" si="147"/>
        <v>111.37</v>
      </c>
      <c r="K270" s="479"/>
      <c r="L270" s="471"/>
      <c r="M270" s="471"/>
      <c r="N270" s="471"/>
      <c r="O270" s="471"/>
      <c r="P270" s="471">
        <f t="shared" si="148"/>
        <v>111.37</v>
      </c>
      <c r="Q270" s="471">
        <f t="shared" si="136"/>
        <v>74.06</v>
      </c>
      <c r="R270" s="472">
        <f t="shared" si="145"/>
        <v>200</v>
      </c>
      <c r="S270" s="472">
        <f t="shared" si="137"/>
        <v>40</v>
      </c>
      <c r="T270" s="472">
        <f t="shared" si="138"/>
        <v>240</v>
      </c>
      <c r="U270" s="269">
        <v>168</v>
      </c>
      <c r="V270" s="336">
        <f t="shared" si="149"/>
        <v>42.857142857142861</v>
      </c>
      <c r="W270" s="498">
        <v>202</v>
      </c>
      <c r="X270" s="470">
        <f t="shared" si="139"/>
        <v>18.811881188118804</v>
      </c>
      <c r="Y270" s="499">
        <v>7.6399999999999996E-2</v>
      </c>
      <c r="Z270" s="487" t="e">
        <f>#REF!*Y270</f>
        <v>#REF!</v>
      </c>
      <c r="AB270" s="235">
        <v>178.88200000000001</v>
      </c>
      <c r="AC270" s="467"/>
      <c r="AD270" s="500">
        <f t="shared" si="140"/>
        <v>38</v>
      </c>
      <c r="AE270" s="284"/>
      <c r="AG270" s="466">
        <v>-3.2899999999999999E-2</v>
      </c>
      <c r="AH270" s="285">
        <f t="shared" si="150"/>
        <v>1.0328999999999999</v>
      </c>
      <c r="AI270" s="285">
        <v>1.0680000000000001</v>
      </c>
      <c r="AK270" s="286">
        <f t="shared" si="141"/>
        <v>215.74</v>
      </c>
      <c r="AM270" s="466">
        <v>1.034</v>
      </c>
      <c r="AN270" s="337">
        <v>-3.2899999999999999E-2</v>
      </c>
      <c r="AO270" s="285" t="e">
        <f>#REF!-AM270</f>
        <v>#REF!</v>
      </c>
      <c r="AQ270" s="288">
        <f t="shared" si="142"/>
        <v>0.10929999999999999</v>
      </c>
      <c r="AR270" s="467">
        <v>194</v>
      </c>
      <c r="AS270" s="127" t="b">
        <f t="shared" si="143"/>
        <v>0</v>
      </c>
      <c r="AT270" s="289" t="e">
        <f>ROUND(W270/T270*100-100,2)+#REF!</f>
        <v>#REF!</v>
      </c>
      <c r="AW270">
        <f t="shared" si="144"/>
        <v>1.1879999999999999</v>
      </c>
    </row>
    <row r="271" spans="1:49" x14ac:dyDescent="0.3">
      <c r="A271" s="477" t="s">
        <v>497</v>
      </c>
      <c r="B271" s="477" t="s">
        <v>265</v>
      </c>
      <c r="C271" s="475" t="s">
        <v>86</v>
      </c>
      <c r="D271" s="471" t="s">
        <v>198</v>
      </c>
      <c r="E271" s="484" t="s">
        <v>162</v>
      </c>
      <c r="F271" s="471">
        <f>VLOOKUP(E271,'[2]условия, ФОТ'!$A$14:$I$28,9, FALSE)</f>
        <v>213.84</v>
      </c>
      <c r="G271" s="478">
        <v>0.55000000000000004</v>
      </c>
      <c r="H271" s="471">
        <f t="shared" si="146"/>
        <v>117.61</v>
      </c>
      <c r="I271" s="471">
        <f t="shared" si="94"/>
        <v>35.520000000000003</v>
      </c>
      <c r="J271" s="471">
        <f t="shared" si="147"/>
        <v>153.13</v>
      </c>
      <c r="K271" s="479"/>
      <c r="L271" s="471"/>
      <c r="M271" s="471"/>
      <c r="N271" s="471"/>
      <c r="O271" s="471"/>
      <c r="P271" s="471">
        <f t="shared" si="148"/>
        <v>153.13</v>
      </c>
      <c r="Q271" s="471">
        <f t="shared" si="136"/>
        <v>101.83</v>
      </c>
      <c r="R271" s="472">
        <f t="shared" si="145"/>
        <v>275</v>
      </c>
      <c r="S271" s="472">
        <f t="shared" si="137"/>
        <v>55</v>
      </c>
      <c r="T271" s="472">
        <f t="shared" si="138"/>
        <v>330</v>
      </c>
      <c r="U271" s="269">
        <v>231</v>
      </c>
      <c r="V271" s="336">
        <f t="shared" si="149"/>
        <v>42.857142857142861</v>
      </c>
      <c r="W271" s="498">
        <v>278</v>
      </c>
      <c r="X271" s="470">
        <f t="shared" si="139"/>
        <v>18.705035971223012</v>
      </c>
      <c r="Y271" s="499">
        <v>7.7200000000000005E-2</v>
      </c>
      <c r="Z271" s="487" t="e">
        <f>#REF!*Y271</f>
        <v>#REF!</v>
      </c>
      <c r="AB271" s="235">
        <v>247.126</v>
      </c>
      <c r="AC271" s="467"/>
      <c r="AD271" s="500">
        <f t="shared" si="140"/>
        <v>52</v>
      </c>
      <c r="AE271" s="284"/>
      <c r="AG271" s="466">
        <v>-2.8199999999999999E-2</v>
      </c>
      <c r="AH271" s="285">
        <f t="shared" si="150"/>
        <v>1.0282</v>
      </c>
      <c r="AI271" s="285">
        <v>1.0629999999999999</v>
      </c>
      <c r="AK271" s="286">
        <f t="shared" si="141"/>
        <v>295.51</v>
      </c>
      <c r="AM271" s="466">
        <v>1.034</v>
      </c>
      <c r="AN271" s="337">
        <v>-2.8199999999999999E-2</v>
      </c>
      <c r="AO271" s="285" t="e">
        <f>#REF!-AM271</f>
        <v>#REF!</v>
      </c>
      <c r="AQ271" s="288">
        <f t="shared" si="142"/>
        <v>0.10540000000000001</v>
      </c>
      <c r="AR271" s="467">
        <v>267</v>
      </c>
      <c r="AS271" s="127" t="b">
        <f t="shared" si="143"/>
        <v>0</v>
      </c>
      <c r="AT271" s="289" t="e">
        <f>ROUND(W271/T271*100-100,2)+#REF!</f>
        <v>#REF!</v>
      </c>
      <c r="AW271">
        <f t="shared" si="144"/>
        <v>1.1870000000000001</v>
      </c>
    </row>
    <row r="272" spans="1:49" ht="25.5" x14ac:dyDescent="0.3">
      <c r="A272" s="477" t="s">
        <v>498</v>
      </c>
      <c r="B272" s="477" t="s">
        <v>266</v>
      </c>
      <c r="C272" s="475" t="s">
        <v>87</v>
      </c>
      <c r="D272" s="471" t="s">
        <v>198</v>
      </c>
      <c r="E272" s="484" t="s">
        <v>162</v>
      </c>
      <c r="F272" s="471">
        <f>VLOOKUP(E272,'[2]условия, ФОТ'!$A$14:$I$28,9, FALSE)</f>
        <v>213.84</v>
      </c>
      <c r="G272" s="478">
        <v>0.75</v>
      </c>
      <c r="H272" s="471">
        <f t="shared" si="146"/>
        <v>160.38</v>
      </c>
      <c r="I272" s="471">
        <f t="shared" si="94"/>
        <v>48.43</v>
      </c>
      <c r="J272" s="471">
        <f t="shared" si="147"/>
        <v>208.81</v>
      </c>
      <c r="K272" s="479"/>
      <c r="L272" s="471"/>
      <c r="M272" s="471"/>
      <c r="N272" s="471"/>
      <c r="O272" s="471"/>
      <c r="P272" s="471">
        <f t="shared" si="148"/>
        <v>208.81</v>
      </c>
      <c r="Q272" s="471">
        <f t="shared" si="136"/>
        <v>138.86000000000001</v>
      </c>
      <c r="R272" s="472">
        <f t="shared" si="145"/>
        <v>374.17</v>
      </c>
      <c r="S272" s="472">
        <f t="shared" si="137"/>
        <v>74.83</v>
      </c>
      <c r="T272" s="472">
        <f t="shared" si="138"/>
        <v>449</v>
      </c>
      <c r="U272" s="269">
        <v>315</v>
      </c>
      <c r="V272" s="336">
        <f t="shared" si="149"/>
        <v>42.539682539682531</v>
      </c>
      <c r="W272" s="498">
        <v>379</v>
      </c>
      <c r="X272" s="470">
        <f t="shared" si="139"/>
        <v>18.469656992084424</v>
      </c>
      <c r="Y272" s="499">
        <v>7.6999999999999999E-2</v>
      </c>
      <c r="Z272" s="487" t="e">
        <f>#REF!*Y272</f>
        <v>#REF!</v>
      </c>
      <c r="AB272" s="235">
        <v>336.05</v>
      </c>
      <c r="AC272" s="467"/>
      <c r="AD272" s="500">
        <f t="shared" si="140"/>
        <v>70</v>
      </c>
      <c r="AE272" s="284"/>
      <c r="AG272" s="466">
        <v>-3.09E-2</v>
      </c>
      <c r="AH272" s="285">
        <f t="shared" si="150"/>
        <v>1.0308999999999999</v>
      </c>
      <c r="AI272" s="285">
        <v>1.0660000000000001</v>
      </c>
      <c r="AK272" s="286">
        <f t="shared" si="141"/>
        <v>404.01</v>
      </c>
      <c r="AM272" s="466">
        <v>1.034</v>
      </c>
      <c r="AN272" s="337">
        <v>-3.09E-2</v>
      </c>
      <c r="AO272" s="285" t="e">
        <f>#REF!-AM272</f>
        <v>#REF!</v>
      </c>
      <c r="AQ272" s="288">
        <f t="shared" si="142"/>
        <v>0.1079</v>
      </c>
      <c r="AR272" s="467">
        <v>364</v>
      </c>
      <c r="AS272" s="127" t="b">
        <f t="shared" si="143"/>
        <v>0</v>
      </c>
      <c r="AT272" s="289" t="e">
        <f>ROUND(W272/T272*100-100,2)+#REF!</f>
        <v>#REF!</v>
      </c>
      <c r="AW272">
        <f t="shared" si="144"/>
        <v>1.1850000000000001</v>
      </c>
    </row>
    <row r="273" spans="1:49" ht="17.25" customHeight="1" x14ac:dyDescent="0.3">
      <c r="A273" s="477" t="s">
        <v>499</v>
      </c>
      <c r="B273" s="477" t="s">
        <v>267</v>
      </c>
      <c r="C273" s="475" t="s">
        <v>88</v>
      </c>
      <c r="D273" s="471" t="s">
        <v>177</v>
      </c>
      <c r="E273" s="484" t="s">
        <v>162</v>
      </c>
      <c r="F273" s="471">
        <f>VLOOKUP(E273,'[2]условия, ФОТ'!$A$14:$I$28,9, FALSE)</f>
        <v>213.84</v>
      </c>
      <c r="G273" s="478">
        <v>0.8</v>
      </c>
      <c r="H273" s="471">
        <f t="shared" si="146"/>
        <v>171.07</v>
      </c>
      <c r="I273" s="471">
        <f t="shared" si="94"/>
        <v>51.66</v>
      </c>
      <c r="J273" s="471">
        <f t="shared" si="147"/>
        <v>222.73</v>
      </c>
      <c r="K273" s="479"/>
      <c r="L273" s="471"/>
      <c r="M273" s="471"/>
      <c r="N273" s="471"/>
      <c r="O273" s="471"/>
      <c r="P273" s="471">
        <f t="shared" si="148"/>
        <v>222.73</v>
      </c>
      <c r="Q273" s="471">
        <f t="shared" si="136"/>
        <v>148.12</v>
      </c>
      <c r="R273" s="472">
        <f t="shared" si="145"/>
        <v>399.17</v>
      </c>
      <c r="S273" s="472">
        <f t="shared" si="137"/>
        <v>79.83</v>
      </c>
      <c r="T273" s="472">
        <f t="shared" si="138"/>
        <v>479</v>
      </c>
      <c r="U273" s="269">
        <v>336</v>
      </c>
      <c r="V273" s="336">
        <f t="shared" si="149"/>
        <v>42.559523809523824</v>
      </c>
      <c r="W273" s="498">
        <v>404</v>
      </c>
      <c r="X273" s="470">
        <f t="shared" si="139"/>
        <v>18.56435643564356</v>
      </c>
      <c r="Y273" s="499">
        <v>7.6300000000000007E-2</v>
      </c>
      <c r="Z273" s="487" t="e">
        <f>#REF!*Y273</f>
        <v>#REF!</v>
      </c>
      <c r="AB273" s="235">
        <v>358.798</v>
      </c>
      <c r="AC273" s="467"/>
      <c r="AD273" s="500">
        <f t="shared" si="140"/>
        <v>75</v>
      </c>
      <c r="AE273" s="284"/>
      <c r="AG273" s="466">
        <v>-0.03</v>
      </c>
      <c r="AH273" s="285">
        <f t="shared" si="150"/>
        <v>1.03</v>
      </c>
      <c r="AI273" s="285">
        <v>1.0649999999999999</v>
      </c>
      <c r="AK273" s="286">
        <f t="shared" si="141"/>
        <v>430.26</v>
      </c>
      <c r="AM273" s="466">
        <v>1.034</v>
      </c>
      <c r="AN273" s="337">
        <v>-0.03</v>
      </c>
      <c r="AO273" s="285" t="e">
        <f>#REF!-AM273</f>
        <v>#REF!</v>
      </c>
      <c r="AQ273" s="288">
        <f t="shared" si="142"/>
        <v>0.10630000000000001</v>
      </c>
      <c r="AR273" s="467">
        <v>388</v>
      </c>
      <c r="AS273" s="127" t="b">
        <f t="shared" si="143"/>
        <v>0</v>
      </c>
      <c r="AT273" s="289" t="e">
        <f>ROUND(W273/T273*100-100,2)+#REF!</f>
        <v>#REF!</v>
      </c>
      <c r="AW273">
        <f t="shared" si="144"/>
        <v>1.1859999999999999</v>
      </c>
    </row>
    <row r="274" spans="1:49" ht="31.7" customHeight="1" x14ac:dyDescent="0.3">
      <c r="A274" s="477" t="s">
        <v>500</v>
      </c>
      <c r="B274" s="477" t="s">
        <v>268</v>
      </c>
      <c r="C274" s="475" t="s">
        <v>89</v>
      </c>
      <c r="D274" s="471" t="s">
        <v>198</v>
      </c>
      <c r="E274" s="484" t="s">
        <v>162</v>
      </c>
      <c r="F274" s="471">
        <f>VLOOKUP(E274,'[2]условия, ФОТ'!$A$14:$I$28,9, FALSE)</f>
        <v>213.84</v>
      </c>
      <c r="G274" s="478">
        <v>1</v>
      </c>
      <c r="H274" s="471">
        <f t="shared" si="146"/>
        <v>213.84</v>
      </c>
      <c r="I274" s="471">
        <f t="shared" si="94"/>
        <v>64.58</v>
      </c>
      <c r="J274" s="471">
        <f t="shared" si="147"/>
        <v>278.42</v>
      </c>
      <c r="K274" s="479"/>
      <c r="L274" s="471"/>
      <c r="M274" s="471"/>
      <c r="N274" s="471"/>
      <c r="O274" s="471"/>
      <c r="P274" s="471">
        <f t="shared" si="148"/>
        <v>278.42</v>
      </c>
      <c r="Q274" s="471">
        <f t="shared" si="136"/>
        <v>185.15</v>
      </c>
      <c r="R274" s="472">
        <f t="shared" si="145"/>
        <v>499.17</v>
      </c>
      <c r="S274" s="472">
        <f t="shared" si="137"/>
        <v>99.83</v>
      </c>
      <c r="T274" s="472">
        <f t="shared" si="138"/>
        <v>599</v>
      </c>
      <c r="U274" s="269">
        <v>420</v>
      </c>
      <c r="V274" s="336">
        <f t="shared" si="149"/>
        <v>42.61904761904762</v>
      </c>
      <c r="W274" s="498">
        <v>505</v>
      </c>
      <c r="X274" s="470">
        <f t="shared" si="139"/>
        <v>18.613861386138609</v>
      </c>
      <c r="Y274" s="499">
        <v>7.6300000000000007E-2</v>
      </c>
      <c r="Z274" s="487" t="e">
        <f>#REF!*Y274</f>
        <v>#REF!</v>
      </c>
      <c r="AB274" s="235">
        <v>448.75600000000003</v>
      </c>
      <c r="AC274" s="467"/>
      <c r="AD274" s="500">
        <f t="shared" si="140"/>
        <v>94</v>
      </c>
      <c r="AE274" s="284"/>
      <c r="AG274" s="466">
        <v>-2.9399999999999999E-2</v>
      </c>
      <c r="AH274" s="285">
        <f t="shared" si="150"/>
        <v>1.0294000000000001</v>
      </c>
      <c r="AI274" s="285">
        <v>1.0640000000000001</v>
      </c>
      <c r="AK274" s="286">
        <f t="shared" si="141"/>
        <v>537.32000000000005</v>
      </c>
      <c r="AM274" s="466">
        <v>1.034</v>
      </c>
      <c r="AN274" s="337">
        <v>-2.9399999999999999E-2</v>
      </c>
      <c r="AO274" s="285" t="e">
        <f>#REF!-AM274</f>
        <v>#REF!</v>
      </c>
      <c r="AQ274" s="288">
        <f t="shared" si="142"/>
        <v>0.1057</v>
      </c>
      <c r="AR274" s="467">
        <v>485</v>
      </c>
      <c r="AS274" s="127" t="b">
        <f t="shared" si="143"/>
        <v>0</v>
      </c>
      <c r="AT274" s="289" t="e">
        <f>ROUND(W274/T274*100-100,2)+#REF!</f>
        <v>#REF!</v>
      </c>
      <c r="AW274">
        <f t="shared" si="144"/>
        <v>1.1859999999999999</v>
      </c>
    </row>
    <row r="275" spans="1:49" ht="30.75" customHeight="1" x14ac:dyDescent="0.3">
      <c r="A275" s="477" t="s">
        <v>501</v>
      </c>
      <c r="B275" s="477" t="s">
        <v>269</v>
      </c>
      <c r="C275" s="475" t="s">
        <v>90</v>
      </c>
      <c r="D275" s="471" t="s">
        <v>198</v>
      </c>
      <c r="E275" s="484" t="s">
        <v>162</v>
      </c>
      <c r="F275" s="471">
        <f>VLOOKUP(E275,'[2]условия, ФОТ'!$A$14:$I$28,9, FALSE)</f>
        <v>213.84</v>
      </c>
      <c r="G275" s="478">
        <v>0.25</v>
      </c>
      <c r="H275" s="471">
        <f t="shared" si="146"/>
        <v>53.46</v>
      </c>
      <c r="I275" s="471">
        <f t="shared" si="94"/>
        <v>16.14</v>
      </c>
      <c r="J275" s="471">
        <f t="shared" si="147"/>
        <v>69.599999999999994</v>
      </c>
      <c r="K275" s="479"/>
      <c r="L275" s="471"/>
      <c r="M275" s="471"/>
      <c r="N275" s="471"/>
      <c r="O275" s="471"/>
      <c r="P275" s="471">
        <f t="shared" si="148"/>
        <v>69.599999999999994</v>
      </c>
      <c r="Q275" s="471">
        <f t="shared" si="136"/>
        <v>46.28</v>
      </c>
      <c r="R275" s="472">
        <f t="shared" si="145"/>
        <v>124.17</v>
      </c>
      <c r="S275" s="472">
        <f t="shared" si="137"/>
        <v>24.83</v>
      </c>
      <c r="T275" s="472">
        <f t="shared" si="138"/>
        <v>149</v>
      </c>
      <c r="U275" s="269">
        <v>105</v>
      </c>
      <c r="V275" s="336">
        <f t="shared" si="149"/>
        <v>41.904761904761898</v>
      </c>
      <c r="W275" s="498">
        <v>126</v>
      </c>
      <c r="X275" s="470">
        <f t="shared" si="139"/>
        <v>18.253968253968253</v>
      </c>
      <c r="Y275" s="499">
        <v>7.3800000000000004E-2</v>
      </c>
      <c r="Z275" s="487" t="e">
        <f>#REF!*Y275</f>
        <v>#REF!</v>
      </c>
      <c r="AB275" s="235">
        <v>111.672</v>
      </c>
      <c r="AC275" s="467"/>
      <c r="AD275" s="500">
        <f t="shared" si="140"/>
        <v>23</v>
      </c>
      <c r="AE275" s="284"/>
      <c r="AG275" s="466">
        <v>-3.4000000000000002E-2</v>
      </c>
      <c r="AH275" s="285">
        <f t="shared" si="150"/>
        <v>1.034</v>
      </c>
      <c r="AI275" s="285">
        <v>1.069</v>
      </c>
      <c r="AK275" s="286">
        <f t="shared" si="141"/>
        <v>134.69</v>
      </c>
      <c r="AM275" s="466">
        <v>1.034</v>
      </c>
      <c r="AN275" s="337">
        <v>-3.4000000000000002E-2</v>
      </c>
      <c r="AO275" s="285" t="e">
        <f>#REF!-AM275</f>
        <v>#REF!</v>
      </c>
      <c r="AQ275" s="288">
        <f t="shared" si="142"/>
        <v>0.10780000000000001</v>
      </c>
      <c r="AR275" s="467">
        <v>121</v>
      </c>
      <c r="AS275" s="127" t="b">
        <f t="shared" si="143"/>
        <v>0</v>
      </c>
      <c r="AT275" s="289" t="e">
        <f>ROUND(W275/T275*100-100,2)+#REF!</f>
        <v>#REF!</v>
      </c>
      <c r="AW275">
        <f t="shared" si="144"/>
        <v>1.1830000000000001</v>
      </c>
    </row>
    <row r="276" spans="1:49" ht="21.75" customHeight="1" x14ac:dyDescent="0.3">
      <c r="A276" s="477" t="s">
        <v>502</v>
      </c>
      <c r="B276" s="477" t="s">
        <v>270</v>
      </c>
      <c r="C276" s="475" t="s">
        <v>91</v>
      </c>
      <c r="D276" s="471" t="s">
        <v>198</v>
      </c>
      <c r="E276" s="484" t="s">
        <v>162</v>
      </c>
      <c r="F276" s="471">
        <f>VLOOKUP(E276,'[2]условия, ФОТ'!$A$14:$I$28,9, FALSE)</f>
        <v>213.84</v>
      </c>
      <c r="G276" s="478">
        <v>0.25</v>
      </c>
      <c r="H276" s="471">
        <f t="shared" si="146"/>
        <v>53.46</v>
      </c>
      <c r="I276" s="471">
        <f t="shared" si="94"/>
        <v>16.14</v>
      </c>
      <c r="J276" s="471">
        <f t="shared" si="147"/>
        <v>69.599999999999994</v>
      </c>
      <c r="K276" s="479"/>
      <c r="L276" s="471"/>
      <c r="M276" s="471"/>
      <c r="N276" s="471"/>
      <c r="O276" s="471"/>
      <c r="P276" s="471">
        <f t="shared" si="148"/>
        <v>69.599999999999994</v>
      </c>
      <c r="Q276" s="471">
        <f t="shared" si="136"/>
        <v>46.28</v>
      </c>
      <c r="R276" s="472">
        <f t="shared" si="145"/>
        <v>124.17</v>
      </c>
      <c r="S276" s="472">
        <f t="shared" si="137"/>
        <v>24.83</v>
      </c>
      <c r="T276" s="472">
        <f t="shared" si="138"/>
        <v>149</v>
      </c>
      <c r="U276" s="269">
        <v>105</v>
      </c>
      <c r="V276" s="336">
        <f t="shared" si="149"/>
        <v>41.904761904761898</v>
      </c>
      <c r="W276" s="498">
        <v>126</v>
      </c>
      <c r="X276" s="470">
        <f t="shared" si="139"/>
        <v>18.253968253968253</v>
      </c>
      <c r="Y276" s="499">
        <v>7.3800000000000004E-2</v>
      </c>
      <c r="Z276" s="487" t="e">
        <f>#REF!*Y276</f>
        <v>#REF!</v>
      </c>
      <c r="AB276" s="235">
        <v>111.672</v>
      </c>
      <c r="AC276" s="467"/>
      <c r="AD276" s="500">
        <f t="shared" si="140"/>
        <v>23</v>
      </c>
      <c r="AE276" s="284"/>
      <c r="AG276" s="466">
        <v>-3.4000000000000002E-2</v>
      </c>
      <c r="AH276" s="285">
        <f t="shared" si="150"/>
        <v>1.034</v>
      </c>
      <c r="AI276" s="285">
        <v>1.069</v>
      </c>
      <c r="AK276" s="286">
        <f t="shared" si="141"/>
        <v>134.69</v>
      </c>
      <c r="AM276" s="466">
        <v>1.034</v>
      </c>
      <c r="AN276" s="337">
        <v>-3.4000000000000002E-2</v>
      </c>
      <c r="AO276" s="285" t="e">
        <f>#REF!-AM276</f>
        <v>#REF!</v>
      </c>
      <c r="AQ276" s="288">
        <f t="shared" si="142"/>
        <v>0.10780000000000001</v>
      </c>
      <c r="AR276" s="467">
        <v>121</v>
      </c>
      <c r="AS276" s="127" t="b">
        <f t="shared" si="143"/>
        <v>0</v>
      </c>
      <c r="AT276" s="289" t="e">
        <f>ROUND(W276/T276*100-100,2)+#REF!</f>
        <v>#REF!</v>
      </c>
      <c r="AW276">
        <f t="shared" si="144"/>
        <v>1.1830000000000001</v>
      </c>
    </row>
    <row r="277" spans="1:49" ht="25.5" x14ac:dyDescent="0.3">
      <c r="A277" s="477" t="s">
        <v>503</v>
      </c>
      <c r="B277" s="477" t="s">
        <v>271</v>
      </c>
      <c r="C277" s="475" t="s">
        <v>92</v>
      </c>
      <c r="D277" s="471" t="s">
        <v>198</v>
      </c>
      <c r="E277" s="484" t="s">
        <v>162</v>
      </c>
      <c r="F277" s="471">
        <f>VLOOKUP(E277,'[2]условия, ФОТ'!$A$14:$I$28,9, FALSE)</f>
        <v>213.84</v>
      </c>
      <c r="G277" s="478">
        <v>0.25</v>
      </c>
      <c r="H277" s="471">
        <f t="shared" si="146"/>
        <v>53.46</v>
      </c>
      <c r="I277" s="471">
        <f t="shared" si="94"/>
        <v>16.14</v>
      </c>
      <c r="J277" s="471">
        <f t="shared" si="147"/>
        <v>69.599999999999994</v>
      </c>
      <c r="K277" s="479"/>
      <c r="L277" s="471"/>
      <c r="M277" s="471"/>
      <c r="N277" s="471"/>
      <c r="O277" s="471"/>
      <c r="P277" s="471">
        <f t="shared" si="148"/>
        <v>69.599999999999994</v>
      </c>
      <c r="Q277" s="471">
        <f t="shared" si="136"/>
        <v>46.28</v>
      </c>
      <c r="R277" s="472">
        <f t="shared" si="145"/>
        <v>124.17</v>
      </c>
      <c r="S277" s="472">
        <f t="shared" si="137"/>
        <v>24.83</v>
      </c>
      <c r="T277" s="472">
        <f t="shared" si="138"/>
        <v>149</v>
      </c>
      <c r="U277" s="269">
        <v>105</v>
      </c>
      <c r="V277" s="336">
        <f t="shared" si="149"/>
        <v>41.904761904761898</v>
      </c>
      <c r="W277" s="498">
        <v>126</v>
      </c>
      <c r="X277" s="470">
        <f t="shared" si="139"/>
        <v>18.253968253968253</v>
      </c>
      <c r="Y277" s="499">
        <v>7.3800000000000004E-2</v>
      </c>
      <c r="Z277" s="487" t="e">
        <f>#REF!*Y277</f>
        <v>#REF!</v>
      </c>
      <c r="AB277" s="235">
        <v>111.672</v>
      </c>
      <c r="AC277" s="467"/>
      <c r="AD277" s="500">
        <f t="shared" si="140"/>
        <v>23</v>
      </c>
      <c r="AE277" s="284"/>
      <c r="AG277" s="466">
        <v>-3.4000000000000002E-2</v>
      </c>
      <c r="AH277" s="285">
        <f t="shared" si="150"/>
        <v>1.034</v>
      </c>
      <c r="AI277" s="285">
        <v>1.069</v>
      </c>
      <c r="AK277" s="286">
        <f t="shared" si="141"/>
        <v>134.69</v>
      </c>
      <c r="AM277" s="466">
        <v>1.034</v>
      </c>
      <c r="AN277" s="337">
        <v>-3.4000000000000002E-2</v>
      </c>
      <c r="AO277" s="285" t="e">
        <f>#REF!-AM277</f>
        <v>#REF!</v>
      </c>
      <c r="AQ277" s="288">
        <f t="shared" si="142"/>
        <v>0.10780000000000001</v>
      </c>
      <c r="AR277" s="467">
        <v>121</v>
      </c>
      <c r="AS277" s="127" t="b">
        <f t="shared" si="143"/>
        <v>0</v>
      </c>
      <c r="AT277" s="289" t="e">
        <f>ROUND(W277/T277*100-100,2)+#REF!</f>
        <v>#REF!</v>
      </c>
      <c r="AW277">
        <f t="shared" si="144"/>
        <v>1.1830000000000001</v>
      </c>
    </row>
    <row r="278" spans="1:49" x14ac:dyDescent="0.3">
      <c r="A278" s="477" t="s">
        <v>504</v>
      </c>
      <c r="B278" s="477" t="s">
        <v>272</v>
      </c>
      <c r="C278" s="475" t="s">
        <v>93</v>
      </c>
      <c r="D278" s="471" t="s">
        <v>198</v>
      </c>
      <c r="E278" s="484" t="s">
        <v>162</v>
      </c>
      <c r="F278" s="471">
        <f>VLOOKUP(E278,'[2]условия, ФОТ'!$A$14:$I$28,9, FALSE)</f>
        <v>213.84</v>
      </c>
      <c r="G278" s="478">
        <v>0.5</v>
      </c>
      <c r="H278" s="471">
        <f t="shared" si="146"/>
        <v>106.92</v>
      </c>
      <c r="I278" s="471">
        <f t="shared" si="94"/>
        <v>32.29</v>
      </c>
      <c r="J278" s="471">
        <f t="shared" si="147"/>
        <v>139.21</v>
      </c>
      <c r="K278" s="479"/>
      <c r="L278" s="471"/>
      <c r="M278" s="471"/>
      <c r="N278" s="471"/>
      <c r="O278" s="471"/>
      <c r="P278" s="471">
        <f t="shared" si="148"/>
        <v>139.21</v>
      </c>
      <c r="Q278" s="471">
        <f t="shared" si="136"/>
        <v>92.57</v>
      </c>
      <c r="R278" s="472">
        <f t="shared" si="145"/>
        <v>250</v>
      </c>
      <c r="S278" s="472">
        <f t="shared" si="137"/>
        <v>50</v>
      </c>
      <c r="T278" s="472">
        <f t="shared" si="138"/>
        <v>300</v>
      </c>
      <c r="U278" s="269">
        <v>210</v>
      </c>
      <c r="V278" s="336">
        <f t="shared" si="149"/>
        <v>42.857142857142861</v>
      </c>
      <c r="W278" s="498">
        <v>253</v>
      </c>
      <c r="X278" s="470">
        <f t="shared" si="139"/>
        <v>18.577075098814234</v>
      </c>
      <c r="Y278" s="499">
        <v>7.85E-2</v>
      </c>
      <c r="Z278" s="487" t="e">
        <f>#REF!*Y278</f>
        <v>#REF!</v>
      </c>
      <c r="AB278" s="235">
        <v>224.37800000000001</v>
      </c>
      <c r="AC278" s="467"/>
      <c r="AD278" s="500">
        <f t="shared" si="140"/>
        <v>47</v>
      </c>
      <c r="AE278" s="284"/>
      <c r="AG278" s="466">
        <v>-2.9399999999999999E-2</v>
      </c>
      <c r="AH278" s="285">
        <f t="shared" si="150"/>
        <v>1.0294000000000001</v>
      </c>
      <c r="AI278" s="285">
        <v>1.0640000000000001</v>
      </c>
      <c r="AK278" s="286">
        <f t="shared" si="141"/>
        <v>269.19</v>
      </c>
      <c r="AM278" s="466">
        <v>1.034</v>
      </c>
      <c r="AN278" s="337">
        <v>-2.9399999999999999E-2</v>
      </c>
      <c r="AO278" s="285" t="e">
        <f>#REF!-AM278</f>
        <v>#REF!</v>
      </c>
      <c r="AQ278" s="288">
        <f t="shared" si="142"/>
        <v>0.1079</v>
      </c>
      <c r="AR278" s="467">
        <v>243</v>
      </c>
      <c r="AS278" s="127" t="b">
        <f t="shared" si="143"/>
        <v>0</v>
      </c>
      <c r="AT278" s="289" t="e">
        <f>ROUND(W278/T278*100-100,2)+#REF!</f>
        <v>#REF!</v>
      </c>
      <c r="AW278">
        <f t="shared" si="144"/>
        <v>1.1859999999999999</v>
      </c>
    </row>
    <row r="279" spans="1:49" x14ac:dyDescent="0.3">
      <c r="A279" s="477" t="s">
        <v>505</v>
      </c>
      <c r="B279" s="477" t="s">
        <v>273</v>
      </c>
      <c r="C279" s="475" t="s">
        <v>94</v>
      </c>
      <c r="D279" s="471" t="s">
        <v>198</v>
      </c>
      <c r="E279" s="484" t="s">
        <v>162</v>
      </c>
      <c r="F279" s="471">
        <f>VLOOKUP(E279,'[2]условия, ФОТ'!$A$14:$I$28,9, FALSE)</f>
        <v>213.84</v>
      </c>
      <c r="G279" s="478">
        <v>0.91</v>
      </c>
      <c r="H279" s="471">
        <f t="shared" si="146"/>
        <v>194.59</v>
      </c>
      <c r="I279" s="471">
        <f t="shared" si="94"/>
        <v>58.77</v>
      </c>
      <c r="J279" s="471">
        <f t="shared" si="147"/>
        <v>253.36</v>
      </c>
      <c r="K279" s="479"/>
      <c r="L279" s="471"/>
      <c r="M279" s="471"/>
      <c r="N279" s="471"/>
      <c r="O279" s="471"/>
      <c r="P279" s="471">
        <f t="shared" si="148"/>
        <v>253.36</v>
      </c>
      <c r="Q279" s="471">
        <f t="shared" si="136"/>
        <v>168.48</v>
      </c>
      <c r="R279" s="472">
        <f t="shared" si="145"/>
        <v>455</v>
      </c>
      <c r="S279" s="472">
        <f t="shared" si="137"/>
        <v>91</v>
      </c>
      <c r="T279" s="472">
        <f t="shared" si="138"/>
        <v>546</v>
      </c>
      <c r="U279" s="269">
        <v>382</v>
      </c>
      <c r="V279" s="336">
        <f t="shared" si="149"/>
        <v>42.931937172774866</v>
      </c>
      <c r="W279" s="498">
        <v>461</v>
      </c>
      <c r="X279" s="470">
        <f t="shared" si="139"/>
        <v>18.43817787418655</v>
      </c>
      <c r="Y279" s="499">
        <v>7.7799999999999994E-2</v>
      </c>
      <c r="Z279" s="487" t="e">
        <f>#REF!*Y279</f>
        <v>#REF!</v>
      </c>
      <c r="AB279" s="235">
        <v>408.43</v>
      </c>
      <c r="AC279" s="467"/>
      <c r="AD279" s="500">
        <f t="shared" si="140"/>
        <v>85</v>
      </c>
      <c r="AE279" s="284"/>
      <c r="AG279" s="466">
        <v>-2.92E-2</v>
      </c>
      <c r="AH279" s="285">
        <f t="shared" si="150"/>
        <v>1.0291999999999999</v>
      </c>
      <c r="AI279" s="285">
        <v>1.0640000000000001</v>
      </c>
      <c r="AK279" s="286">
        <f t="shared" si="141"/>
        <v>490.5</v>
      </c>
      <c r="AM279" s="466">
        <v>1.034</v>
      </c>
      <c r="AN279" s="337">
        <v>-2.92E-2</v>
      </c>
      <c r="AO279" s="285" t="e">
        <f>#REF!-AM279</f>
        <v>#REF!</v>
      </c>
      <c r="AQ279" s="288">
        <f t="shared" si="142"/>
        <v>0.107</v>
      </c>
      <c r="AR279" s="467">
        <v>442</v>
      </c>
      <c r="AS279" s="127" t="b">
        <f t="shared" si="143"/>
        <v>0</v>
      </c>
      <c r="AT279" s="289" t="e">
        <f>ROUND(W279/T279*100-100,2)+#REF!</f>
        <v>#REF!</v>
      </c>
      <c r="AW279">
        <f t="shared" si="144"/>
        <v>1.1839999999999999</v>
      </c>
    </row>
    <row r="280" spans="1:49" x14ac:dyDescent="0.3">
      <c r="A280" s="477" t="s">
        <v>506</v>
      </c>
      <c r="B280" s="477" t="s">
        <v>274</v>
      </c>
      <c r="C280" s="475" t="s">
        <v>95</v>
      </c>
      <c r="D280" s="471" t="s">
        <v>198</v>
      </c>
      <c r="E280" s="484" t="s">
        <v>162</v>
      </c>
      <c r="F280" s="471">
        <f>VLOOKUP(E280,'[2]условия, ФОТ'!$A$14:$I$28,9, FALSE)</f>
        <v>213.84</v>
      </c>
      <c r="G280" s="478">
        <v>0.72</v>
      </c>
      <c r="H280" s="471">
        <f t="shared" si="146"/>
        <v>153.96</v>
      </c>
      <c r="I280" s="471">
        <f t="shared" si="94"/>
        <v>46.5</v>
      </c>
      <c r="J280" s="471">
        <f t="shared" si="147"/>
        <v>200.46</v>
      </c>
      <c r="K280" s="479"/>
      <c r="L280" s="471"/>
      <c r="M280" s="471"/>
      <c r="N280" s="471"/>
      <c r="O280" s="471"/>
      <c r="P280" s="471">
        <f t="shared" si="148"/>
        <v>200.46</v>
      </c>
      <c r="Q280" s="471">
        <f t="shared" si="136"/>
        <v>133.31</v>
      </c>
      <c r="R280" s="472">
        <f t="shared" si="145"/>
        <v>359.17</v>
      </c>
      <c r="S280" s="472">
        <f t="shared" si="137"/>
        <v>71.83</v>
      </c>
      <c r="T280" s="472">
        <f t="shared" si="138"/>
        <v>431</v>
      </c>
      <c r="U280" s="269">
        <v>303</v>
      </c>
      <c r="V280" s="336">
        <f t="shared" si="149"/>
        <v>42.244224422442244</v>
      </c>
      <c r="W280" s="498">
        <v>364</v>
      </c>
      <c r="X280" s="470">
        <f t="shared" si="139"/>
        <v>18.406593406593402</v>
      </c>
      <c r="Y280" s="499">
        <v>7.5700000000000003E-2</v>
      </c>
      <c r="Z280" s="487" t="e">
        <f>#REF!*Y280</f>
        <v>#REF!</v>
      </c>
      <c r="AB280" s="235">
        <v>322.608</v>
      </c>
      <c r="AC280" s="467"/>
      <c r="AD280" s="500">
        <f t="shared" si="140"/>
        <v>67</v>
      </c>
      <c r="AE280" s="284"/>
      <c r="AG280" s="466">
        <v>-3.09E-2</v>
      </c>
      <c r="AH280" s="285">
        <f t="shared" si="150"/>
        <v>1.0308999999999999</v>
      </c>
      <c r="AI280" s="285">
        <v>1.0660000000000001</v>
      </c>
      <c r="AK280" s="286">
        <f t="shared" si="141"/>
        <v>388.02</v>
      </c>
      <c r="AM280" s="466">
        <v>1.034</v>
      </c>
      <c r="AN280" s="337">
        <v>-3.09E-2</v>
      </c>
      <c r="AO280" s="285" t="e">
        <f>#REF!-AM280</f>
        <v>#REF!</v>
      </c>
      <c r="AQ280" s="288">
        <f t="shared" si="142"/>
        <v>0.1066</v>
      </c>
      <c r="AR280" s="467">
        <v>349</v>
      </c>
      <c r="AS280" s="127" t="b">
        <f t="shared" si="143"/>
        <v>0</v>
      </c>
      <c r="AT280" s="289" t="e">
        <f>ROUND(W280/T280*100-100,2)+#REF!</f>
        <v>#REF!</v>
      </c>
      <c r="AW280">
        <f t="shared" si="144"/>
        <v>1.1839999999999999</v>
      </c>
    </row>
    <row r="281" spans="1:49" ht="25.5" x14ac:dyDescent="0.3">
      <c r="A281" s="477" t="s">
        <v>507</v>
      </c>
      <c r="B281" s="477" t="s">
        <v>275</v>
      </c>
      <c r="C281" s="475" t="s">
        <v>96</v>
      </c>
      <c r="D281" s="471" t="s">
        <v>198</v>
      </c>
      <c r="E281" s="484" t="s">
        <v>162</v>
      </c>
      <c r="F281" s="471">
        <f>VLOOKUP(E281,'[2]условия, ФОТ'!$A$14:$I$28,9, FALSE)</f>
        <v>213.84</v>
      </c>
      <c r="G281" s="478">
        <v>0.42</v>
      </c>
      <c r="H281" s="471">
        <f t="shared" si="146"/>
        <v>89.81</v>
      </c>
      <c r="I281" s="471">
        <f t="shared" si="94"/>
        <v>27.12</v>
      </c>
      <c r="J281" s="471">
        <f t="shared" si="147"/>
        <v>116.93</v>
      </c>
      <c r="K281" s="479"/>
      <c r="L281" s="471"/>
      <c r="M281" s="471"/>
      <c r="N281" s="471"/>
      <c r="O281" s="471"/>
      <c r="P281" s="471">
        <f t="shared" si="148"/>
        <v>116.93</v>
      </c>
      <c r="Q281" s="471">
        <f t="shared" si="136"/>
        <v>77.760000000000005</v>
      </c>
      <c r="R281" s="472">
        <f t="shared" si="145"/>
        <v>210</v>
      </c>
      <c r="S281" s="472">
        <f t="shared" si="137"/>
        <v>42</v>
      </c>
      <c r="T281" s="472">
        <f t="shared" si="138"/>
        <v>252</v>
      </c>
      <c r="U281" s="269">
        <v>177</v>
      </c>
      <c r="V281" s="336">
        <f t="shared" si="149"/>
        <v>42.372881355932208</v>
      </c>
      <c r="W281" s="498">
        <v>213</v>
      </c>
      <c r="X281" s="470">
        <f t="shared" si="139"/>
        <v>18.309859154929569</v>
      </c>
      <c r="Y281" s="499">
        <v>7.7899999999999997E-2</v>
      </c>
      <c r="Z281" s="487" t="e">
        <f>#REF!*Y281</f>
        <v>#REF!</v>
      </c>
      <c r="AB281" s="235">
        <v>188.18800000000002</v>
      </c>
      <c r="AC281" s="467"/>
      <c r="AD281" s="500">
        <f t="shared" si="140"/>
        <v>39</v>
      </c>
      <c r="AE281" s="284"/>
      <c r="AG281" s="466">
        <v>-3.0800000000000001E-2</v>
      </c>
      <c r="AH281" s="285">
        <f t="shared" si="150"/>
        <v>1.0307999999999999</v>
      </c>
      <c r="AI281" s="285">
        <v>1.0660000000000001</v>
      </c>
      <c r="AK281" s="286">
        <f t="shared" si="141"/>
        <v>227.06</v>
      </c>
      <c r="AM281" s="466">
        <v>1.034</v>
      </c>
      <c r="AN281" s="337">
        <v>-3.0800000000000001E-2</v>
      </c>
      <c r="AO281" s="285" t="e">
        <f>#REF!-AM281</f>
        <v>#REF!</v>
      </c>
      <c r="AQ281" s="288">
        <f t="shared" si="142"/>
        <v>0.10869999999999999</v>
      </c>
      <c r="AR281" s="467">
        <v>204</v>
      </c>
      <c r="AS281" s="127" t="b">
        <f t="shared" si="143"/>
        <v>0</v>
      </c>
      <c r="AT281" s="289" t="e">
        <f>ROUND(W281/T281*100-100,2)+#REF!</f>
        <v>#REF!</v>
      </c>
      <c r="AW281">
        <f t="shared" si="144"/>
        <v>1.1830000000000001</v>
      </c>
    </row>
    <row r="282" spans="1:49" x14ac:dyDescent="0.3">
      <c r="A282" s="477" t="s">
        <v>508</v>
      </c>
      <c r="B282" s="477" t="s">
        <v>276</v>
      </c>
      <c r="C282" s="475" t="s">
        <v>97</v>
      </c>
      <c r="D282" s="471" t="s">
        <v>198</v>
      </c>
      <c r="E282" s="484" t="s">
        <v>162</v>
      </c>
      <c r="F282" s="471">
        <f>VLOOKUP(E282,'[2]условия, ФОТ'!$A$14:$I$28,9, FALSE)</f>
        <v>213.84</v>
      </c>
      <c r="G282" s="478">
        <v>2</v>
      </c>
      <c r="H282" s="471">
        <f t="shared" si="146"/>
        <v>427.68</v>
      </c>
      <c r="I282" s="471">
        <f t="shared" si="94"/>
        <v>129.16</v>
      </c>
      <c r="J282" s="471">
        <f t="shared" si="147"/>
        <v>556.84</v>
      </c>
      <c r="K282" s="479"/>
      <c r="L282" s="471"/>
      <c r="M282" s="471"/>
      <c r="N282" s="471"/>
      <c r="O282" s="471"/>
      <c r="P282" s="471">
        <f t="shared" si="148"/>
        <v>556.84</v>
      </c>
      <c r="Q282" s="471">
        <f t="shared" si="136"/>
        <v>370.3</v>
      </c>
      <c r="R282" s="472">
        <f t="shared" si="145"/>
        <v>997.5</v>
      </c>
      <c r="S282" s="472">
        <f t="shared" si="137"/>
        <v>199.5</v>
      </c>
      <c r="T282" s="472">
        <f t="shared" si="138"/>
        <v>1197</v>
      </c>
      <c r="U282" s="269">
        <v>841</v>
      </c>
      <c r="V282" s="336">
        <f t="shared" si="149"/>
        <v>42.330558858501774</v>
      </c>
      <c r="W282" s="498">
        <v>1011</v>
      </c>
      <c r="X282" s="470">
        <f t="shared" si="139"/>
        <v>18.397626112759639</v>
      </c>
      <c r="Y282" s="499">
        <v>7.6300000000000007E-2</v>
      </c>
      <c r="Z282" s="487" t="e">
        <f>#REF!*Y282</f>
        <v>#REF!</v>
      </c>
      <c r="AB282" s="235">
        <v>896.47800000000007</v>
      </c>
      <c r="AC282" s="467"/>
      <c r="AD282" s="500">
        <f t="shared" si="140"/>
        <v>186</v>
      </c>
      <c r="AE282" s="284"/>
      <c r="AG282" s="466">
        <v>-3.0499999999999999E-2</v>
      </c>
      <c r="AH282" s="285">
        <f t="shared" si="150"/>
        <v>1.0305</v>
      </c>
      <c r="AI282" s="285">
        <v>1.0660000000000001</v>
      </c>
      <c r="AK282" s="286">
        <f t="shared" si="141"/>
        <v>1077.73</v>
      </c>
      <c r="AM282" s="466">
        <v>1.034</v>
      </c>
      <c r="AN282" s="337">
        <v>-3.0499999999999999E-2</v>
      </c>
      <c r="AO282" s="285" t="e">
        <f>#REF!-AM282</f>
        <v>#REF!</v>
      </c>
      <c r="AQ282" s="288">
        <f t="shared" si="142"/>
        <v>0.10680000000000001</v>
      </c>
      <c r="AR282" s="467">
        <v>970</v>
      </c>
      <c r="AS282" s="127" t="b">
        <f t="shared" si="143"/>
        <v>0</v>
      </c>
      <c r="AT282" s="289" t="e">
        <f>ROUND(W282/T282*100-100,2)+#REF!</f>
        <v>#REF!</v>
      </c>
      <c r="AW282">
        <f t="shared" si="144"/>
        <v>1.1839999999999999</v>
      </c>
    </row>
    <row r="283" spans="1:49" x14ac:dyDescent="0.3">
      <c r="A283" s="477" t="s">
        <v>509</v>
      </c>
      <c r="B283" s="477" t="s">
        <v>277</v>
      </c>
      <c r="C283" s="475" t="s">
        <v>98</v>
      </c>
      <c r="D283" s="471" t="s">
        <v>198</v>
      </c>
      <c r="E283" s="484" t="s">
        <v>162</v>
      </c>
      <c r="F283" s="471">
        <f>VLOOKUP(E283,'[2]условия, ФОТ'!$A$14:$I$28,9, FALSE)</f>
        <v>213.84</v>
      </c>
      <c r="G283" s="478">
        <v>0.35</v>
      </c>
      <c r="H283" s="471">
        <f t="shared" si="146"/>
        <v>74.84</v>
      </c>
      <c r="I283" s="471">
        <f t="shared" si="94"/>
        <v>22.6</v>
      </c>
      <c r="J283" s="471">
        <f t="shared" si="147"/>
        <v>97.44</v>
      </c>
      <c r="K283" s="479"/>
      <c r="L283" s="471"/>
      <c r="M283" s="471"/>
      <c r="N283" s="471"/>
      <c r="O283" s="471"/>
      <c r="P283" s="471">
        <f t="shared" si="148"/>
        <v>97.44</v>
      </c>
      <c r="Q283" s="471">
        <f t="shared" si="136"/>
        <v>64.8</v>
      </c>
      <c r="R283" s="472">
        <f t="shared" si="145"/>
        <v>175</v>
      </c>
      <c r="S283" s="472">
        <f t="shared" si="137"/>
        <v>35</v>
      </c>
      <c r="T283" s="472">
        <f t="shared" si="138"/>
        <v>210</v>
      </c>
      <c r="U283" s="269">
        <v>147</v>
      </c>
      <c r="V283" s="336">
        <f t="shared" si="149"/>
        <v>42.857142857142861</v>
      </c>
      <c r="W283" s="498">
        <v>177</v>
      </c>
      <c r="X283" s="470">
        <f t="shared" si="139"/>
        <v>18.644067796610159</v>
      </c>
      <c r="Y283" s="499">
        <v>7.7799999999999994E-2</v>
      </c>
      <c r="Z283" s="487" t="e">
        <f>#REF!*Y283</f>
        <v>#REF!</v>
      </c>
      <c r="AB283" s="235">
        <v>157.16800000000001</v>
      </c>
      <c r="AC283" s="467"/>
      <c r="AD283" s="500">
        <f t="shared" si="140"/>
        <v>33</v>
      </c>
      <c r="AE283" s="284"/>
      <c r="AG283" s="466">
        <v>-2.87E-2</v>
      </c>
      <c r="AH283" s="285">
        <f t="shared" si="150"/>
        <v>1.0286999999999999</v>
      </c>
      <c r="AI283" s="285">
        <v>1.0640000000000001</v>
      </c>
      <c r="AK283" s="286">
        <f t="shared" si="141"/>
        <v>188.33</v>
      </c>
      <c r="AM283" s="466">
        <v>1.034</v>
      </c>
      <c r="AN283" s="337">
        <v>-2.87E-2</v>
      </c>
      <c r="AO283" s="285" t="e">
        <f>#REF!-AM283</f>
        <v>#REF!</v>
      </c>
      <c r="AQ283" s="288">
        <f t="shared" si="142"/>
        <v>0.1065</v>
      </c>
      <c r="AR283" s="467">
        <v>170</v>
      </c>
      <c r="AS283" s="127" t="b">
        <f t="shared" si="143"/>
        <v>0</v>
      </c>
      <c r="AT283" s="289" t="e">
        <f>ROUND(W283/T283*100-100,2)+#REF!</f>
        <v>#REF!</v>
      </c>
      <c r="AW283">
        <f t="shared" si="144"/>
        <v>1.1859999999999999</v>
      </c>
    </row>
    <row r="284" spans="1:49" x14ac:dyDescent="0.3">
      <c r="A284" s="477" t="s">
        <v>510</v>
      </c>
      <c r="B284" s="477" t="s">
        <v>278</v>
      </c>
      <c r="C284" s="475" t="s">
        <v>99</v>
      </c>
      <c r="D284" s="471" t="s">
        <v>198</v>
      </c>
      <c r="E284" s="484" t="s">
        <v>162</v>
      </c>
      <c r="F284" s="471">
        <f>VLOOKUP(E284,'[2]условия, ФОТ'!$A$14:$I$28,9, FALSE)</f>
        <v>213.84</v>
      </c>
      <c r="G284" s="478">
        <v>0.65</v>
      </c>
      <c r="H284" s="471">
        <f t="shared" si="146"/>
        <v>139</v>
      </c>
      <c r="I284" s="471">
        <f t="shared" si="94"/>
        <v>41.98</v>
      </c>
      <c r="J284" s="471">
        <f t="shared" si="147"/>
        <v>180.98</v>
      </c>
      <c r="K284" s="479"/>
      <c r="L284" s="471"/>
      <c r="M284" s="471"/>
      <c r="N284" s="471"/>
      <c r="O284" s="471"/>
      <c r="P284" s="471">
        <f t="shared" si="148"/>
        <v>180.98</v>
      </c>
      <c r="Q284" s="471">
        <f t="shared" si="136"/>
        <v>120.35</v>
      </c>
      <c r="R284" s="472">
        <f t="shared" si="145"/>
        <v>325</v>
      </c>
      <c r="S284" s="472">
        <f t="shared" si="137"/>
        <v>65</v>
      </c>
      <c r="T284" s="472">
        <f t="shared" si="138"/>
        <v>390</v>
      </c>
      <c r="U284" s="269">
        <v>273</v>
      </c>
      <c r="V284" s="336">
        <f t="shared" si="149"/>
        <v>42.857142857142861</v>
      </c>
      <c r="W284" s="498">
        <v>329</v>
      </c>
      <c r="X284" s="470">
        <f t="shared" si="139"/>
        <v>18.541033434650458</v>
      </c>
      <c r="Y284" s="499">
        <v>7.8799999999999995E-2</v>
      </c>
      <c r="Z284" s="487" t="e">
        <f>#REF!*Y284</f>
        <v>#REF!</v>
      </c>
      <c r="AB284" s="235">
        <v>291.58800000000002</v>
      </c>
      <c r="AC284" s="467"/>
      <c r="AD284" s="500">
        <f t="shared" si="140"/>
        <v>61</v>
      </c>
      <c r="AE284" s="284"/>
      <c r="AG284" s="466">
        <v>-2.9700000000000001E-2</v>
      </c>
      <c r="AH284" s="285">
        <f t="shared" si="150"/>
        <v>1.0297000000000001</v>
      </c>
      <c r="AI284" s="285">
        <v>1.0649999999999999</v>
      </c>
      <c r="AK284" s="286">
        <f t="shared" si="141"/>
        <v>350.39</v>
      </c>
      <c r="AM284" s="466">
        <v>1.034</v>
      </c>
      <c r="AN284" s="337">
        <v>-2.9700000000000001E-2</v>
      </c>
      <c r="AO284" s="285" t="e">
        <f>#REF!-AM284</f>
        <v>#REF!</v>
      </c>
      <c r="AQ284" s="288">
        <f t="shared" si="142"/>
        <v>0.1085</v>
      </c>
      <c r="AR284" s="467">
        <v>316</v>
      </c>
      <c r="AS284" s="127" t="b">
        <f t="shared" si="143"/>
        <v>0</v>
      </c>
      <c r="AT284" s="289" t="e">
        <f>ROUND(W284/T284*100-100,2)+#REF!</f>
        <v>#REF!</v>
      </c>
      <c r="AW284">
        <f t="shared" si="144"/>
        <v>1.1850000000000001</v>
      </c>
    </row>
    <row r="285" spans="1:49" x14ac:dyDescent="0.3">
      <c r="A285" s="477" t="s">
        <v>511</v>
      </c>
      <c r="B285" s="477" t="s">
        <v>279</v>
      </c>
      <c r="C285" s="475" t="s">
        <v>100</v>
      </c>
      <c r="D285" s="471" t="s">
        <v>198</v>
      </c>
      <c r="E285" s="484" t="s">
        <v>162</v>
      </c>
      <c r="F285" s="471">
        <f>VLOOKUP(E285,'[2]условия, ФОТ'!$A$14:$I$28,9, FALSE)</f>
        <v>213.84</v>
      </c>
      <c r="G285" s="478">
        <v>1</v>
      </c>
      <c r="H285" s="471">
        <f t="shared" si="146"/>
        <v>213.84</v>
      </c>
      <c r="I285" s="471">
        <f t="shared" si="94"/>
        <v>64.58</v>
      </c>
      <c r="J285" s="471">
        <f t="shared" si="147"/>
        <v>278.42</v>
      </c>
      <c r="K285" s="479"/>
      <c r="L285" s="471"/>
      <c r="M285" s="471"/>
      <c r="N285" s="471"/>
      <c r="O285" s="471"/>
      <c r="P285" s="471">
        <f t="shared" si="148"/>
        <v>278.42</v>
      </c>
      <c r="Q285" s="471">
        <f t="shared" si="136"/>
        <v>185.15</v>
      </c>
      <c r="R285" s="472">
        <f t="shared" si="145"/>
        <v>499.17</v>
      </c>
      <c r="S285" s="472">
        <f t="shared" si="137"/>
        <v>99.83</v>
      </c>
      <c r="T285" s="472">
        <f t="shared" si="138"/>
        <v>599</v>
      </c>
      <c r="U285" s="269">
        <v>420</v>
      </c>
      <c r="V285" s="336">
        <f t="shared" si="149"/>
        <v>42.61904761904762</v>
      </c>
      <c r="W285" s="498">
        <v>505</v>
      </c>
      <c r="X285" s="470">
        <f t="shared" si="139"/>
        <v>18.613861386138609</v>
      </c>
      <c r="Y285" s="499">
        <v>7.6300000000000007E-2</v>
      </c>
      <c r="Z285" s="487" t="e">
        <f>#REF!*Y285</f>
        <v>#REF!</v>
      </c>
      <c r="AB285" s="235">
        <v>448.75600000000003</v>
      </c>
      <c r="AC285" s="467"/>
      <c r="AD285" s="500">
        <f t="shared" si="140"/>
        <v>94</v>
      </c>
      <c r="AE285" s="284"/>
      <c r="AG285" s="466">
        <v>-2.9399999999999999E-2</v>
      </c>
      <c r="AH285" s="285">
        <f t="shared" si="150"/>
        <v>1.0294000000000001</v>
      </c>
      <c r="AI285" s="285">
        <v>1.0640000000000001</v>
      </c>
      <c r="AK285" s="286">
        <f t="shared" si="141"/>
        <v>537.32000000000005</v>
      </c>
      <c r="AM285" s="466">
        <v>1.034</v>
      </c>
      <c r="AN285" s="337">
        <v>-2.9399999999999999E-2</v>
      </c>
      <c r="AO285" s="285" t="e">
        <f>#REF!-AM285</f>
        <v>#REF!</v>
      </c>
      <c r="AQ285" s="288">
        <f t="shared" si="142"/>
        <v>0.1057</v>
      </c>
      <c r="AR285" s="467">
        <v>485</v>
      </c>
      <c r="AS285" s="127" t="b">
        <f t="shared" si="143"/>
        <v>0</v>
      </c>
      <c r="AT285" s="289" t="e">
        <f>ROUND(W285/T285*100-100,2)+#REF!</f>
        <v>#REF!</v>
      </c>
      <c r="AW285">
        <f t="shared" si="144"/>
        <v>1.1859999999999999</v>
      </c>
    </row>
    <row r="286" spans="1:49" x14ac:dyDescent="0.3">
      <c r="A286" s="477" t="s">
        <v>512</v>
      </c>
      <c r="B286" s="477" t="s">
        <v>280</v>
      </c>
      <c r="C286" s="475" t="s">
        <v>101</v>
      </c>
      <c r="D286" s="471" t="s">
        <v>198</v>
      </c>
      <c r="E286" s="484" t="s">
        <v>162</v>
      </c>
      <c r="F286" s="471">
        <f>VLOOKUP(E286,'[2]условия, ФОТ'!$A$14:$I$28,9, FALSE)</f>
        <v>213.84</v>
      </c>
      <c r="G286" s="478">
        <v>0.66</v>
      </c>
      <c r="H286" s="471">
        <f t="shared" si="146"/>
        <v>141.13</v>
      </c>
      <c r="I286" s="471">
        <f t="shared" si="94"/>
        <v>42.62</v>
      </c>
      <c r="J286" s="471">
        <f t="shared" si="147"/>
        <v>183.75</v>
      </c>
      <c r="K286" s="479"/>
      <c r="L286" s="471"/>
      <c r="M286" s="471"/>
      <c r="N286" s="471"/>
      <c r="O286" s="471"/>
      <c r="P286" s="471">
        <f t="shared" si="148"/>
        <v>183.75</v>
      </c>
      <c r="Q286" s="471">
        <f t="shared" si="136"/>
        <v>122.19</v>
      </c>
      <c r="R286" s="472">
        <f t="shared" si="145"/>
        <v>329.17</v>
      </c>
      <c r="S286" s="472">
        <f t="shared" si="137"/>
        <v>65.83</v>
      </c>
      <c r="T286" s="472">
        <f t="shared" si="138"/>
        <v>395</v>
      </c>
      <c r="U286" s="269">
        <v>277</v>
      </c>
      <c r="V286" s="336">
        <f t="shared" si="149"/>
        <v>42.599277978339359</v>
      </c>
      <c r="W286" s="498">
        <v>333</v>
      </c>
      <c r="X286" s="470">
        <f t="shared" si="139"/>
        <v>18.618618618618626</v>
      </c>
      <c r="Y286" s="499">
        <v>7.5899999999999995E-2</v>
      </c>
      <c r="Z286" s="487" t="e">
        <f>#REF!*Y286</f>
        <v>#REF!</v>
      </c>
      <c r="AB286" s="235">
        <v>295.72399999999999</v>
      </c>
      <c r="AC286" s="467"/>
      <c r="AD286" s="500">
        <f t="shared" si="140"/>
        <v>62</v>
      </c>
      <c r="AE286" s="284"/>
      <c r="AG286" s="466">
        <v>-3.0800000000000001E-2</v>
      </c>
      <c r="AH286" s="285">
        <f t="shared" si="150"/>
        <v>1.0307999999999999</v>
      </c>
      <c r="AI286" s="285">
        <v>1.0660000000000001</v>
      </c>
      <c r="AK286" s="286">
        <f t="shared" si="141"/>
        <v>354.98</v>
      </c>
      <c r="AM286" s="466">
        <v>1.034</v>
      </c>
      <c r="AN286" s="337">
        <v>-3.0800000000000001E-2</v>
      </c>
      <c r="AO286" s="285" t="e">
        <f>#REF!-AM286</f>
        <v>#REF!</v>
      </c>
      <c r="AQ286" s="288">
        <f t="shared" si="142"/>
        <v>0.10669999999999999</v>
      </c>
      <c r="AR286" s="467">
        <v>320</v>
      </c>
      <c r="AS286" s="127" t="b">
        <f t="shared" si="143"/>
        <v>0</v>
      </c>
      <c r="AT286" s="289" t="e">
        <f>ROUND(W286/T286*100-100,2)+#REF!</f>
        <v>#REF!</v>
      </c>
      <c r="AW286">
        <f t="shared" si="144"/>
        <v>1.1859999999999999</v>
      </c>
    </row>
    <row r="287" spans="1:49" x14ac:dyDescent="0.3">
      <c r="A287" s="477" t="s">
        <v>513</v>
      </c>
      <c r="B287" s="477" t="s">
        <v>27</v>
      </c>
      <c r="C287" s="475" t="s">
        <v>102</v>
      </c>
      <c r="D287" s="471" t="s">
        <v>198</v>
      </c>
      <c r="E287" s="484" t="s">
        <v>162</v>
      </c>
      <c r="F287" s="471">
        <f>VLOOKUP(E287,'[2]условия, ФОТ'!$A$14:$I$28,9, FALSE)</f>
        <v>213.84</v>
      </c>
      <c r="G287" s="478">
        <v>0.1</v>
      </c>
      <c r="H287" s="471">
        <f t="shared" si="146"/>
        <v>21.38</v>
      </c>
      <c r="I287" s="471">
        <f t="shared" si="94"/>
        <v>6.46</v>
      </c>
      <c r="J287" s="471">
        <f t="shared" si="147"/>
        <v>27.84</v>
      </c>
      <c r="K287" s="479"/>
      <c r="L287" s="471"/>
      <c r="M287" s="471"/>
      <c r="N287" s="471"/>
      <c r="O287" s="471"/>
      <c r="P287" s="471">
        <f t="shared" si="148"/>
        <v>27.84</v>
      </c>
      <c r="Q287" s="471">
        <f t="shared" si="136"/>
        <v>18.510000000000002</v>
      </c>
      <c r="R287" s="472">
        <f t="shared" si="145"/>
        <v>50</v>
      </c>
      <c r="S287" s="472">
        <f>ROUND(R287*$S$5,2)</f>
        <v>10</v>
      </c>
      <c r="T287" s="472">
        <f t="shared" si="138"/>
        <v>60</v>
      </c>
      <c r="U287" s="269">
        <v>42</v>
      </c>
      <c r="V287" s="336">
        <f t="shared" si="149"/>
        <v>42.857142857142861</v>
      </c>
      <c r="W287" s="498">
        <v>51</v>
      </c>
      <c r="X287" s="470">
        <f t="shared" si="139"/>
        <v>17.64705882352942</v>
      </c>
      <c r="Y287" s="499">
        <v>8.7300000000000003E-2</v>
      </c>
      <c r="Z287" s="487" t="e">
        <f>#REF!*Y287</f>
        <v>#REF!</v>
      </c>
      <c r="AB287" s="235">
        <v>44.462000000000003</v>
      </c>
      <c r="AC287" s="467"/>
      <c r="AD287" s="500">
        <f t="shared" si="140"/>
        <v>9</v>
      </c>
      <c r="AE287" s="284"/>
      <c r="AG287" s="466">
        <v>-3.8100000000000002E-2</v>
      </c>
      <c r="AH287" s="285">
        <f t="shared" si="150"/>
        <v>1.0381</v>
      </c>
      <c r="AI287" s="285">
        <v>1.073</v>
      </c>
      <c r="AK287" s="286">
        <f t="shared" si="141"/>
        <v>54.72</v>
      </c>
      <c r="AM287" s="466">
        <v>1.034</v>
      </c>
      <c r="AN287" s="337">
        <v>-3.8100000000000002E-2</v>
      </c>
      <c r="AO287" s="285" t="e">
        <f>#REF!-AM287</f>
        <v>#REF!</v>
      </c>
      <c r="AQ287" s="288">
        <f t="shared" si="142"/>
        <v>0.12540000000000001</v>
      </c>
      <c r="AR287" s="467">
        <v>49</v>
      </c>
      <c r="AS287" s="127" t="b">
        <f t="shared" si="143"/>
        <v>0</v>
      </c>
      <c r="AT287" s="289" t="e">
        <f>ROUND(W287/T287*100-100,2)+#REF!</f>
        <v>#REF!</v>
      </c>
      <c r="AW287">
        <f t="shared" si="144"/>
        <v>1.1759999999999999</v>
      </c>
    </row>
    <row r="288" spans="1:49" x14ac:dyDescent="0.3">
      <c r="A288" s="477" t="s">
        <v>514</v>
      </c>
      <c r="B288" s="477" t="s">
        <v>27</v>
      </c>
      <c r="C288" s="475" t="s">
        <v>103</v>
      </c>
      <c r="D288" s="471" t="s">
        <v>198</v>
      </c>
      <c r="E288" s="484" t="s">
        <v>283</v>
      </c>
      <c r="F288" s="471">
        <f>VLOOKUP(E288,'[2]условия, ФОТ'!$A$14:$I$28,9, FALSE)</f>
        <v>225.29</v>
      </c>
      <c r="G288" s="478">
        <v>0.25</v>
      </c>
      <c r="H288" s="471">
        <f t="shared" si="146"/>
        <v>56.32</v>
      </c>
      <c r="I288" s="471">
        <f t="shared" si="94"/>
        <v>17.010000000000002</v>
      </c>
      <c r="J288" s="471">
        <f t="shared" si="147"/>
        <v>73.33</v>
      </c>
      <c r="K288" s="479"/>
      <c r="L288" s="471"/>
      <c r="M288" s="471"/>
      <c r="N288" s="471"/>
      <c r="O288" s="471"/>
      <c r="P288" s="471">
        <f t="shared" si="148"/>
        <v>73.33</v>
      </c>
      <c r="Q288" s="471">
        <f t="shared" si="136"/>
        <v>48.76</v>
      </c>
      <c r="R288" s="472">
        <f t="shared" si="145"/>
        <v>137.5</v>
      </c>
      <c r="S288" s="472">
        <f t="shared" si="137"/>
        <v>27.5</v>
      </c>
      <c r="T288" s="472">
        <f t="shared" si="138"/>
        <v>165</v>
      </c>
      <c r="U288" s="269">
        <v>119</v>
      </c>
      <c r="V288" s="336">
        <f t="shared" si="149"/>
        <v>38.655462184873954</v>
      </c>
      <c r="W288" s="498">
        <v>132</v>
      </c>
      <c r="X288" s="470">
        <f t="shared" si="139"/>
        <v>25</v>
      </c>
      <c r="Y288" s="499">
        <v>0.12709999999999999</v>
      </c>
      <c r="Z288" s="487" t="e">
        <f>#REF!*Y288</f>
        <v>#REF!</v>
      </c>
      <c r="AB288" s="235">
        <v>127.182</v>
      </c>
      <c r="AC288" s="467"/>
      <c r="AD288" s="500">
        <f t="shared" si="140"/>
        <v>33</v>
      </c>
      <c r="AE288" s="284"/>
      <c r="AG288" s="466">
        <v>0.1002</v>
      </c>
      <c r="AH288" s="285">
        <f t="shared" si="150"/>
        <v>0.1002</v>
      </c>
      <c r="AI288" s="285">
        <v>0</v>
      </c>
      <c r="AK288" s="286"/>
      <c r="AM288" s="466">
        <v>1.034</v>
      </c>
      <c r="AN288" s="337">
        <v>0.1002</v>
      </c>
      <c r="AO288" s="285" t="e">
        <f>#REF!-AM288</f>
        <v>#REF!</v>
      </c>
      <c r="AQ288" s="288">
        <f t="shared" si="142"/>
        <v>2.6899999999999993E-2</v>
      </c>
      <c r="AR288" s="467">
        <v>127</v>
      </c>
      <c r="AS288" s="127" t="b">
        <f t="shared" si="143"/>
        <v>0</v>
      </c>
      <c r="AT288" s="289" t="e">
        <f>ROUND(W288/T288*100-100,2)+#REF!</f>
        <v>#REF!</v>
      </c>
      <c r="AW288">
        <f t="shared" si="144"/>
        <v>1.25</v>
      </c>
    </row>
    <row r="289" spans="1:49" x14ac:dyDescent="0.3">
      <c r="A289" s="477" t="s">
        <v>515</v>
      </c>
      <c r="B289" s="477" t="s">
        <v>27</v>
      </c>
      <c r="C289" s="475" t="s">
        <v>104</v>
      </c>
      <c r="D289" s="471" t="s">
        <v>198</v>
      </c>
      <c r="E289" s="484" t="s">
        <v>283</v>
      </c>
      <c r="F289" s="471">
        <f>VLOOKUP(E289,'[2]условия, ФОТ'!$A$14:$I$28,9, FALSE)</f>
        <v>225.29</v>
      </c>
      <c r="G289" s="478">
        <v>0.25</v>
      </c>
      <c r="H289" s="471">
        <f t="shared" si="146"/>
        <v>56.32</v>
      </c>
      <c r="I289" s="471">
        <f t="shared" si="94"/>
        <v>17.010000000000002</v>
      </c>
      <c r="J289" s="471">
        <f t="shared" si="147"/>
        <v>73.33</v>
      </c>
      <c r="K289" s="479"/>
      <c r="L289" s="471"/>
      <c r="M289" s="471"/>
      <c r="N289" s="471"/>
      <c r="O289" s="471"/>
      <c r="P289" s="471">
        <f t="shared" si="148"/>
        <v>73.33</v>
      </c>
      <c r="Q289" s="471">
        <f t="shared" si="136"/>
        <v>48.76</v>
      </c>
      <c r="R289" s="472">
        <f t="shared" si="145"/>
        <v>137.5</v>
      </c>
      <c r="S289" s="472">
        <f t="shared" si="137"/>
        <v>27.5</v>
      </c>
      <c r="T289" s="472">
        <f t="shared" si="138"/>
        <v>165</v>
      </c>
      <c r="U289" s="269">
        <v>119</v>
      </c>
      <c r="V289" s="336">
        <f t="shared" si="149"/>
        <v>38.655462184873954</v>
      </c>
      <c r="W289" s="498">
        <v>132</v>
      </c>
      <c r="X289" s="470">
        <f t="shared" si="139"/>
        <v>25</v>
      </c>
      <c r="Y289" s="499">
        <v>0.12709999999999999</v>
      </c>
      <c r="Z289" s="487" t="e">
        <f>#REF!*Y289</f>
        <v>#REF!</v>
      </c>
      <c r="AB289" s="235">
        <v>127.182</v>
      </c>
      <c r="AC289" s="467"/>
      <c r="AD289" s="500">
        <f t="shared" si="140"/>
        <v>33</v>
      </c>
      <c r="AE289" s="284"/>
      <c r="AG289" s="466">
        <v>0.1002</v>
      </c>
      <c r="AH289" s="285">
        <f t="shared" si="150"/>
        <v>0.1002</v>
      </c>
      <c r="AI289" s="285">
        <v>0</v>
      </c>
      <c r="AK289" s="286"/>
      <c r="AM289" s="466">
        <v>1.034</v>
      </c>
      <c r="AN289" s="337">
        <v>0.1002</v>
      </c>
      <c r="AO289" s="285" t="e">
        <f>#REF!-AM289</f>
        <v>#REF!</v>
      </c>
      <c r="AQ289" s="288">
        <f t="shared" si="142"/>
        <v>2.6899999999999993E-2</v>
      </c>
      <c r="AR289" s="467">
        <v>127</v>
      </c>
      <c r="AS289" s="127" t="b">
        <f t="shared" si="143"/>
        <v>0</v>
      </c>
      <c r="AT289" s="289" t="e">
        <f>ROUND(W289/T289*100-100,2)+#REF!</f>
        <v>#REF!</v>
      </c>
      <c r="AW289">
        <f t="shared" si="144"/>
        <v>1.25</v>
      </c>
    </row>
    <row r="290" spans="1:49" ht="25.5" x14ac:dyDescent="0.3">
      <c r="A290" s="477" t="s">
        <v>516</v>
      </c>
      <c r="B290" s="477" t="s">
        <v>27</v>
      </c>
      <c r="C290" s="475" t="s">
        <v>105</v>
      </c>
      <c r="D290" s="471" t="s">
        <v>198</v>
      </c>
      <c r="E290" s="484" t="s">
        <v>283</v>
      </c>
      <c r="F290" s="471">
        <f>VLOOKUP(E290,'[2]условия, ФОТ'!$A$14:$I$28,9, FALSE)</f>
        <v>225.29</v>
      </c>
      <c r="G290" s="478">
        <v>0.33</v>
      </c>
      <c r="H290" s="471">
        <f t="shared" si="146"/>
        <v>74.349999999999994</v>
      </c>
      <c r="I290" s="471">
        <f t="shared" si="94"/>
        <v>22.45</v>
      </c>
      <c r="J290" s="471">
        <f t="shared" si="147"/>
        <v>96.8</v>
      </c>
      <c r="K290" s="479"/>
      <c r="L290" s="471"/>
      <c r="M290" s="471"/>
      <c r="N290" s="471"/>
      <c r="O290" s="471"/>
      <c r="P290" s="471">
        <f t="shared" si="148"/>
        <v>96.8</v>
      </c>
      <c r="Q290" s="471">
        <f t="shared" si="136"/>
        <v>64.37</v>
      </c>
      <c r="R290" s="472">
        <f t="shared" si="145"/>
        <v>181.67</v>
      </c>
      <c r="S290" s="472">
        <f t="shared" si="137"/>
        <v>36.33</v>
      </c>
      <c r="T290" s="472">
        <f t="shared" si="138"/>
        <v>218</v>
      </c>
      <c r="U290" s="269">
        <v>157</v>
      </c>
      <c r="V290" s="336">
        <f t="shared" si="149"/>
        <v>38.853503184713361</v>
      </c>
      <c r="W290" s="498">
        <v>175</v>
      </c>
      <c r="X290" s="470">
        <f t="shared" si="139"/>
        <v>24.571428571428584</v>
      </c>
      <c r="Y290" s="499">
        <v>0.12959999999999999</v>
      </c>
      <c r="Z290" s="487" t="e">
        <f>#REF!*Y290</f>
        <v>#REF!</v>
      </c>
      <c r="AB290" s="235">
        <v>167.50800000000001</v>
      </c>
      <c r="AC290" s="467"/>
      <c r="AD290" s="500">
        <f t="shared" si="140"/>
        <v>43</v>
      </c>
      <c r="AE290" s="284"/>
      <c r="AG290" s="466">
        <v>9.7900000000000001E-2</v>
      </c>
      <c r="AH290" s="285">
        <f t="shared" si="150"/>
        <v>9.7900000000000001E-2</v>
      </c>
      <c r="AI290" s="285">
        <v>0</v>
      </c>
      <c r="AK290" s="286"/>
      <c r="AM290" s="466">
        <v>1.034</v>
      </c>
      <c r="AN290" s="337">
        <v>9.7900000000000001E-2</v>
      </c>
      <c r="AO290" s="285" t="e">
        <f>#REF!-AM290</f>
        <v>#REF!</v>
      </c>
      <c r="AQ290" s="288">
        <f t="shared" si="142"/>
        <v>3.1699999999999992E-2</v>
      </c>
      <c r="AR290" s="467">
        <v>168</v>
      </c>
      <c r="AS290" s="127" t="b">
        <f t="shared" si="143"/>
        <v>0</v>
      </c>
      <c r="AT290" s="289" t="e">
        <f>ROUND(W290/T290*100-100,2)+#REF!</f>
        <v>#REF!</v>
      </c>
      <c r="AW290">
        <f t="shared" si="144"/>
        <v>1.246</v>
      </c>
    </row>
    <row r="291" spans="1:49" ht="22.7" customHeight="1" x14ac:dyDescent="0.3">
      <c r="A291" s="477" t="s">
        <v>517</v>
      </c>
      <c r="B291" s="477" t="s">
        <v>27</v>
      </c>
      <c r="C291" s="475" t="s">
        <v>106</v>
      </c>
      <c r="D291" s="471" t="s">
        <v>198</v>
      </c>
      <c r="E291" s="484" t="s">
        <v>283</v>
      </c>
      <c r="F291" s="471">
        <f>VLOOKUP(E291,'[2]условия, ФОТ'!$A$14:$I$28,9, FALSE)</f>
        <v>225.29</v>
      </c>
      <c r="G291" s="478">
        <v>0.33</v>
      </c>
      <c r="H291" s="471">
        <f t="shared" si="146"/>
        <v>74.349999999999994</v>
      </c>
      <c r="I291" s="471">
        <f t="shared" si="94"/>
        <v>22.45</v>
      </c>
      <c r="J291" s="471">
        <f t="shared" si="147"/>
        <v>96.8</v>
      </c>
      <c r="K291" s="479"/>
      <c r="L291" s="471"/>
      <c r="M291" s="471"/>
      <c r="N291" s="471"/>
      <c r="O291" s="471"/>
      <c r="P291" s="471">
        <f t="shared" si="148"/>
        <v>96.8</v>
      </c>
      <c r="Q291" s="471">
        <f t="shared" si="136"/>
        <v>64.37</v>
      </c>
      <c r="R291" s="472">
        <f t="shared" si="145"/>
        <v>181.67</v>
      </c>
      <c r="S291" s="472">
        <f t="shared" si="137"/>
        <v>36.33</v>
      </c>
      <c r="T291" s="472">
        <f t="shared" si="138"/>
        <v>218</v>
      </c>
      <c r="U291" s="269">
        <v>157</v>
      </c>
      <c r="V291" s="336">
        <f t="shared" si="149"/>
        <v>38.853503184713361</v>
      </c>
      <c r="W291" s="498">
        <v>175</v>
      </c>
      <c r="X291" s="470">
        <f t="shared" si="139"/>
        <v>24.571428571428584</v>
      </c>
      <c r="Y291" s="499">
        <v>0.12959999999999999</v>
      </c>
      <c r="Z291" s="487" t="e">
        <f>#REF!*Y291</f>
        <v>#REF!</v>
      </c>
      <c r="AB291" s="235">
        <v>167.50800000000001</v>
      </c>
      <c r="AC291" s="467"/>
      <c r="AD291" s="500">
        <f t="shared" si="140"/>
        <v>43</v>
      </c>
      <c r="AE291" s="284"/>
      <c r="AG291" s="466">
        <v>9.7900000000000001E-2</v>
      </c>
      <c r="AH291" s="285">
        <f t="shared" si="150"/>
        <v>9.7900000000000001E-2</v>
      </c>
      <c r="AI291" s="285">
        <v>0</v>
      </c>
      <c r="AK291" s="286"/>
      <c r="AM291" s="466">
        <v>1.034</v>
      </c>
      <c r="AN291" s="337">
        <v>9.7900000000000001E-2</v>
      </c>
      <c r="AO291" s="285" t="e">
        <f>#REF!-AM291</f>
        <v>#REF!</v>
      </c>
      <c r="AQ291" s="288">
        <f t="shared" si="142"/>
        <v>3.1699999999999992E-2</v>
      </c>
      <c r="AR291" s="467">
        <v>168</v>
      </c>
      <c r="AS291" s="127" t="b">
        <f t="shared" si="143"/>
        <v>0</v>
      </c>
      <c r="AT291" s="289" t="e">
        <f>ROUND(W291/T291*100-100,2)+#REF!</f>
        <v>#REF!</v>
      </c>
      <c r="AW291">
        <f t="shared" si="144"/>
        <v>1.246</v>
      </c>
    </row>
    <row r="292" spans="1:49" ht="31.7" customHeight="1" x14ac:dyDescent="0.3">
      <c r="A292" s="477" t="s">
        <v>518</v>
      </c>
      <c r="B292" s="477" t="s">
        <v>27</v>
      </c>
      <c r="C292" s="475" t="s">
        <v>107</v>
      </c>
      <c r="D292" s="471" t="s">
        <v>198</v>
      </c>
      <c r="E292" s="484" t="s">
        <v>283</v>
      </c>
      <c r="F292" s="471">
        <f>VLOOKUP(E292,'[2]условия, ФОТ'!$A$14:$I$28,9, FALSE)</f>
        <v>225.29</v>
      </c>
      <c r="G292" s="478">
        <v>0.33</v>
      </c>
      <c r="H292" s="471">
        <f t="shared" si="146"/>
        <v>74.349999999999994</v>
      </c>
      <c r="I292" s="471">
        <f t="shared" si="94"/>
        <v>22.45</v>
      </c>
      <c r="J292" s="471">
        <f t="shared" si="147"/>
        <v>96.8</v>
      </c>
      <c r="K292" s="479"/>
      <c r="L292" s="471"/>
      <c r="M292" s="471"/>
      <c r="N292" s="471"/>
      <c r="O292" s="471"/>
      <c r="P292" s="471">
        <f t="shared" si="148"/>
        <v>96.8</v>
      </c>
      <c r="Q292" s="471">
        <f t="shared" si="136"/>
        <v>64.37</v>
      </c>
      <c r="R292" s="472">
        <f t="shared" si="145"/>
        <v>181.67</v>
      </c>
      <c r="S292" s="472">
        <f t="shared" si="137"/>
        <v>36.33</v>
      </c>
      <c r="T292" s="472">
        <f t="shared" si="138"/>
        <v>218</v>
      </c>
      <c r="U292" s="269">
        <v>157</v>
      </c>
      <c r="V292" s="336">
        <f t="shared" si="149"/>
        <v>38.853503184713361</v>
      </c>
      <c r="W292" s="498">
        <v>175</v>
      </c>
      <c r="X292" s="470">
        <f t="shared" si="139"/>
        <v>24.571428571428584</v>
      </c>
      <c r="Y292" s="499">
        <v>0.12959999999999999</v>
      </c>
      <c r="Z292" s="487" t="e">
        <f>#REF!*Y292</f>
        <v>#REF!</v>
      </c>
      <c r="AB292" s="235">
        <v>167.50800000000001</v>
      </c>
      <c r="AC292" s="467"/>
      <c r="AD292" s="500">
        <f t="shared" si="140"/>
        <v>43</v>
      </c>
      <c r="AE292" s="284"/>
      <c r="AG292" s="466">
        <v>9.7900000000000001E-2</v>
      </c>
      <c r="AH292" s="285">
        <f t="shared" si="150"/>
        <v>9.7900000000000001E-2</v>
      </c>
      <c r="AI292" s="285">
        <v>0</v>
      </c>
      <c r="AK292" s="286"/>
      <c r="AM292" s="466">
        <v>1.034</v>
      </c>
      <c r="AN292" s="337">
        <v>9.7900000000000001E-2</v>
      </c>
      <c r="AO292" s="285" t="e">
        <f>#REF!-AM292</f>
        <v>#REF!</v>
      </c>
      <c r="AQ292" s="288">
        <f t="shared" si="142"/>
        <v>3.1699999999999992E-2</v>
      </c>
      <c r="AR292" s="467">
        <v>168</v>
      </c>
      <c r="AS292" s="127" t="b">
        <f t="shared" si="143"/>
        <v>0</v>
      </c>
      <c r="AT292" s="289" t="e">
        <f>ROUND(W292/T292*100-100,2)+#REF!</f>
        <v>#REF!</v>
      </c>
      <c r="AW292">
        <f t="shared" si="144"/>
        <v>1.246</v>
      </c>
    </row>
    <row r="293" spans="1:49" ht="18" customHeight="1" x14ac:dyDescent="0.3">
      <c r="A293" s="477" t="s">
        <v>519</v>
      </c>
      <c r="B293" s="477" t="s">
        <v>27</v>
      </c>
      <c r="C293" s="475" t="s">
        <v>108</v>
      </c>
      <c r="D293" s="471" t="s">
        <v>198</v>
      </c>
      <c r="E293" s="484" t="s">
        <v>283</v>
      </c>
      <c r="F293" s="471">
        <f>VLOOKUP(E293,'[2]условия, ФОТ'!$A$14:$I$28,9, FALSE)</f>
        <v>225.29</v>
      </c>
      <c r="G293" s="478">
        <v>0.5</v>
      </c>
      <c r="H293" s="471">
        <f t="shared" si="146"/>
        <v>112.65</v>
      </c>
      <c r="I293" s="471">
        <f t="shared" si="94"/>
        <v>34.020000000000003</v>
      </c>
      <c r="J293" s="471">
        <f t="shared" si="147"/>
        <v>146.67000000000002</v>
      </c>
      <c r="K293" s="479"/>
      <c r="L293" s="471"/>
      <c r="M293" s="471"/>
      <c r="N293" s="471"/>
      <c r="O293" s="471"/>
      <c r="P293" s="471">
        <f t="shared" si="148"/>
        <v>146.67000000000002</v>
      </c>
      <c r="Q293" s="471">
        <f t="shared" si="136"/>
        <v>97.54</v>
      </c>
      <c r="R293" s="472">
        <f>ROUND(T293/1.2,2)</f>
        <v>274.17</v>
      </c>
      <c r="S293" s="472">
        <f>ROUND(R293*$S$5,2)</f>
        <v>54.83</v>
      </c>
      <c r="T293" s="472">
        <f t="shared" si="138"/>
        <v>329</v>
      </c>
      <c r="U293" s="269">
        <v>238</v>
      </c>
      <c r="V293" s="336">
        <f t="shared" si="149"/>
        <v>38.235294117647044</v>
      </c>
      <c r="W293" s="498">
        <v>264</v>
      </c>
      <c r="X293" s="470">
        <f t="shared" si="139"/>
        <v>24.62121212121211</v>
      </c>
      <c r="Y293" s="499">
        <v>0.1229</v>
      </c>
      <c r="Z293" s="487" t="e">
        <f>#REF!*Y293</f>
        <v>#REF!</v>
      </c>
      <c r="AB293" s="235">
        <v>253.33</v>
      </c>
      <c r="AC293" s="467"/>
      <c r="AD293" s="500">
        <f t="shared" si="140"/>
        <v>65</v>
      </c>
      <c r="AE293" s="284"/>
      <c r="AG293" s="466">
        <v>9.5799999999999996E-2</v>
      </c>
      <c r="AH293" s="285">
        <f t="shared" si="150"/>
        <v>9.5799999999999996E-2</v>
      </c>
      <c r="AI293" s="285">
        <v>0</v>
      </c>
      <c r="AK293" s="286"/>
      <c r="AM293" s="466">
        <v>1.034</v>
      </c>
      <c r="AN293" s="337">
        <v>9.5799999999999996E-2</v>
      </c>
      <c r="AO293" s="285" t="e">
        <f>#REF!-AM293</f>
        <v>#REF!</v>
      </c>
      <c r="AQ293" s="288">
        <f t="shared" si="142"/>
        <v>2.7099999999999999E-2</v>
      </c>
      <c r="AR293" s="467">
        <v>253</v>
      </c>
      <c r="AS293" s="127" t="b">
        <f t="shared" si="143"/>
        <v>0</v>
      </c>
      <c r="AT293" s="289" t="e">
        <f>ROUND(W293/T293*100-100,2)+#REF!</f>
        <v>#REF!</v>
      </c>
      <c r="AW293">
        <f t="shared" si="144"/>
        <v>1.246</v>
      </c>
    </row>
    <row r="294" spans="1:49" ht="18" customHeight="1" x14ac:dyDescent="0.3">
      <c r="A294" s="727" t="s">
        <v>281</v>
      </c>
      <c r="B294" s="728"/>
      <c r="C294" s="728"/>
      <c r="D294" s="728"/>
      <c r="E294" s="728"/>
      <c r="F294" s="728"/>
      <c r="G294" s="728"/>
      <c r="H294" s="728"/>
      <c r="I294" s="728"/>
      <c r="J294" s="728"/>
      <c r="K294" s="728"/>
      <c r="L294" s="728"/>
      <c r="M294" s="728"/>
      <c r="N294" s="728"/>
      <c r="O294" s="728"/>
      <c r="P294" s="728"/>
      <c r="Q294" s="728"/>
      <c r="R294" s="382"/>
      <c r="S294" s="382"/>
      <c r="T294" s="382"/>
      <c r="U294" s="383"/>
      <c r="V294" s="336"/>
      <c r="W294" s="486"/>
      <c r="X294" s="470"/>
      <c r="Y294" s="499"/>
      <c r="Z294" s="487"/>
      <c r="AC294" s="467"/>
      <c r="AD294" s="468"/>
      <c r="AE294" s="284"/>
      <c r="AG294" s="466"/>
      <c r="AH294" s="285"/>
      <c r="AI294" s="285"/>
      <c r="AK294" s="286"/>
      <c r="AM294" s="466"/>
      <c r="AN294" s="337"/>
      <c r="AO294" s="285"/>
      <c r="AQ294" s="288"/>
      <c r="AR294" s="467"/>
      <c r="AT294" s="289"/>
    </row>
    <row r="295" spans="1:49" ht="30.75" customHeight="1" x14ac:dyDescent="0.3">
      <c r="A295" s="477" t="s">
        <v>520</v>
      </c>
      <c r="B295" s="477" t="s">
        <v>282</v>
      </c>
      <c r="C295" s="475" t="s">
        <v>109</v>
      </c>
      <c r="D295" s="471" t="s">
        <v>26</v>
      </c>
      <c r="E295" s="484" t="s">
        <v>161</v>
      </c>
      <c r="F295" s="471">
        <f>VLOOKUP(E295,'[2]условия, ФОТ'!$A$14:$I$28,9, FALSE)</f>
        <v>206.19</v>
      </c>
      <c r="G295" s="478">
        <v>0.9</v>
      </c>
      <c r="H295" s="471">
        <f>ROUND(F295*G295,2)</f>
        <v>185.57</v>
      </c>
      <c r="I295" s="471">
        <f t="shared" si="94"/>
        <v>56.04</v>
      </c>
      <c r="J295" s="471">
        <f t="shared" si="147"/>
        <v>241.60999999999999</v>
      </c>
      <c r="K295" s="479"/>
      <c r="L295" s="471"/>
      <c r="M295" s="471"/>
      <c r="N295" s="471"/>
      <c r="O295" s="471">
        <f>SUM(O296:O298)</f>
        <v>4.3500000000000005</v>
      </c>
      <c r="P295" s="471">
        <f>J295+O295</f>
        <v>245.95999999999998</v>
      </c>
      <c r="Q295" s="471">
        <f t="shared" si="136"/>
        <v>163.56</v>
      </c>
      <c r="R295" s="472">
        <f>ROUND(T295/1.2,2)</f>
        <v>441.67</v>
      </c>
      <c r="S295" s="472">
        <f t="shared" si="137"/>
        <v>88.33</v>
      </c>
      <c r="T295" s="472">
        <f>ROUND((P295+Q295)*(1+Y295)*1.2,0)</f>
        <v>530</v>
      </c>
      <c r="U295" s="269">
        <v>345</v>
      </c>
      <c r="V295" s="336">
        <f t="shared" si="149"/>
        <v>53.623188405797094</v>
      </c>
      <c r="W295" s="498">
        <v>465</v>
      </c>
      <c r="X295" s="470">
        <f>T295/W295*100-100</f>
        <v>13.978494623655919</v>
      </c>
      <c r="Y295" s="499">
        <v>7.7499999999999999E-2</v>
      </c>
      <c r="Z295" s="487" t="e">
        <f>#REF!*Y295</f>
        <v>#REF!</v>
      </c>
      <c r="AB295" s="235">
        <v>368.10399999999998</v>
      </c>
      <c r="AC295" s="467"/>
      <c r="AD295" s="500">
        <f>T295-W295</f>
        <v>65</v>
      </c>
      <c r="AE295" s="284"/>
      <c r="AG295" s="466">
        <v>-0.1333</v>
      </c>
      <c r="AH295" s="285">
        <f t="shared" si="150"/>
        <v>1.1333</v>
      </c>
      <c r="AI295" s="285">
        <v>1.1719999999999999</v>
      </c>
      <c r="AK295" s="286">
        <f>ROUND(W295*AI295,2)</f>
        <v>544.98</v>
      </c>
      <c r="AM295" s="466">
        <v>1.034</v>
      </c>
      <c r="AN295" s="337">
        <v>-0.1333</v>
      </c>
      <c r="AO295" s="285" t="e">
        <f>#REF!-AM295</f>
        <v>#REF!</v>
      </c>
      <c r="AQ295" s="288">
        <f>Y295-AN295</f>
        <v>0.21079999999999999</v>
      </c>
      <c r="AR295" s="467">
        <v>446</v>
      </c>
      <c r="AS295" s="127" t="b">
        <f>W295=AR295</f>
        <v>0</v>
      </c>
      <c r="AT295" s="289" t="e">
        <f>ROUND(W295/T295*100-100,2)+#REF!</f>
        <v>#REF!</v>
      </c>
      <c r="AW295">
        <f>ROUND(T295/W295,3)</f>
        <v>1.1399999999999999</v>
      </c>
    </row>
    <row r="296" spans="1:49" ht="26.25" customHeight="1" outlineLevel="1" x14ac:dyDescent="0.3">
      <c r="A296" s="477"/>
      <c r="B296" s="477"/>
      <c r="C296" s="475"/>
      <c r="D296" s="471"/>
      <c r="E296" s="484"/>
      <c r="F296" s="471"/>
      <c r="G296" s="478"/>
      <c r="H296" s="471"/>
      <c r="I296" s="471"/>
      <c r="J296" s="295" t="s">
        <v>366</v>
      </c>
      <c r="K296" s="121" t="s">
        <v>335</v>
      </c>
      <c r="L296" s="478" t="str">
        <f>VLOOKUP(K296,[2]материалы!$A$5:$G$31,5, FALSE)</f>
        <v>кг</v>
      </c>
      <c r="M296" s="471">
        <f>VLOOKUP(K296,[2]материалы!$A$5:$G$34,7, FALSE)</f>
        <v>720.83</v>
      </c>
      <c r="N296" s="471">
        <v>5.0000000000000001E-3</v>
      </c>
      <c r="O296" s="471">
        <f>ROUND(M296*N296,2)</f>
        <v>3.6</v>
      </c>
      <c r="P296" s="471"/>
      <c r="Q296" s="471"/>
      <c r="R296" s="472"/>
      <c r="S296" s="472"/>
      <c r="T296" s="472"/>
      <c r="U296" s="269"/>
      <c r="V296" s="336"/>
      <c r="W296" s="486"/>
      <c r="X296" s="470"/>
      <c r="Y296" s="499"/>
      <c r="Z296" s="487"/>
      <c r="AC296" s="467"/>
      <c r="AD296" s="468"/>
      <c r="AE296" s="284"/>
      <c r="AG296" s="466"/>
      <c r="AH296" s="285"/>
      <c r="AI296" s="285"/>
      <c r="AK296" s="286"/>
      <c r="AM296" s="466"/>
      <c r="AN296" s="337"/>
      <c r="AO296" s="285"/>
      <c r="AQ296" s="288"/>
      <c r="AR296" s="467"/>
      <c r="AT296" s="289"/>
    </row>
    <row r="297" spans="1:49" outlineLevel="1" x14ac:dyDescent="0.3">
      <c r="A297" s="477"/>
      <c r="B297" s="477"/>
      <c r="C297" s="475"/>
      <c r="D297" s="471"/>
      <c r="E297" s="484"/>
      <c r="F297" s="471"/>
      <c r="G297" s="478"/>
      <c r="H297" s="471"/>
      <c r="I297" s="471"/>
      <c r="J297" s="471"/>
      <c r="K297" s="296" t="s">
        <v>329</v>
      </c>
      <c r="L297" s="478" t="str">
        <f>VLOOKUP(K297,[2]материалы!$A$5:$G$31,5, FALSE)</f>
        <v>кг</v>
      </c>
      <c r="M297" s="471">
        <f>VLOOKUP(K297,[2]материалы!$A$5:$G$34,7, FALSE)</f>
        <v>79.17</v>
      </c>
      <c r="N297" s="301">
        <v>1E-3</v>
      </c>
      <c r="O297" s="471">
        <f>ROUND(M297*N297,2)</f>
        <v>0.08</v>
      </c>
      <c r="P297" s="471"/>
      <c r="Q297" s="471"/>
      <c r="R297" s="472"/>
      <c r="S297" s="472"/>
      <c r="T297" s="472"/>
      <c r="U297" s="269"/>
      <c r="V297" s="336"/>
      <c r="W297" s="486"/>
      <c r="X297" s="470"/>
      <c r="Y297" s="499"/>
      <c r="Z297" s="487"/>
      <c r="AC297" s="467"/>
      <c r="AD297" s="468"/>
      <c r="AE297" s="284"/>
      <c r="AG297" s="466"/>
      <c r="AH297" s="285"/>
      <c r="AI297" s="285"/>
      <c r="AK297" s="286"/>
      <c r="AM297" s="466"/>
      <c r="AN297" s="337"/>
      <c r="AO297" s="285"/>
      <c r="AQ297" s="288"/>
      <c r="AR297" s="467"/>
      <c r="AT297" s="289"/>
    </row>
    <row r="298" spans="1:49" outlineLevel="1" x14ac:dyDescent="0.3">
      <c r="A298" s="477"/>
      <c r="B298" s="477"/>
      <c r="C298" s="475"/>
      <c r="D298" s="471"/>
      <c r="E298" s="484"/>
      <c r="F298" s="471"/>
      <c r="G298" s="478"/>
      <c r="H298" s="471"/>
      <c r="I298" s="471"/>
      <c r="J298" s="471"/>
      <c r="K298" s="296" t="s">
        <v>330</v>
      </c>
      <c r="L298" s="478" t="str">
        <f>VLOOKUP(K298,[2]материалы!$A$5:$G$31,5, FALSE)</f>
        <v>кг</v>
      </c>
      <c r="M298" s="471">
        <f>VLOOKUP(K298,[2]материалы!$A$5:$G$34,7, FALSE)</f>
        <v>66.67</v>
      </c>
      <c r="N298" s="478">
        <v>0.01</v>
      </c>
      <c r="O298" s="471">
        <f>ROUND(M298*N298,2)</f>
        <v>0.67</v>
      </c>
      <c r="P298" s="471"/>
      <c r="Q298" s="471"/>
      <c r="R298" s="472"/>
      <c r="S298" s="472"/>
      <c r="T298" s="472"/>
      <c r="U298" s="269"/>
      <c r="V298" s="336"/>
      <c r="W298" s="486"/>
      <c r="X298" s="470"/>
      <c r="Y298" s="499"/>
      <c r="Z298" s="487"/>
      <c r="AC298" s="467"/>
      <c r="AD298" s="468"/>
      <c r="AE298" s="284"/>
      <c r="AG298" s="466"/>
      <c r="AH298" s="285"/>
      <c r="AI298" s="285"/>
      <c r="AK298" s="286"/>
      <c r="AM298" s="466"/>
      <c r="AN298" s="337"/>
      <c r="AO298" s="285"/>
      <c r="AQ298" s="288"/>
      <c r="AR298" s="467"/>
      <c r="AT298" s="289"/>
    </row>
    <row r="299" spans="1:49" s="223" customFormat="1" ht="41.25" customHeight="1" outlineLevel="1" x14ac:dyDescent="0.3">
      <c r="A299" s="477" t="s">
        <v>687</v>
      </c>
      <c r="B299" s="477" t="s">
        <v>282</v>
      </c>
      <c r="C299" s="475" t="s">
        <v>688</v>
      </c>
      <c r="D299" s="471" t="s">
        <v>26</v>
      </c>
      <c r="E299" s="484" t="s">
        <v>161</v>
      </c>
      <c r="F299" s="471">
        <f>VLOOKUP(E299,'[2]условия, ФОТ'!$A$14:$I$28,9, FALSE)</f>
        <v>206.19</v>
      </c>
      <c r="G299" s="478">
        <v>0.9</v>
      </c>
      <c r="H299" s="471">
        <f>ROUND(F299*G299,2)</f>
        <v>185.57</v>
      </c>
      <c r="I299" s="471">
        <f t="shared" ref="I299" si="151">ROUND(H299*$I$5,2)</f>
        <v>56.04</v>
      </c>
      <c r="J299" s="471">
        <f t="shared" ref="J299" si="152">H299+I299</f>
        <v>241.60999999999999</v>
      </c>
      <c r="K299" s="479"/>
      <c r="L299" s="471"/>
      <c r="M299" s="471"/>
      <c r="N299" s="471"/>
      <c r="O299" s="471">
        <f>SUM(O300:O303)</f>
        <v>171.01999999999998</v>
      </c>
      <c r="P299" s="471">
        <f>J299+O299</f>
        <v>412.63</v>
      </c>
      <c r="Q299" s="471">
        <f t="shared" ref="Q299" si="153">ROUND(P299*$Q$5,2)</f>
        <v>274.39999999999998</v>
      </c>
      <c r="R299" s="472">
        <f>ROUND(T299/1.2,2)</f>
        <v>715.83</v>
      </c>
      <c r="S299" s="472">
        <f t="shared" ref="S299" si="154">ROUND(R299*$S$5,2)</f>
        <v>143.16999999999999</v>
      </c>
      <c r="T299" s="472">
        <f>ROUND((P299+Q299)*(1+Y299)*1.2,0)</f>
        <v>859</v>
      </c>
      <c r="U299" s="473"/>
      <c r="V299" s="336"/>
      <c r="W299" s="503">
        <v>796</v>
      </c>
      <c r="X299" s="470">
        <f>T299/W299*100-100</f>
        <v>7.9145728643215989</v>
      </c>
      <c r="Y299" s="504">
        <v>4.1799999999999997E-2</v>
      </c>
      <c r="Z299" s="487" t="e">
        <f>#REF!*Y299</f>
        <v>#REF!</v>
      </c>
      <c r="AA299" s="386"/>
      <c r="AB299" s="356">
        <v>601.78800000000001</v>
      </c>
      <c r="AC299" s="357"/>
      <c r="AD299" s="500">
        <f>T299-W299</f>
        <v>63</v>
      </c>
      <c r="AE299" s="284"/>
      <c r="AG299" s="361">
        <v>-1.0200000000000001E-2</v>
      </c>
      <c r="AH299" s="285">
        <f t="shared" si="150"/>
        <v>1.0102</v>
      </c>
      <c r="AI299" s="285">
        <v>1.0449999999999999</v>
      </c>
      <c r="AK299" s="286">
        <f>ROUND(W299*AI299,2)</f>
        <v>831.82</v>
      </c>
      <c r="AL299" s="492"/>
      <c r="AM299" s="361">
        <v>1.034</v>
      </c>
      <c r="AN299" s="18">
        <v>-1.0200000000000001E-2</v>
      </c>
      <c r="AO299" s="285" t="e">
        <f>#REF!-AM299</f>
        <v>#REF!</v>
      </c>
      <c r="AQ299" s="288">
        <f>Y299-AN299</f>
        <v>5.1999999999999998E-2</v>
      </c>
      <c r="AR299" s="357">
        <v>638</v>
      </c>
      <c r="AS299" s="127" t="b">
        <f>W299=AR299</f>
        <v>0</v>
      </c>
      <c r="AT299" s="289" t="e">
        <f>ROUND(W299/T299*100-100,2)+#REF!</f>
        <v>#REF!</v>
      </c>
      <c r="AU299"/>
      <c r="AV299"/>
      <c r="AW299">
        <f>ROUND(T299/W299,3)</f>
        <v>1.079</v>
      </c>
    </row>
    <row r="300" spans="1:49" s="223" customFormat="1" ht="36" customHeight="1" outlineLevel="1" x14ac:dyDescent="0.3">
      <c r="A300" s="477"/>
      <c r="B300" s="477"/>
      <c r="C300" s="475"/>
      <c r="D300" s="471"/>
      <c r="E300" s="484"/>
      <c r="F300" s="471"/>
      <c r="G300" s="478"/>
      <c r="H300" s="471"/>
      <c r="I300" s="471"/>
      <c r="J300" s="295" t="s">
        <v>366</v>
      </c>
      <c r="K300" s="475" t="s">
        <v>689</v>
      </c>
      <c r="L300" s="471" t="s">
        <v>690</v>
      </c>
      <c r="M300" s="471">
        <f>VLOOKUP(K300,[2]материалы!$A$5:$G$34,7, FALSE)</f>
        <v>166.67</v>
      </c>
      <c r="N300" s="471">
        <v>1</v>
      </c>
      <c r="O300" s="471">
        <f>ROUND(M300*N300,2)</f>
        <v>166.67</v>
      </c>
      <c r="P300" s="471"/>
      <c r="Q300" s="471"/>
      <c r="R300" s="472"/>
      <c r="S300" s="472"/>
      <c r="T300" s="472"/>
      <c r="U300" s="473"/>
      <c r="V300" s="336"/>
      <c r="W300" s="350"/>
      <c r="X300" s="351"/>
      <c r="Y300" s="499"/>
      <c r="Z300" s="487"/>
      <c r="AA300" s="355"/>
      <c r="AB300" s="356"/>
      <c r="AC300" s="357"/>
      <c r="AD300" s="468"/>
      <c r="AE300" s="284"/>
      <c r="AG300" s="361"/>
      <c r="AH300" s="285"/>
      <c r="AI300" s="285"/>
      <c r="AK300" s="286"/>
      <c r="AL300" s="492"/>
      <c r="AM300" s="361"/>
      <c r="AN300" s="18"/>
      <c r="AO300" s="285"/>
      <c r="AQ300" s="288"/>
      <c r="AR300" s="357"/>
      <c r="AS300" s="127"/>
      <c r="AT300" s="289"/>
      <c r="AU300"/>
      <c r="AV300"/>
      <c r="AW300"/>
    </row>
    <row r="301" spans="1:49" s="223" customFormat="1" ht="30" customHeight="1" outlineLevel="1" x14ac:dyDescent="0.3">
      <c r="A301" s="477"/>
      <c r="B301" s="477"/>
      <c r="C301" s="475"/>
      <c r="D301" s="471"/>
      <c r="E301" s="484"/>
      <c r="F301" s="471"/>
      <c r="G301" s="478"/>
      <c r="H301" s="471"/>
      <c r="I301" s="471"/>
      <c r="J301" s="295"/>
      <c r="K301" s="121" t="s">
        <v>335</v>
      </c>
      <c r="L301" s="478" t="str">
        <f>VLOOKUP(K301,[4]материалы!$A$5:$G$31,5, FALSE)</f>
        <v>кг</v>
      </c>
      <c r="M301" s="471">
        <f>VLOOKUP(K301,[2]материалы!$A$5:$G$34,7, FALSE)</f>
        <v>720.83</v>
      </c>
      <c r="N301" s="471">
        <v>5.0000000000000001E-3</v>
      </c>
      <c r="O301" s="471">
        <f>ROUND(M301*N301,2)</f>
        <v>3.6</v>
      </c>
      <c r="P301" s="471"/>
      <c r="Q301" s="471"/>
      <c r="R301" s="472"/>
      <c r="S301" s="472"/>
      <c r="T301" s="472"/>
      <c r="U301" s="473"/>
      <c r="V301" s="336"/>
      <c r="W301" s="350"/>
      <c r="X301" s="351"/>
      <c r="Y301" s="499"/>
      <c r="Z301" s="487"/>
      <c r="AA301" s="355"/>
      <c r="AB301" s="356"/>
      <c r="AC301" s="357"/>
      <c r="AD301" s="468"/>
      <c r="AE301" s="284"/>
      <c r="AG301" s="361"/>
      <c r="AH301" s="285"/>
      <c r="AI301" s="285"/>
      <c r="AK301" s="286"/>
      <c r="AL301" s="492"/>
      <c r="AM301" s="361"/>
      <c r="AN301" s="18"/>
      <c r="AO301" s="285"/>
      <c r="AQ301" s="288"/>
      <c r="AR301" s="357"/>
      <c r="AS301" s="127"/>
      <c r="AT301" s="289"/>
      <c r="AU301"/>
      <c r="AV301"/>
      <c r="AW301"/>
    </row>
    <row r="302" spans="1:49" s="223" customFormat="1" ht="21.75" customHeight="1" outlineLevel="1" x14ac:dyDescent="0.3">
      <c r="A302" s="477"/>
      <c r="B302" s="477"/>
      <c r="C302" s="475"/>
      <c r="D302" s="471"/>
      <c r="E302" s="484"/>
      <c r="F302" s="471"/>
      <c r="G302" s="478"/>
      <c r="H302" s="471"/>
      <c r="I302" s="471"/>
      <c r="J302" s="471"/>
      <c r="K302" s="296" t="s">
        <v>329</v>
      </c>
      <c r="L302" s="478" t="str">
        <f>VLOOKUP(K302,[4]материалы!$A$5:$G$31,5, FALSE)</f>
        <v>кг</v>
      </c>
      <c r="M302" s="471">
        <f>VLOOKUP(K302,[2]материалы!$A$5:$G$34,7, FALSE)</f>
        <v>79.17</v>
      </c>
      <c r="N302" s="301">
        <v>1E-3</v>
      </c>
      <c r="O302" s="471">
        <f>ROUND(M302*N302,2)</f>
        <v>0.08</v>
      </c>
      <c r="P302" s="471"/>
      <c r="Q302" s="471"/>
      <c r="R302" s="472"/>
      <c r="S302" s="472"/>
      <c r="T302" s="472"/>
      <c r="U302" s="473"/>
      <c r="V302" s="336"/>
      <c r="W302" s="350"/>
      <c r="X302" s="351"/>
      <c r="Y302" s="499"/>
      <c r="Z302" s="487"/>
      <c r="AA302" s="355"/>
      <c r="AB302" s="356"/>
      <c r="AC302" s="357"/>
      <c r="AD302" s="468"/>
      <c r="AE302" s="284"/>
      <c r="AG302" s="361"/>
      <c r="AH302" s="285"/>
      <c r="AI302" s="285"/>
      <c r="AK302" s="286"/>
      <c r="AL302" s="492"/>
      <c r="AM302" s="361"/>
      <c r="AN302" s="18"/>
      <c r="AO302" s="285"/>
      <c r="AQ302" s="288"/>
      <c r="AR302" s="357"/>
      <c r="AS302" s="127"/>
      <c r="AT302" s="289"/>
      <c r="AU302"/>
      <c r="AV302"/>
      <c r="AW302"/>
    </row>
    <row r="303" spans="1:49" s="223" customFormat="1" ht="18" customHeight="1" outlineLevel="1" x14ac:dyDescent="0.3">
      <c r="A303" s="477"/>
      <c r="B303" s="477"/>
      <c r="C303" s="475"/>
      <c r="D303" s="471"/>
      <c r="E303" s="484"/>
      <c r="F303" s="471"/>
      <c r="G303" s="478"/>
      <c r="H303" s="471"/>
      <c r="I303" s="471"/>
      <c r="J303" s="471"/>
      <c r="K303" s="296" t="s">
        <v>330</v>
      </c>
      <c r="L303" s="478" t="str">
        <f>VLOOKUP(K303,[4]материалы!$A$5:$G$31,5, FALSE)</f>
        <v>кг</v>
      </c>
      <c r="M303" s="471">
        <f>VLOOKUP(K303,[2]материалы!$A$5:$G$34,7, FALSE)</f>
        <v>66.67</v>
      </c>
      <c r="N303" s="478">
        <v>0.01</v>
      </c>
      <c r="O303" s="471">
        <f>ROUND(M303*N303,2)</f>
        <v>0.67</v>
      </c>
      <c r="P303" s="471"/>
      <c r="Q303" s="471"/>
      <c r="R303" s="472"/>
      <c r="S303" s="472"/>
      <c r="T303" s="472"/>
      <c r="U303" s="473"/>
      <c r="V303" s="336"/>
      <c r="W303" s="350"/>
      <c r="X303" s="351"/>
      <c r="Y303" s="499"/>
      <c r="Z303" s="487"/>
      <c r="AA303" s="355"/>
      <c r="AB303" s="356"/>
      <c r="AC303" s="357"/>
      <c r="AD303" s="468"/>
      <c r="AE303" s="284"/>
      <c r="AG303" s="361"/>
      <c r="AH303" s="285"/>
      <c r="AI303" s="285"/>
      <c r="AK303" s="286"/>
      <c r="AL303" s="492"/>
      <c r="AM303" s="361"/>
      <c r="AN303" s="18"/>
      <c r="AO303" s="285"/>
      <c r="AQ303" s="288"/>
      <c r="AR303" s="357"/>
      <c r="AS303" s="127"/>
      <c r="AT303" s="289"/>
      <c r="AU303"/>
      <c r="AV303"/>
      <c r="AW303"/>
    </row>
    <row r="304" spans="1:49" s="308" customFormat="1" ht="19.5" customHeight="1" x14ac:dyDescent="0.25">
      <c r="A304" s="647" t="s">
        <v>521</v>
      </c>
      <c r="B304" s="647" t="s">
        <v>284</v>
      </c>
      <c r="C304" s="660" t="s">
        <v>373</v>
      </c>
      <c r="D304" s="661" t="s">
        <v>285</v>
      </c>
      <c r="E304" s="484" t="s">
        <v>161</v>
      </c>
      <c r="F304" s="471">
        <f>VLOOKUP(E304,'[2]условия, ФОТ'!$A$14:$I$28,9, FALSE)</f>
        <v>206.19</v>
      </c>
      <c r="G304" s="688">
        <v>2.84</v>
      </c>
      <c r="H304" s="688">
        <f>ROUND((F304+F305)/2*G304,2)</f>
        <v>649.69000000000005</v>
      </c>
      <c r="I304" s="688">
        <f t="shared" si="94"/>
        <v>196.21</v>
      </c>
      <c r="J304" s="688">
        <f t="shared" si="147"/>
        <v>845.90000000000009</v>
      </c>
      <c r="K304" s="669"/>
      <c r="L304" s="661"/>
      <c r="M304" s="661"/>
      <c r="N304" s="661"/>
      <c r="O304" s="661">
        <f>SUM(O306:O311)</f>
        <v>206.42</v>
      </c>
      <c r="P304" s="688">
        <f>J304+O304</f>
        <v>1052.3200000000002</v>
      </c>
      <c r="Q304" s="688">
        <f t="shared" si="136"/>
        <v>699.79</v>
      </c>
      <c r="R304" s="665">
        <f>ROUND(T304/1.2,2)</f>
        <v>1842.5</v>
      </c>
      <c r="S304" s="665">
        <f t="shared" si="137"/>
        <v>368.5</v>
      </c>
      <c r="T304" s="665">
        <f>ROUND((P304+Q304)*(1+Y304)*1.2,0)</f>
        <v>2211</v>
      </c>
      <c r="U304" s="705">
        <v>1697</v>
      </c>
      <c r="V304" s="732">
        <f t="shared" si="149"/>
        <v>30.288744843842068</v>
      </c>
      <c r="W304" s="689">
        <v>1887</v>
      </c>
      <c r="X304" s="691">
        <f>T304/W304*100-100</f>
        <v>17.170111287758345</v>
      </c>
      <c r="Y304" s="733">
        <v>5.16E-2</v>
      </c>
      <c r="Z304" s="693" t="e">
        <f>#REF!*Y304</f>
        <v>#REF!</v>
      </c>
      <c r="AA304" s="318"/>
      <c r="AB304" s="303">
        <v>1810.5340000000001</v>
      </c>
      <c r="AC304" s="702"/>
      <c r="AD304" s="683">
        <f>T304-W304</f>
        <v>324</v>
      </c>
      <c r="AE304" s="304"/>
      <c r="AG304" s="722">
        <v>8.8099999999999998E-2</v>
      </c>
      <c r="AH304" s="698">
        <f t="shared" si="150"/>
        <v>8.8099999999999998E-2</v>
      </c>
      <c r="AI304" s="698">
        <v>0</v>
      </c>
      <c r="AK304" s="696"/>
      <c r="AL304" s="346"/>
      <c r="AM304" s="722">
        <v>1.034</v>
      </c>
      <c r="AN304" s="724">
        <v>8.8099999999999998E-2</v>
      </c>
      <c r="AO304" s="698" t="e">
        <f>#REF!-AM304</f>
        <v>#REF!</v>
      </c>
      <c r="AQ304" s="700">
        <f>Y304-AN304</f>
        <v>-3.6499999999999998E-2</v>
      </c>
      <c r="AR304" s="702">
        <v>1811</v>
      </c>
      <c r="AS304" s="695" t="b">
        <f>W304=AR304</f>
        <v>0</v>
      </c>
      <c r="AT304" s="307" t="e">
        <f>ROUND(W304/T304*100-100,2)+#REF!</f>
        <v>#REF!</v>
      </c>
      <c r="AW304" s="308">
        <f>ROUND(T304/W304,3)</f>
        <v>1.1719999999999999</v>
      </c>
    </row>
    <row r="305" spans="1:49" s="308" customFormat="1" ht="20.25" customHeight="1" x14ac:dyDescent="0.25">
      <c r="A305" s="647"/>
      <c r="B305" s="647"/>
      <c r="C305" s="660"/>
      <c r="D305" s="661"/>
      <c r="E305" s="484" t="s">
        <v>166</v>
      </c>
      <c r="F305" s="471">
        <f>VLOOKUP(E305,'[2]условия, ФОТ'!$A$14:$I$28,9, FALSE)</f>
        <v>251.34</v>
      </c>
      <c r="G305" s="688"/>
      <c r="H305" s="688"/>
      <c r="I305" s="688"/>
      <c r="J305" s="688"/>
      <c r="K305" s="669"/>
      <c r="L305" s="661"/>
      <c r="M305" s="661"/>
      <c r="N305" s="661"/>
      <c r="O305" s="661"/>
      <c r="P305" s="688"/>
      <c r="Q305" s="688"/>
      <c r="R305" s="665"/>
      <c r="S305" s="665"/>
      <c r="T305" s="665">
        <f>ROUND((P305+Q305)*(1+$R$5)*1.18,0)</f>
        <v>0</v>
      </c>
      <c r="U305" s="706"/>
      <c r="V305" s="732"/>
      <c r="W305" s="690">
        <v>0</v>
      </c>
      <c r="X305" s="691"/>
      <c r="Y305" s="733"/>
      <c r="Z305" s="694"/>
      <c r="AA305" s="318"/>
      <c r="AB305" s="303"/>
      <c r="AC305" s="702"/>
      <c r="AD305" s="684"/>
      <c r="AE305" s="304"/>
      <c r="AG305" s="723"/>
      <c r="AH305" s="699"/>
      <c r="AI305" s="699"/>
      <c r="AK305" s="697"/>
      <c r="AL305" s="346"/>
      <c r="AM305" s="723"/>
      <c r="AN305" s="725"/>
      <c r="AO305" s="699"/>
      <c r="AQ305" s="701"/>
      <c r="AR305" s="702"/>
      <c r="AS305" s="695"/>
      <c r="AT305" s="307"/>
    </row>
    <row r="306" spans="1:49" s="308" customFormat="1" ht="15.75" customHeight="1" outlineLevel="1" x14ac:dyDescent="0.3">
      <c r="A306" s="477"/>
      <c r="B306" s="477"/>
      <c r="C306" s="475"/>
      <c r="D306" s="471"/>
      <c r="E306" s="484"/>
      <c r="F306" s="471"/>
      <c r="G306" s="478"/>
      <c r="H306" s="478"/>
      <c r="I306" s="478"/>
      <c r="J306" s="295" t="s">
        <v>366</v>
      </c>
      <c r="K306" s="387" t="s">
        <v>323</v>
      </c>
      <c r="L306" s="478" t="str">
        <f>VLOOKUP(K306,[2]материалы!$A$5:$G$31,5, FALSE)</f>
        <v>м3</v>
      </c>
      <c r="M306" s="471">
        <f>VLOOKUP(K306,[2]материалы!$A$5:$G$34,7, FALSE)</f>
        <v>486.11</v>
      </c>
      <c r="N306" s="471">
        <v>0.17499999999999999</v>
      </c>
      <c r="O306" s="471">
        <f>ROUND(M306*N306,2)</f>
        <v>85.07</v>
      </c>
      <c r="P306" s="478"/>
      <c r="Q306" s="478"/>
      <c r="R306" s="472"/>
      <c r="S306" s="472"/>
      <c r="T306" s="472"/>
      <c r="U306" s="309"/>
      <c r="V306" s="482"/>
      <c r="W306" s="311"/>
      <c r="X306" s="483"/>
      <c r="Y306" s="501"/>
      <c r="Z306" s="317"/>
      <c r="AA306" s="318"/>
      <c r="AB306" s="303"/>
      <c r="AC306" s="480"/>
      <c r="AD306" s="481"/>
      <c r="AE306" s="304"/>
      <c r="AG306" s="347"/>
      <c r="AH306" s="322"/>
      <c r="AI306" s="322"/>
      <c r="AK306" s="323"/>
      <c r="AL306" s="346"/>
      <c r="AM306" s="347"/>
      <c r="AN306" s="348"/>
      <c r="AO306" s="322"/>
      <c r="AQ306" s="324"/>
      <c r="AR306" s="480"/>
      <c r="AS306" s="325"/>
      <c r="AT306" s="307"/>
    </row>
    <row r="307" spans="1:49" s="308" customFormat="1" ht="15.75" customHeight="1" outlineLevel="1" x14ac:dyDescent="0.3">
      <c r="A307" s="477"/>
      <c r="B307" s="477"/>
      <c r="C307" s="475"/>
      <c r="D307" s="471"/>
      <c r="E307" s="484"/>
      <c r="F307" s="471"/>
      <c r="G307" s="478"/>
      <c r="H307" s="478"/>
      <c r="I307" s="478"/>
      <c r="J307" s="478"/>
      <c r="K307" s="387" t="s">
        <v>324</v>
      </c>
      <c r="L307" s="478" t="str">
        <f>VLOOKUP(K307,[2]материалы!$A$5:$G$31,5, FALSE)</f>
        <v>м3</v>
      </c>
      <c r="M307" s="471">
        <f>VLOOKUP(K307,[2]материалы!$A$5:$G$34,7, FALSE)</f>
        <v>152.78</v>
      </c>
      <c r="N307" s="471">
        <v>0.05</v>
      </c>
      <c r="O307" s="471">
        <f t="shared" ref="O307:O308" si="155">ROUND(M307*N307,2)</f>
        <v>7.64</v>
      </c>
      <c r="P307" s="478"/>
      <c r="Q307" s="478"/>
      <c r="R307" s="472"/>
      <c r="S307" s="472"/>
      <c r="T307" s="472"/>
      <c r="U307" s="309"/>
      <c r="V307" s="482"/>
      <c r="W307" s="311"/>
      <c r="X307" s="483"/>
      <c r="Y307" s="501"/>
      <c r="Z307" s="317"/>
      <c r="AA307" s="318"/>
      <c r="AB307" s="303"/>
      <c r="AC307" s="480"/>
      <c r="AD307" s="481"/>
      <c r="AE307" s="304"/>
      <c r="AG307" s="347"/>
      <c r="AH307" s="322"/>
      <c r="AI307" s="322"/>
      <c r="AK307" s="323"/>
      <c r="AL307" s="346"/>
      <c r="AM307" s="347"/>
      <c r="AN307" s="348"/>
      <c r="AO307" s="322"/>
      <c r="AQ307" s="324"/>
      <c r="AR307" s="480"/>
      <c r="AS307" s="325"/>
      <c r="AT307" s="307"/>
    </row>
    <row r="308" spans="1:49" s="308" customFormat="1" ht="43.5" customHeight="1" outlineLevel="1" x14ac:dyDescent="0.3">
      <c r="A308" s="477"/>
      <c r="B308" s="477"/>
      <c r="C308" s="475"/>
      <c r="D308" s="471"/>
      <c r="E308" s="484"/>
      <c r="F308" s="471"/>
      <c r="G308" s="478"/>
      <c r="H308" s="478"/>
      <c r="I308" s="478"/>
      <c r="J308" s="478"/>
      <c r="K308" s="121" t="s">
        <v>341</v>
      </c>
      <c r="L308" s="478" t="str">
        <f>VLOOKUP(K308,[2]материалы!$A$5:$G$31,5, FALSE)</f>
        <v>кг</v>
      </c>
      <c r="M308" s="471">
        <f>VLOOKUP(K308,[2]материалы!$A$5:$G$34,7, FALSE)</f>
        <v>125</v>
      </c>
      <c r="N308" s="471">
        <v>1.7000000000000001E-2</v>
      </c>
      <c r="O308" s="471">
        <f t="shared" si="155"/>
        <v>2.13</v>
      </c>
      <c r="P308" s="478"/>
      <c r="Q308" s="478"/>
      <c r="R308" s="472"/>
      <c r="S308" s="472"/>
      <c r="T308" s="472"/>
      <c r="U308" s="309"/>
      <c r="V308" s="482"/>
      <c r="W308" s="311"/>
      <c r="X308" s="483"/>
      <c r="Y308" s="501"/>
      <c r="Z308" s="317"/>
      <c r="AA308" s="318"/>
      <c r="AB308" s="303"/>
      <c r="AC308" s="480"/>
      <c r="AD308" s="481"/>
      <c r="AE308" s="304"/>
      <c r="AG308" s="347"/>
      <c r="AH308" s="322"/>
      <c r="AI308" s="322"/>
      <c r="AK308" s="323"/>
      <c r="AL308" s="346"/>
      <c r="AM308" s="347"/>
      <c r="AN308" s="348"/>
      <c r="AO308" s="322"/>
      <c r="AQ308" s="324"/>
      <c r="AR308" s="480"/>
      <c r="AS308" s="325"/>
      <c r="AT308" s="307"/>
    </row>
    <row r="309" spans="1:49" s="308" customFormat="1" outlineLevel="1" x14ac:dyDescent="0.3">
      <c r="A309" s="477"/>
      <c r="B309" s="477"/>
      <c r="C309" s="475"/>
      <c r="D309" s="471"/>
      <c r="E309" s="484"/>
      <c r="F309" s="471"/>
      <c r="G309" s="478"/>
      <c r="H309" s="478"/>
      <c r="I309" s="478"/>
      <c r="J309" s="478"/>
      <c r="K309" s="296" t="s">
        <v>329</v>
      </c>
      <c r="L309" s="478" t="str">
        <f>VLOOKUP(K309,[2]материалы!$A$5:$G$31,5, FALSE)</f>
        <v>кг</v>
      </c>
      <c r="M309" s="471">
        <f>VLOOKUP(K309,[2]материалы!$A$5:$G$34,7, FALSE)</f>
        <v>79.17</v>
      </c>
      <c r="N309" s="301">
        <v>1E-3</v>
      </c>
      <c r="O309" s="471">
        <f>ROUND(M309*N309,2)</f>
        <v>0.08</v>
      </c>
      <c r="P309" s="478"/>
      <c r="Q309" s="478"/>
      <c r="R309" s="472"/>
      <c r="S309" s="472"/>
      <c r="T309" s="472"/>
      <c r="U309" s="309"/>
      <c r="V309" s="482"/>
      <c r="W309" s="311"/>
      <c r="X309" s="483"/>
      <c r="Y309" s="501"/>
      <c r="Z309" s="317"/>
      <c r="AA309" s="318"/>
      <c r="AB309" s="303"/>
      <c r="AC309" s="480"/>
      <c r="AD309" s="481"/>
      <c r="AE309" s="304"/>
      <c r="AG309" s="347"/>
      <c r="AH309" s="322"/>
      <c r="AI309" s="322"/>
      <c r="AK309" s="323"/>
      <c r="AL309" s="346"/>
      <c r="AM309" s="347"/>
      <c r="AN309" s="348"/>
      <c r="AO309" s="322"/>
      <c r="AQ309" s="324"/>
      <c r="AR309" s="480"/>
      <c r="AS309" s="325"/>
      <c r="AT309" s="307"/>
    </row>
    <row r="310" spans="1:49" s="308" customFormat="1" outlineLevel="1" x14ac:dyDescent="0.3">
      <c r="A310" s="477"/>
      <c r="B310" s="477"/>
      <c r="C310" s="475"/>
      <c r="D310" s="471"/>
      <c r="E310" s="484"/>
      <c r="F310" s="471"/>
      <c r="G310" s="478"/>
      <c r="H310" s="478"/>
      <c r="I310" s="478"/>
      <c r="J310" s="478"/>
      <c r="K310" s="296" t="s">
        <v>330</v>
      </c>
      <c r="L310" s="478" t="str">
        <f>VLOOKUP(K310,[2]материалы!$A$5:$G$31,5, FALSE)</f>
        <v>кг</v>
      </c>
      <c r="M310" s="471">
        <f>VLOOKUP(K310,[2]материалы!$A$5:$G$34,7, FALSE)</f>
        <v>66.67</v>
      </c>
      <c r="N310" s="478">
        <v>0.01</v>
      </c>
      <c r="O310" s="471">
        <f>ROUND(M310*N310,2)</f>
        <v>0.67</v>
      </c>
      <c r="P310" s="478"/>
      <c r="Q310" s="478"/>
      <c r="R310" s="472"/>
      <c r="S310" s="472"/>
      <c r="T310" s="472"/>
      <c r="U310" s="309"/>
      <c r="V310" s="482"/>
      <c r="W310" s="311"/>
      <c r="X310" s="483"/>
      <c r="Y310" s="501"/>
      <c r="Z310" s="317"/>
      <c r="AA310" s="318"/>
      <c r="AB310" s="303"/>
      <c r="AC310" s="480"/>
      <c r="AD310" s="481"/>
      <c r="AE310" s="304"/>
      <c r="AG310" s="347"/>
      <c r="AH310" s="322"/>
      <c r="AI310" s="322"/>
      <c r="AK310" s="323"/>
      <c r="AL310" s="346"/>
      <c r="AM310" s="347"/>
      <c r="AN310" s="348"/>
      <c r="AO310" s="322"/>
      <c r="AQ310" s="324"/>
      <c r="AR310" s="480"/>
      <c r="AS310" s="325"/>
      <c r="AT310" s="307"/>
    </row>
    <row r="311" spans="1:49" s="308" customFormat="1" ht="25.5" outlineLevel="1" x14ac:dyDescent="0.3">
      <c r="A311" s="477"/>
      <c r="B311" s="477"/>
      <c r="C311" s="475"/>
      <c r="D311" s="471"/>
      <c r="E311" s="484"/>
      <c r="F311" s="471"/>
      <c r="G311" s="478"/>
      <c r="H311" s="478"/>
      <c r="I311" s="478"/>
      <c r="J311" s="478"/>
      <c r="K311" s="296" t="s">
        <v>369</v>
      </c>
      <c r="L311" s="478" t="str">
        <f>VLOOKUP(K311,[2]материалы!$A$5:$G$31,5, FALSE)</f>
        <v>м</v>
      </c>
      <c r="M311" s="471">
        <f>VLOOKUP(K311,[2]материалы!$A$5:$G$34,7, FALSE)</f>
        <v>110.83</v>
      </c>
      <c r="N311" s="478">
        <v>1</v>
      </c>
      <c r="O311" s="471">
        <f t="shared" ref="O311" si="156">ROUND(M311*N311,2)</f>
        <v>110.83</v>
      </c>
      <c r="P311" s="478"/>
      <c r="Q311" s="478"/>
      <c r="R311" s="472"/>
      <c r="S311" s="472"/>
      <c r="T311" s="472"/>
      <c r="U311" s="309"/>
      <c r="V311" s="482"/>
      <c r="W311" s="311"/>
      <c r="X311" s="483"/>
      <c r="Y311" s="501"/>
      <c r="Z311" s="317"/>
      <c r="AA311" s="318"/>
      <c r="AB311" s="303"/>
      <c r="AC311" s="480"/>
      <c r="AD311" s="481"/>
      <c r="AE311" s="304"/>
      <c r="AG311" s="347"/>
      <c r="AH311" s="322"/>
      <c r="AI311" s="322"/>
      <c r="AK311" s="323"/>
      <c r="AL311" s="346"/>
      <c r="AM311" s="347"/>
      <c r="AN311" s="348"/>
      <c r="AO311" s="322"/>
      <c r="AQ311" s="324"/>
      <c r="AR311" s="480"/>
      <c r="AS311" s="325"/>
      <c r="AT311" s="307"/>
    </row>
    <row r="312" spans="1:49" ht="21" customHeight="1" x14ac:dyDescent="0.25">
      <c r="A312" s="647" t="s">
        <v>522</v>
      </c>
      <c r="B312" s="647" t="s">
        <v>284</v>
      </c>
      <c r="C312" s="660" t="s">
        <v>574</v>
      </c>
      <c r="D312" s="661" t="s">
        <v>285</v>
      </c>
      <c r="E312" s="484" t="s">
        <v>161</v>
      </c>
      <c r="F312" s="471">
        <f>VLOOKUP(E312,'[2]условия, ФОТ'!$A$14:$I$28,9, FALSE)</f>
        <v>206.19</v>
      </c>
      <c r="G312" s="688">
        <v>3.38</v>
      </c>
      <c r="H312" s="688">
        <f>ROUND((F312+F313)/2*G312,2)</f>
        <v>773.23</v>
      </c>
      <c r="I312" s="661">
        <f t="shared" si="94"/>
        <v>233.52</v>
      </c>
      <c r="J312" s="661">
        <f t="shared" si="147"/>
        <v>1006.75</v>
      </c>
      <c r="K312" s="669"/>
      <c r="L312" s="661"/>
      <c r="M312" s="661"/>
      <c r="N312" s="661"/>
      <c r="O312" s="661">
        <f>SUM(O314:O319)</f>
        <v>336.87</v>
      </c>
      <c r="P312" s="688">
        <f t="shared" si="148"/>
        <v>1343.62</v>
      </c>
      <c r="Q312" s="688">
        <f t="shared" si="136"/>
        <v>893.51</v>
      </c>
      <c r="R312" s="665">
        <f>ROUND(T312/1.2,2)</f>
        <v>2331.67</v>
      </c>
      <c r="S312" s="665">
        <f t="shared" si="137"/>
        <v>466.33</v>
      </c>
      <c r="T312" s="665">
        <f>ROUND((P312+Q312)*(1+Y312)*1.2,0)</f>
        <v>2798</v>
      </c>
      <c r="U312" s="666">
        <v>2059</v>
      </c>
      <c r="V312" s="713">
        <f t="shared" si="149"/>
        <v>35.891209324914996</v>
      </c>
      <c r="W312" s="685">
        <v>2416</v>
      </c>
      <c r="X312" s="679">
        <f>T312/W312*100-100</f>
        <v>15.811258278145687</v>
      </c>
      <c r="Y312" s="734">
        <v>4.2099999999999999E-2</v>
      </c>
      <c r="Z312" s="681" t="e">
        <f>#REF!*Y312</f>
        <v>#REF!</v>
      </c>
      <c r="AA312" s="735"/>
      <c r="AB312" s="235">
        <v>2196.2159999999999</v>
      </c>
      <c r="AC312" s="674"/>
      <c r="AD312" s="683">
        <f>T312-W312</f>
        <v>382</v>
      </c>
      <c r="AE312" s="284"/>
      <c r="AG312" s="715">
        <v>9.1200000000000003E-2</v>
      </c>
      <c r="AH312" s="670">
        <f t="shared" si="150"/>
        <v>9.1200000000000003E-2</v>
      </c>
      <c r="AI312" s="670">
        <v>0</v>
      </c>
      <c r="AK312" s="286"/>
      <c r="AM312" s="715">
        <v>1.034</v>
      </c>
      <c r="AN312" s="717">
        <v>9.1200000000000003E-2</v>
      </c>
      <c r="AO312" s="670" t="e">
        <f>#REF!-AM312</f>
        <v>#REF!</v>
      </c>
      <c r="AQ312" s="672">
        <f>Y312-AN312</f>
        <v>-4.9100000000000005E-2</v>
      </c>
      <c r="AR312" s="674">
        <v>2196</v>
      </c>
      <c r="AS312" s="675" t="b">
        <f>W312=AR312</f>
        <v>0</v>
      </c>
      <c r="AT312" s="289" t="e">
        <f>ROUND(W312/T312*100-100,2)+#REF!</f>
        <v>#REF!</v>
      </c>
      <c r="AW312">
        <f>ROUND(T312/W312,3)</f>
        <v>1.1579999999999999</v>
      </c>
    </row>
    <row r="313" spans="1:49" ht="19.5" customHeight="1" x14ac:dyDescent="0.25">
      <c r="A313" s="647"/>
      <c r="B313" s="647"/>
      <c r="C313" s="660"/>
      <c r="D313" s="661"/>
      <c r="E313" s="484" t="s">
        <v>166</v>
      </c>
      <c r="F313" s="471">
        <f>VLOOKUP(E313,'[2]условия, ФОТ'!$A$14:$I$28,9, FALSE)</f>
        <v>251.34</v>
      </c>
      <c r="G313" s="688"/>
      <c r="H313" s="688"/>
      <c r="I313" s="661"/>
      <c r="J313" s="661"/>
      <c r="K313" s="669"/>
      <c r="L313" s="661"/>
      <c r="M313" s="661"/>
      <c r="N313" s="661"/>
      <c r="O313" s="661"/>
      <c r="P313" s="688"/>
      <c r="Q313" s="688"/>
      <c r="R313" s="665"/>
      <c r="S313" s="665"/>
      <c r="T313" s="665">
        <f>ROUND((P313+Q313)*(1+$R$5)*1.18,0)</f>
        <v>0</v>
      </c>
      <c r="U313" s="667"/>
      <c r="V313" s="713"/>
      <c r="W313" s="686">
        <v>0</v>
      </c>
      <c r="X313" s="679"/>
      <c r="Y313" s="734"/>
      <c r="Z313" s="682"/>
      <c r="AA313" s="736"/>
      <c r="AC313" s="674"/>
      <c r="AD313" s="684"/>
      <c r="AE313" s="284"/>
      <c r="AG313" s="716"/>
      <c r="AH313" s="671"/>
      <c r="AI313" s="671"/>
      <c r="AK313" s="286"/>
      <c r="AM313" s="716"/>
      <c r="AN313" s="718"/>
      <c r="AO313" s="671"/>
      <c r="AQ313" s="673"/>
      <c r="AR313" s="674"/>
      <c r="AS313" s="675"/>
      <c r="AT313" s="289"/>
    </row>
    <row r="314" spans="1:49" ht="17.25" customHeight="1" outlineLevel="1" x14ac:dyDescent="0.3">
      <c r="A314" s="477"/>
      <c r="B314" s="477"/>
      <c r="C314" s="475"/>
      <c r="D314" s="471"/>
      <c r="E314" s="484"/>
      <c r="F314" s="471"/>
      <c r="G314" s="478"/>
      <c r="H314" s="478"/>
      <c r="I314" s="471"/>
      <c r="J314" s="295" t="s">
        <v>366</v>
      </c>
      <c r="K314" s="387" t="s">
        <v>323</v>
      </c>
      <c r="L314" s="478" t="str">
        <f>VLOOKUP(K314,[2]материалы!$A$5:$G$31,5, FALSE)</f>
        <v>м3</v>
      </c>
      <c r="M314" s="471">
        <f>VLOOKUP(K314,[2]материалы!$A$5:$G$34,7, FALSE)</f>
        <v>486.11</v>
      </c>
      <c r="N314" s="471">
        <v>0.17499999999999999</v>
      </c>
      <c r="O314" s="471">
        <f>ROUND(M314*N314,2)</f>
        <v>85.07</v>
      </c>
      <c r="P314" s="478"/>
      <c r="Q314" s="478"/>
      <c r="R314" s="472"/>
      <c r="S314" s="472"/>
      <c r="T314" s="472"/>
      <c r="U314" s="269"/>
      <c r="V314" s="469"/>
      <c r="W314" s="486"/>
      <c r="X314" s="470"/>
      <c r="Y314" s="499"/>
      <c r="Z314" s="487"/>
      <c r="AC314" s="467"/>
      <c r="AD314" s="468"/>
      <c r="AE314" s="284"/>
      <c r="AG314" s="466"/>
      <c r="AH314" s="285"/>
      <c r="AI314" s="285"/>
      <c r="AK314" s="286"/>
      <c r="AM314" s="466"/>
      <c r="AN314" s="337"/>
      <c r="AO314" s="285"/>
      <c r="AQ314" s="288"/>
      <c r="AR314" s="467"/>
      <c r="AT314" s="289"/>
    </row>
    <row r="315" spans="1:49" ht="17.25" customHeight="1" outlineLevel="1" x14ac:dyDescent="0.3">
      <c r="A315" s="477"/>
      <c r="B315" s="477"/>
      <c r="C315" s="475"/>
      <c r="D315" s="471"/>
      <c r="E315" s="484"/>
      <c r="F315" s="471"/>
      <c r="G315" s="478"/>
      <c r="H315" s="478"/>
      <c r="I315" s="471"/>
      <c r="J315" s="471"/>
      <c r="K315" s="387" t="s">
        <v>324</v>
      </c>
      <c r="L315" s="478" t="str">
        <f>VLOOKUP(K315,[2]материалы!$A$5:$G$31,5, FALSE)</f>
        <v>м3</v>
      </c>
      <c r="M315" s="471">
        <f>VLOOKUP(K315,[2]материалы!$A$5:$G$34,7, FALSE)</f>
        <v>152.78</v>
      </c>
      <c r="N315" s="471">
        <v>0.05</v>
      </c>
      <c r="O315" s="471">
        <f t="shared" ref="O315:O316" si="157">ROUND(M315*N315,2)</f>
        <v>7.64</v>
      </c>
      <c r="P315" s="478"/>
      <c r="Q315" s="478"/>
      <c r="R315" s="472"/>
      <c r="S315" s="472"/>
      <c r="T315" s="472"/>
      <c r="U315" s="269"/>
      <c r="V315" s="469"/>
      <c r="W315" s="486"/>
      <c r="X315" s="470"/>
      <c r="Y315" s="499"/>
      <c r="Z315" s="487"/>
      <c r="AC315" s="467"/>
      <c r="AD315" s="468"/>
      <c r="AE315" s="284"/>
      <c r="AG315" s="466"/>
      <c r="AH315" s="285"/>
      <c r="AI315" s="285"/>
      <c r="AK315" s="286"/>
      <c r="AM315" s="466"/>
      <c r="AN315" s="337"/>
      <c r="AO315" s="285"/>
      <c r="AQ315" s="288"/>
      <c r="AR315" s="467"/>
      <c r="AT315" s="289"/>
    </row>
    <row r="316" spans="1:49" ht="39" customHeight="1" outlineLevel="1" x14ac:dyDescent="0.3">
      <c r="A316" s="477"/>
      <c r="B316" s="477"/>
      <c r="C316" s="475"/>
      <c r="D316" s="471"/>
      <c r="E316" s="484"/>
      <c r="F316" s="471"/>
      <c r="G316" s="478"/>
      <c r="H316" s="478"/>
      <c r="I316" s="471"/>
      <c r="J316" s="471"/>
      <c r="K316" s="121" t="s">
        <v>341</v>
      </c>
      <c r="L316" s="478" t="str">
        <f>VLOOKUP(K316,[2]материалы!$A$5:$G$31,5, FALSE)</f>
        <v>кг</v>
      </c>
      <c r="M316" s="471">
        <f>VLOOKUP(K316,[2]материалы!$A$5:$G$34,7, FALSE)</f>
        <v>125</v>
      </c>
      <c r="N316" s="471">
        <v>1.7000000000000001E-2</v>
      </c>
      <c r="O316" s="471">
        <f t="shared" si="157"/>
        <v>2.13</v>
      </c>
      <c r="P316" s="478"/>
      <c r="Q316" s="478"/>
      <c r="R316" s="472"/>
      <c r="S316" s="472"/>
      <c r="T316" s="472"/>
      <c r="U316" s="269"/>
      <c r="V316" s="469"/>
      <c r="W316" s="486"/>
      <c r="X316" s="470"/>
      <c r="Y316" s="499"/>
      <c r="Z316" s="487"/>
      <c r="AC316" s="467"/>
      <c r="AD316" s="468"/>
      <c r="AE316" s="284"/>
      <c r="AG316" s="466"/>
      <c r="AH316" s="285"/>
      <c r="AI316" s="285"/>
      <c r="AK316" s="286"/>
      <c r="AM316" s="466"/>
      <c r="AN316" s="337"/>
      <c r="AO316" s="285"/>
      <c r="AQ316" s="288"/>
      <c r="AR316" s="467"/>
      <c r="AT316" s="289"/>
    </row>
    <row r="317" spans="1:49" outlineLevel="1" x14ac:dyDescent="0.3">
      <c r="A317" s="477"/>
      <c r="B317" s="477"/>
      <c r="C317" s="475"/>
      <c r="D317" s="471"/>
      <c r="E317" s="484"/>
      <c r="F317" s="471"/>
      <c r="G317" s="478"/>
      <c r="H317" s="478"/>
      <c r="I317" s="471"/>
      <c r="J317" s="471"/>
      <c r="K317" s="296" t="s">
        <v>329</v>
      </c>
      <c r="L317" s="478" t="str">
        <f>VLOOKUP(K317,[2]материалы!$A$5:$G$31,5, FALSE)</f>
        <v>кг</v>
      </c>
      <c r="M317" s="471">
        <f>VLOOKUP(K317,[2]материалы!$A$5:$G$34,7, FALSE)</f>
        <v>79.17</v>
      </c>
      <c r="N317" s="301">
        <v>1E-3</v>
      </c>
      <c r="O317" s="471">
        <f>ROUND(M317*N317,2)</f>
        <v>0.08</v>
      </c>
      <c r="P317" s="478"/>
      <c r="Q317" s="478"/>
      <c r="R317" s="472"/>
      <c r="S317" s="472"/>
      <c r="T317" s="472"/>
      <c r="U317" s="269"/>
      <c r="V317" s="469"/>
      <c r="W317" s="486"/>
      <c r="X317" s="470"/>
      <c r="Y317" s="499"/>
      <c r="Z317" s="487"/>
      <c r="AC317" s="467"/>
      <c r="AD317" s="468"/>
      <c r="AE317" s="284"/>
      <c r="AG317" s="466"/>
      <c r="AH317" s="285"/>
      <c r="AI317" s="285"/>
      <c r="AK317" s="286"/>
      <c r="AM317" s="466"/>
      <c r="AN317" s="337"/>
      <c r="AO317" s="285"/>
      <c r="AQ317" s="288"/>
      <c r="AR317" s="467"/>
      <c r="AT317" s="289"/>
    </row>
    <row r="318" spans="1:49" outlineLevel="1" x14ac:dyDescent="0.3">
      <c r="A318" s="477"/>
      <c r="B318" s="477"/>
      <c r="C318" s="475"/>
      <c r="D318" s="471"/>
      <c r="E318" s="484"/>
      <c r="F318" s="471"/>
      <c r="G318" s="478"/>
      <c r="H318" s="478"/>
      <c r="I318" s="471"/>
      <c r="J318" s="471"/>
      <c r="K318" s="296" t="s">
        <v>330</v>
      </c>
      <c r="L318" s="478" t="str">
        <f>VLOOKUP(K318,[2]материалы!$A$5:$G$31,5, FALSE)</f>
        <v>кг</v>
      </c>
      <c r="M318" s="471">
        <f>VLOOKUP(K318,[2]материалы!$A$5:$G$34,7, FALSE)</f>
        <v>66.67</v>
      </c>
      <c r="N318" s="478">
        <v>0.01</v>
      </c>
      <c r="O318" s="471">
        <f>ROUND(M318*N318,2)</f>
        <v>0.67</v>
      </c>
      <c r="P318" s="478"/>
      <c r="Q318" s="478"/>
      <c r="R318" s="472"/>
      <c r="S318" s="472"/>
      <c r="T318" s="472"/>
      <c r="U318" s="269"/>
      <c r="V318" s="469"/>
      <c r="W318" s="486"/>
      <c r="X318" s="470"/>
      <c r="Y318" s="499"/>
      <c r="Z318" s="487"/>
      <c r="AC318" s="467"/>
      <c r="AD318" s="468"/>
      <c r="AE318" s="284"/>
      <c r="AG318" s="466"/>
      <c r="AH318" s="285"/>
      <c r="AI318" s="285"/>
      <c r="AK318" s="286"/>
      <c r="AM318" s="466"/>
      <c r="AN318" s="337"/>
      <c r="AO318" s="285"/>
      <c r="AQ318" s="288"/>
      <c r="AR318" s="467"/>
      <c r="AT318" s="289"/>
    </row>
    <row r="319" spans="1:49" ht="25.5" outlineLevel="1" x14ac:dyDescent="0.3">
      <c r="A319" s="477"/>
      <c r="B319" s="477"/>
      <c r="C319" s="475"/>
      <c r="D319" s="471"/>
      <c r="E319" s="484"/>
      <c r="F319" s="471"/>
      <c r="G319" s="478"/>
      <c r="H319" s="478"/>
      <c r="I319" s="471"/>
      <c r="J319" s="471"/>
      <c r="K319" s="296" t="s">
        <v>374</v>
      </c>
      <c r="L319" s="478" t="str">
        <f>VLOOKUP(K319,[2]материалы!$A$5:$G$31,5, FALSE)</f>
        <v>м</v>
      </c>
      <c r="M319" s="471">
        <f>VLOOKUP(K319,[2]материалы!$A$5:$G$34,7, FALSE)</f>
        <v>241.28</v>
      </c>
      <c r="N319" s="478">
        <v>1</v>
      </c>
      <c r="O319" s="471">
        <f>ROUND(M319*N319,2)</f>
        <v>241.28</v>
      </c>
      <c r="P319" s="478"/>
      <c r="Q319" s="478"/>
      <c r="R319" s="472"/>
      <c r="S319" s="472"/>
      <c r="T319" s="472"/>
      <c r="U319" s="269"/>
      <c r="V319" s="469"/>
      <c r="W319" s="486"/>
      <c r="X319" s="470"/>
      <c r="Y319" s="499"/>
      <c r="Z319" s="487"/>
      <c r="AC319" s="467"/>
      <c r="AD319" s="468"/>
      <c r="AE319" s="284"/>
      <c r="AG319" s="466"/>
      <c r="AH319" s="285"/>
      <c r="AI319" s="285"/>
      <c r="AK319" s="286"/>
      <c r="AM319" s="466"/>
      <c r="AN319" s="337"/>
      <c r="AO319" s="285"/>
      <c r="AQ319" s="288"/>
      <c r="AR319" s="467"/>
      <c r="AT319" s="289"/>
    </row>
    <row r="320" spans="1:49" s="308" customFormat="1" ht="17.25" customHeight="1" x14ac:dyDescent="0.25">
      <c r="A320" s="647" t="s">
        <v>523</v>
      </c>
      <c r="B320" s="647" t="s">
        <v>286</v>
      </c>
      <c r="C320" s="660" t="s">
        <v>375</v>
      </c>
      <c r="D320" s="661" t="s">
        <v>28</v>
      </c>
      <c r="E320" s="484" t="s">
        <v>161</v>
      </c>
      <c r="F320" s="471">
        <f>VLOOKUP(E320,'[2]условия, ФОТ'!$A$14:$I$28,9, FALSE)</f>
        <v>206.19</v>
      </c>
      <c r="G320" s="661">
        <v>0.86</v>
      </c>
      <c r="H320" s="688">
        <f>ROUND((F320+F321)/2*G320,2)</f>
        <v>196.74</v>
      </c>
      <c r="I320" s="661">
        <f t="shared" si="94"/>
        <v>59.42</v>
      </c>
      <c r="J320" s="661">
        <f t="shared" si="147"/>
        <v>256.16000000000003</v>
      </c>
      <c r="K320" s="669"/>
      <c r="L320" s="661"/>
      <c r="M320" s="661"/>
      <c r="N320" s="661"/>
      <c r="O320" s="661">
        <f>O322</f>
        <v>110.83</v>
      </c>
      <c r="P320" s="688">
        <f t="shared" si="148"/>
        <v>366.99</v>
      </c>
      <c r="Q320" s="688">
        <f t="shared" si="136"/>
        <v>244.05</v>
      </c>
      <c r="R320" s="665">
        <f>ROUND(T320/1.2,2)</f>
        <v>636.66999999999996</v>
      </c>
      <c r="S320" s="665">
        <f t="shared" si="137"/>
        <v>127.33</v>
      </c>
      <c r="T320" s="665">
        <f>ROUND((P320+Q320)*(1+Y320)*1.2,0)</f>
        <v>764</v>
      </c>
      <c r="U320" s="705">
        <v>539</v>
      </c>
      <c r="V320" s="732">
        <f t="shared" si="149"/>
        <v>41.743970315398883</v>
      </c>
      <c r="W320" s="689">
        <v>667</v>
      </c>
      <c r="X320" s="691">
        <f>T320/W320*100-100</f>
        <v>14.542728635682153</v>
      </c>
      <c r="Y320" s="692">
        <v>4.2299999999999997E-2</v>
      </c>
      <c r="Z320" s="693" t="e">
        <f>#REF!*Y320</f>
        <v>#REF!</v>
      </c>
      <c r="AA320" s="703"/>
      <c r="AB320" s="303">
        <v>574.904</v>
      </c>
      <c r="AC320" s="702"/>
      <c r="AD320" s="683">
        <f>T320-W320</f>
        <v>97</v>
      </c>
      <c r="AE320" s="304"/>
      <c r="AG320" s="722">
        <v>9.6199999999999994E-2</v>
      </c>
      <c r="AH320" s="698">
        <f t="shared" si="150"/>
        <v>9.6199999999999994E-2</v>
      </c>
      <c r="AI320" s="698">
        <v>0</v>
      </c>
      <c r="AK320" s="323"/>
      <c r="AL320" s="346"/>
      <c r="AM320" s="722">
        <v>1.034</v>
      </c>
      <c r="AN320" s="724">
        <v>9.6199999999999994E-2</v>
      </c>
      <c r="AO320" s="698" t="e">
        <f>#REF!-AM320</f>
        <v>#REF!</v>
      </c>
      <c r="AQ320" s="700">
        <f>Y320-AN320</f>
        <v>-5.3899999999999997E-2</v>
      </c>
      <c r="AR320" s="702">
        <v>575</v>
      </c>
      <c r="AS320" s="695" t="b">
        <f>W320=AR320</f>
        <v>0</v>
      </c>
      <c r="AT320" s="307" t="e">
        <f>ROUND(W320/T320*100-100,2)+#REF!</f>
        <v>#REF!</v>
      </c>
      <c r="AW320" s="308">
        <f>ROUND(T320/W320,3)</f>
        <v>1.145</v>
      </c>
    </row>
    <row r="321" spans="1:49" s="308" customFormat="1" ht="13.5" customHeight="1" x14ac:dyDescent="0.25">
      <c r="A321" s="647"/>
      <c r="B321" s="647"/>
      <c r="C321" s="660"/>
      <c r="D321" s="661"/>
      <c r="E321" s="484" t="s">
        <v>166</v>
      </c>
      <c r="F321" s="471">
        <f>VLOOKUP(E321,'[2]условия, ФОТ'!$A$14:$I$28,9, FALSE)</f>
        <v>251.34</v>
      </c>
      <c r="G321" s="661"/>
      <c r="H321" s="688"/>
      <c r="I321" s="661"/>
      <c r="J321" s="661"/>
      <c r="K321" s="669"/>
      <c r="L321" s="661"/>
      <c r="M321" s="661"/>
      <c r="N321" s="661"/>
      <c r="O321" s="661"/>
      <c r="P321" s="688"/>
      <c r="Q321" s="688"/>
      <c r="R321" s="665"/>
      <c r="S321" s="665"/>
      <c r="T321" s="665">
        <f>ROUND((P321+Q321)*(1+$R$5)*1.18,0)</f>
        <v>0</v>
      </c>
      <c r="U321" s="706"/>
      <c r="V321" s="732"/>
      <c r="W321" s="690">
        <v>0</v>
      </c>
      <c r="X321" s="691"/>
      <c r="Y321" s="692"/>
      <c r="Z321" s="694"/>
      <c r="AA321" s="704"/>
      <c r="AB321" s="303"/>
      <c r="AC321" s="702"/>
      <c r="AD321" s="684"/>
      <c r="AE321" s="304"/>
      <c r="AG321" s="723"/>
      <c r="AH321" s="699"/>
      <c r="AI321" s="699"/>
      <c r="AK321" s="323"/>
      <c r="AL321" s="346"/>
      <c r="AM321" s="723"/>
      <c r="AN321" s="725"/>
      <c r="AO321" s="699"/>
      <c r="AQ321" s="701"/>
      <c r="AR321" s="702"/>
      <c r="AS321" s="695"/>
      <c r="AT321" s="307"/>
    </row>
    <row r="322" spans="1:49" s="308" customFormat="1" ht="24" customHeight="1" outlineLevel="1" x14ac:dyDescent="0.3">
      <c r="A322" s="477"/>
      <c r="B322" s="477"/>
      <c r="C322" s="475"/>
      <c r="D322" s="471"/>
      <c r="E322" s="484"/>
      <c r="F322" s="471"/>
      <c r="G322" s="471"/>
      <c r="H322" s="478"/>
      <c r="I322" s="471"/>
      <c r="J322" s="295" t="s">
        <v>366</v>
      </c>
      <c r="K322" s="296" t="s">
        <v>369</v>
      </c>
      <c r="L322" s="478" t="str">
        <f>VLOOKUP(K322,[2]материалы!$A$5:$G$31,5, FALSE)</f>
        <v>м</v>
      </c>
      <c r="M322" s="471">
        <f>VLOOKUP(K322,[2]материалы!$A$5:$G$34,7, FALSE)</f>
        <v>110.83</v>
      </c>
      <c r="N322" s="478">
        <v>1</v>
      </c>
      <c r="O322" s="471">
        <f t="shared" ref="O322" si="158">ROUND(M322*N322,2)</f>
        <v>110.83</v>
      </c>
      <c r="P322" s="478"/>
      <c r="Q322" s="478"/>
      <c r="R322" s="472"/>
      <c r="S322" s="472"/>
      <c r="T322" s="472"/>
      <c r="U322" s="309"/>
      <c r="V322" s="482"/>
      <c r="W322" s="311"/>
      <c r="X322" s="483"/>
      <c r="Y322" s="506"/>
      <c r="Z322" s="317"/>
      <c r="AA322" s="318"/>
      <c r="AB322" s="303"/>
      <c r="AC322" s="480"/>
      <c r="AD322" s="481"/>
      <c r="AE322" s="304"/>
      <c r="AG322" s="347"/>
      <c r="AH322" s="322"/>
      <c r="AI322" s="322"/>
      <c r="AK322" s="323"/>
      <c r="AL322" s="346"/>
      <c r="AM322" s="347"/>
      <c r="AN322" s="348"/>
      <c r="AO322" s="322"/>
      <c r="AQ322" s="324"/>
      <c r="AR322" s="480"/>
      <c r="AS322" s="325"/>
      <c r="AT322" s="307"/>
    </row>
    <row r="323" spans="1:49" ht="16.5" customHeight="1" x14ac:dyDescent="0.25">
      <c r="A323" s="647" t="s">
        <v>524</v>
      </c>
      <c r="B323" s="647" t="s">
        <v>286</v>
      </c>
      <c r="C323" s="660" t="s">
        <v>376</v>
      </c>
      <c r="D323" s="661" t="s">
        <v>28</v>
      </c>
      <c r="E323" s="484" t="s">
        <v>161</v>
      </c>
      <c r="F323" s="471">
        <f>VLOOKUP(E323,'[2]условия, ФОТ'!$A$14:$I$28,9, FALSE)</f>
        <v>206.19</v>
      </c>
      <c r="G323" s="661">
        <v>1.02</v>
      </c>
      <c r="H323" s="688">
        <f>ROUND((F323+F324)/2*G323,2)</f>
        <v>233.34</v>
      </c>
      <c r="I323" s="661">
        <f t="shared" si="94"/>
        <v>70.47</v>
      </c>
      <c r="J323" s="661">
        <f t="shared" si="147"/>
        <v>303.81</v>
      </c>
      <c r="K323" s="669"/>
      <c r="L323" s="661"/>
      <c r="M323" s="661"/>
      <c r="N323" s="661"/>
      <c r="O323" s="661">
        <f>O325</f>
        <v>241.28</v>
      </c>
      <c r="P323" s="688">
        <f t="shared" si="148"/>
        <v>545.09</v>
      </c>
      <c r="Q323" s="688">
        <f>ROUND(P323*$Q$5,2)</f>
        <v>362.48</v>
      </c>
      <c r="R323" s="665">
        <f>ROUND(T323/1.2,2)</f>
        <v>945.83</v>
      </c>
      <c r="S323" s="665">
        <f t="shared" si="137"/>
        <v>189.17</v>
      </c>
      <c r="T323" s="665">
        <f>ROUND((P323+Q323)*(1+Y323)*1.2,0)</f>
        <v>1135</v>
      </c>
      <c r="U323" s="666">
        <v>712</v>
      </c>
      <c r="V323" s="713">
        <f t="shared" si="149"/>
        <v>59.410112359550567</v>
      </c>
      <c r="W323" s="685">
        <v>1020</v>
      </c>
      <c r="X323" s="679">
        <f>T323/W323*100-100</f>
        <v>11.274509803921575</v>
      </c>
      <c r="Y323" s="734">
        <v>4.24E-2</v>
      </c>
      <c r="Z323" s="681" t="e">
        <f>#REF!*Y323</f>
        <v>#REF!</v>
      </c>
      <c r="AA323" s="735"/>
      <c r="AB323" s="235">
        <v>759.99</v>
      </c>
      <c r="AC323" s="674"/>
      <c r="AD323" s="683">
        <f>T323-W323</f>
        <v>115</v>
      </c>
      <c r="AE323" s="284"/>
      <c r="AG323" s="715">
        <v>0.11210000000000001</v>
      </c>
      <c r="AH323" s="670">
        <f t="shared" si="150"/>
        <v>0.11210000000000001</v>
      </c>
      <c r="AI323" s="670">
        <v>0</v>
      </c>
      <c r="AK323" s="286"/>
      <c r="AM323" s="715">
        <v>1.034</v>
      </c>
      <c r="AN323" s="717">
        <v>0.11210000000000001</v>
      </c>
      <c r="AO323" s="670" t="e">
        <f>#REF!-AM323</f>
        <v>#REF!</v>
      </c>
      <c r="AQ323" s="672">
        <f>Y323-AN323</f>
        <v>-6.9700000000000012E-2</v>
      </c>
      <c r="AR323" s="674">
        <v>760</v>
      </c>
      <c r="AS323" s="675" t="b">
        <f>W323=AR323</f>
        <v>0</v>
      </c>
      <c r="AT323" s="289" t="e">
        <f>ROUND(W323/T323*100-100,2)+#REF!</f>
        <v>#REF!</v>
      </c>
      <c r="AW323">
        <f>ROUND(T323/W323,3)</f>
        <v>1.113</v>
      </c>
    </row>
    <row r="324" spans="1:49" ht="13.5" customHeight="1" x14ac:dyDescent="0.25">
      <c r="A324" s="647"/>
      <c r="B324" s="647"/>
      <c r="C324" s="660"/>
      <c r="D324" s="661"/>
      <c r="E324" s="484" t="s">
        <v>166</v>
      </c>
      <c r="F324" s="471">
        <f>VLOOKUP(E324,'[2]условия, ФОТ'!$A$14:$I$28,9, FALSE)</f>
        <v>251.34</v>
      </c>
      <c r="G324" s="661"/>
      <c r="H324" s="688"/>
      <c r="I324" s="661"/>
      <c r="J324" s="661"/>
      <c r="K324" s="669"/>
      <c r="L324" s="661"/>
      <c r="M324" s="661"/>
      <c r="N324" s="661"/>
      <c r="O324" s="661"/>
      <c r="P324" s="688"/>
      <c r="Q324" s="688"/>
      <c r="R324" s="665"/>
      <c r="S324" s="665"/>
      <c r="T324" s="665">
        <f>ROUND((P324+Q324)*(1+$R$5)*1.18,0)</f>
        <v>0</v>
      </c>
      <c r="U324" s="667"/>
      <c r="V324" s="713"/>
      <c r="W324" s="686">
        <v>0</v>
      </c>
      <c r="X324" s="679"/>
      <c r="Y324" s="734"/>
      <c r="Z324" s="682"/>
      <c r="AA324" s="736"/>
      <c r="AC324" s="674"/>
      <c r="AD324" s="684"/>
      <c r="AE324" s="284"/>
      <c r="AG324" s="716"/>
      <c r="AH324" s="671"/>
      <c r="AI324" s="671"/>
      <c r="AK324" s="286"/>
      <c r="AM324" s="716"/>
      <c r="AN324" s="718"/>
      <c r="AO324" s="671"/>
      <c r="AQ324" s="673"/>
      <c r="AR324" s="674"/>
      <c r="AS324" s="675"/>
      <c r="AT324" s="289"/>
    </row>
    <row r="325" spans="1:49" ht="27" customHeight="1" outlineLevel="1" x14ac:dyDescent="0.3">
      <c r="A325" s="477"/>
      <c r="B325" s="477"/>
      <c r="C325" s="475"/>
      <c r="D325" s="471"/>
      <c r="E325" s="484"/>
      <c r="F325" s="471"/>
      <c r="G325" s="471"/>
      <c r="H325" s="478"/>
      <c r="I325" s="471"/>
      <c r="J325" s="295" t="s">
        <v>366</v>
      </c>
      <c r="K325" s="296" t="s">
        <v>374</v>
      </c>
      <c r="L325" s="478" t="str">
        <f>VLOOKUP(K325,[2]материалы!$A$5:$G$31,5, FALSE)</f>
        <v>м</v>
      </c>
      <c r="M325" s="471">
        <f>VLOOKUP(K325,[2]материалы!$A$5:$G$34,7, FALSE)</f>
        <v>241.28</v>
      </c>
      <c r="N325" s="478">
        <v>1</v>
      </c>
      <c r="O325" s="471">
        <f>ROUND(M325*N325,2)</f>
        <v>241.28</v>
      </c>
      <c r="P325" s="478"/>
      <c r="Q325" s="478"/>
      <c r="R325" s="472"/>
      <c r="S325" s="472"/>
      <c r="T325" s="472"/>
      <c r="U325" s="269"/>
      <c r="V325" s="469"/>
      <c r="W325" s="486"/>
      <c r="X325" s="470"/>
      <c r="Y325" s="499"/>
      <c r="Z325" s="487"/>
      <c r="AC325" s="467"/>
      <c r="AD325" s="468"/>
      <c r="AE325" s="284"/>
      <c r="AG325" s="466"/>
      <c r="AH325" s="285"/>
      <c r="AI325" s="285"/>
      <c r="AK325" s="286"/>
      <c r="AM325" s="466"/>
      <c r="AN325" s="337"/>
      <c r="AO325" s="285"/>
      <c r="AQ325" s="288"/>
      <c r="AR325" s="467"/>
      <c r="AT325" s="289"/>
    </row>
    <row r="326" spans="1:49" ht="25.5" customHeight="1" x14ac:dyDescent="0.3">
      <c r="A326" s="477" t="s">
        <v>525</v>
      </c>
      <c r="B326" s="477" t="s">
        <v>287</v>
      </c>
      <c r="C326" s="475" t="s">
        <v>378</v>
      </c>
      <c r="D326" s="471" t="s">
        <v>288</v>
      </c>
      <c r="E326" s="484" t="s">
        <v>161</v>
      </c>
      <c r="F326" s="471">
        <f>VLOOKUP(E326,'[2]условия, ФОТ'!$A$14:$I$28,9, FALSE)</f>
        <v>206.19</v>
      </c>
      <c r="G326" s="471">
        <v>0.94</v>
      </c>
      <c r="H326" s="471">
        <f t="shared" si="146"/>
        <v>193.82</v>
      </c>
      <c r="I326" s="471">
        <f t="shared" si="94"/>
        <v>58.53</v>
      </c>
      <c r="J326" s="471">
        <f t="shared" si="147"/>
        <v>252.35</v>
      </c>
      <c r="K326" s="479"/>
      <c r="L326" s="471"/>
      <c r="M326" s="471"/>
      <c r="N326" s="471"/>
      <c r="O326" s="471">
        <f>SUM(O327:O330)</f>
        <v>46.02</v>
      </c>
      <c r="P326" s="471">
        <f>J326+O326</f>
        <v>298.37</v>
      </c>
      <c r="Q326" s="471">
        <f t="shared" si="136"/>
        <v>198.42</v>
      </c>
      <c r="R326" s="472">
        <f>ROUND(T326/1.2,2)</f>
        <v>520</v>
      </c>
      <c r="S326" s="472">
        <f t="shared" si="137"/>
        <v>104</v>
      </c>
      <c r="T326" s="472">
        <f>ROUND((P326+Q326)*(1+Y326)*1.2,0)</f>
        <v>624</v>
      </c>
      <c r="U326" s="269">
        <v>440</v>
      </c>
      <c r="V326" s="336">
        <f t="shared" si="149"/>
        <v>41.818181818181813</v>
      </c>
      <c r="W326" s="498">
        <v>559</v>
      </c>
      <c r="X326" s="470">
        <f>T326/W326*100-100</f>
        <v>11.627906976744185</v>
      </c>
      <c r="Y326" s="499">
        <v>4.7199999999999999E-2</v>
      </c>
      <c r="Z326" s="487" t="e">
        <f>#REF!*Y326</f>
        <v>#REF!</v>
      </c>
      <c r="AB326" s="235">
        <v>469.43600000000004</v>
      </c>
      <c r="AC326" s="467"/>
      <c r="AD326" s="500">
        <f>T326-W326</f>
        <v>65</v>
      </c>
      <c r="AE326" s="284"/>
      <c r="AG326" s="466">
        <v>-8.0500000000000002E-2</v>
      </c>
      <c r="AH326" s="285">
        <f t="shared" si="150"/>
        <v>1.0805</v>
      </c>
      <c r="AI326" s="285">
        <v>1.117</v>
      </c>
      <c r="AK326" s="286">
        <f>ROUND(W326*AI326,2)</f>
        <v>624.4</v>
      </c>
      <c r="AM326" s="466">
        <v>1.034</v>
      </c>
      <c r="AN326" s="337">
        <v>-8.0500000000000002E-2</v>
      </c>
      <c r="AO326" s="285" t="e">
        <f>#REF!-AM326</f>
        <v>#REF!</v>
      </c>
      <c r="AQ326" s="288">
        <f>Y326-AN326</f>
        <v>0.12770000000000001</v>
      </c>
      <c r="AR326" s="467">
        <v>536</v>
      </c>
      <c r="AS326" s="127" t="b">
        <f>W326=AR326</f>
        <v>0</v>
      </c>
      <c r="AT326" s="289" t="e">
        <f>ROUND(W326/T326*100-100,2)+#REF!</f>
        <v>#REF!</v>
      </c>
      <c r="AW326">
        <f>ROUND(T326/W326,3)</f>
        <v>1.1160000000000001</v>
      </c>
    </row>
    <row r="327" spans="1:49" ht="25.5" outlineLevel="1" x14ac:dyDescent="0.3">
      <c r="A327" s="477"/>
      <c r="B327" s="477"/>
      <c r="C327" s="475"/>
      <c r="D327" s="471"/>
      <c r="E327" s="484"/>
      <c r="F327" s="471"/>
      <c r="G327" s="471"/>
      <c r="H327" s="471"/>
      <c r="I327" s="471"/>
      <c r="J327" s="295" t="s">
        <v>366</v>
      </c>
      <c r="K327" s="121" t="s">
        <v>335</v>
      </c>
      <c r="L327" s="478" t="str">
        <f>VLOOKUP(K327,[2]материалы!$A$5:$G$31,5, FALSE)</f>
        <v>кг</v>
      </c>
      <c r="M327" s="471">
        <f>VLOOKUP(K327,[2]материалы!$A$5:$G$34,7, FALSE)</f>
        <v>720.83</v>
      </c>
      <c r="N327" s="471">
        <v>5.0000000000000001E-3</v>
      </c>
      <c r="O327" s="471">
        <f>ROUND(M327*N327,2)</f>
        <v>3.6</v>
      </c>
      <c r="P327" s="471"/>
      <c r="Q327" s="471"/>
      <c r="R327" s="472"/>
      <c r="S327" s="472"/>
      <c r="T327" s="472"/>
      <c r="U327" s="269"/>
      <c r="V327" s="336"/>
      <c r="W327" s="486"/>
      <c r="X327" s="470"/>
      <c r="Y327" s="499"/>
      <c r="Z327" s="487"/>
      <c r="AC327" s="467"/>
      <c r="AD327" s="468"/>
      <c r="AE327" s="284"/>
      <c r="AG327" s="466"/>
      <c r="AH327" s="285"/>
      <c r="AI327" s="285"/>
      <c r="AK327" s="286"/>
      <c r="AM327" s="466"/>
      <c r="AN327" s="337"/>
      <c r="AO327" s="285"/>
      <c r="AQ327" s="288"/>
      <c r="AR327" s="467"/>
      <c r="AT327" s="289"/>
    </row>
    <row r="328" spans="1:49" outlineLevel="1" x14ac:dyDescent="0.3">
      <c r="A328" s="477"/>
      <c r="B328" s="477"/>
      <c r="C328" s="475"/>
      <c r="D328" s="471"/>
      <c r="E328" s="484"/>
      <c r="F328" s="471"/>
      <c r="G328" s="471"/>
      <c r="H328" s="471"/>
      <c r="I328" s="471"/>
      <c r="J328" s="471"/>
      <c r="K328" s="296" t="s">
        <v>329</v>
      </c>
      <c r="L328" s="478" t="str">
        <f>VLOOKUP(K328,[2]материалы!$A$5:$G$31,5, FALSE)</f>
        <v>кг</v>
      </c>
      <c r="M328" s="471">
        <f>VLOOKUP(K328,[2]материалы!$A$5:$G$34,7, FALSE)</f>
        <v>79.17</v>
      </c>
      <c r="N328" s="301">
        <v>1E-3</v>
      </c>
      <c r="O328" s="471">
        <f>ROUND(M328*N328,2)</f>
        <v>0.08</v>
      </c>
      <c r="P328" s="471"/>
      <c r="Q328" s="471"/>
      <c r="R328" s="472"/>
      <c r="S328" s="472"/>
      <c r="T328" s="472"/>
      <c r="U328" s="269"/>
      <c r="V328" s="336"/>
      <c r="W328" s="486"/>
      <c r="X328" s="470"/>
      <c r="Y328" s="499"/>
      <c r="Z328" s="487"/>
      <c r="AC328" s="467"/>
      <c r="AD328" s="468"/>
      <c r="AE328" s="284"/>
      <c r="AG328" s="466"/>
      <c r="AH328" s="285"/>
      <c r="AI328" s="285"/>
      <c r="AK328" s="286"/>
      <c r="AM328" s="466"/>
      <c r="AN328" s="337"/>
      <c r="AO328" s="285"/>
      <c r="AQ328" s="288"/>
      <c r="AR328" s="467"/>
      <c r="AT328" s="289"/>
    </row>
    <row r="329" spans="1:49" outlineLevel="1" x14ac:dyDescent="0.3">
      <c r="A329" s="477"/>
      <c r="B329" s="477"/>
      <c r="C329" s="475"/>
      <c r="D329" s="471"/>
      <c r="E329" s="484"/>
      <c r="F329" s="471"/>
      <c r="G329" s="471"/>
      <c r="H329" s="471"/>
      <c r="I329" s="471"/>
      <c r="J329" s="471"/>
      <c r="K329" s="296" t="s">
        <v>330</v>
      </c>
      <c r="L329" s="478" t="str">
        <f>VLOOKUP(K329,[2]материалы!$A$5:$G$31,5, FALSE)</f>
        <v>кг</v>
      </c>
      <c r="M329" s="471">
        <f>VLOOKUP(K329,[2]материалы!$A$5:$G$34,7, FALSE)</f>
        <v>66.67</v>
      </c>
      <c r="N329" s="478">
        <v>0.01</v>
      </c>
      <c r="O329" s="471">
        <f>ROUND(M329*N329,2)</f>
        <v>0.67</v>
      </c>
      <c r="P329" s="471"/>
      <c r="Q329" s="471"/>
      <c r="R329" s="472"/>
      <c r="S329" s="472"/>
      <c r="T329" s="472"/>
      <c r="U329" s="269"/>
      <c r="V329" s="336"/>
      <c r="W329" s="486"/>
      <c r="X329" s="470"/>
      <c r="Y329" s="499"/>
      <c r="Z329" s="487"/>
      <c r="AC329" s="467"/>
      <c r="AD329" s="468"/>
      <c r="AE329" s="284"/>
      <c r="AG329" s="466"/>
      <c r="AH329" s="285"/>
      <c r="AI329" s="285"/>
      <c r="AK329" s="286"/>
      <c r="AM329" s="466"/>
      <c r="AN329" s="337"/>
      <c r="AO329" s="285"/>
      <c r="AQ329" s="288"/>
      <c r="AR329" s="467"/>
      <c r="AT329" s="289"/>
    </row>
    <row r="330" spans="1:49" outlineLevel="1" x14ac:dyDescent="0.3">
      <c r="A330" s="477"/>
      <c r="B330" s="477"/>
      <c r="C330" s="475"/>
      <c r="D330" s="471"/>
      <c r="E330" s="484"/>
      <c r="F330" s="471"/>
      <c r="G330" s="471"/>
      <c r="H330" s="471"/>
      <c r="I330" s="471"/>
      <c r="J330" s="471"/>
      <c r="K330" s="296" t="s">
        <v>377</v>
      </c>
      <c r="L330" s="478" t="str">
        <f>VLOOKUP(K330,[2]материалы!$A$5:$G$31,5, FALSE)</f>
        <v>шт.</v>
      </c>
      <c r="M330" s="471">
        <f>VLOOKUP(K330,[2]материалы!$A$5:$G$34,7, FALSE)</f>
        <v>41.67</v>
      </c>
      <c r="N330" s="478">
        <v>1</v>
      </c>
      <c r="O330" s="471">
        <f>ROUND(M330*N330,2)</f>
        <v>41.67</v>
      </c>
      <c r="P330" s="471"/>
      <c r="Q330" s="471"/>
      <c r="R330" s="472"/>
      <c r="S330" s="472"/>
      <c r="T330" s="472"/>
      <c r="U330" s="269"/>
      <c r="V330" s="336"/>
      <c r="W330" s="486"/>
      <c r="X330" s="470"/>
      <c r="Y330" s="499"/>
      <c r="Z330" s="487"/>
      <c r="AC330" s="467"/>
      <c r="AD330" s="468"/>
      <c r="AE330" s="284"/>
      <c r="AG330" s="466"/>
      <c r="AH330" s="285"/>
      <c r="AI330" s="285"/>
      <c r="AK330" s="286"/>
      <c r="AM330" s="466"/>
      <c r="AN330" s="337"/>
      <c r="AO330" s="285"/>
      <c r="AQ330" s="288"/>
      <c r="AR330" s="467"/>
      <c r="AT330" s="289"/>
    </row>
    <row r="331" spans="1:49" ht="40.5" customHeight="1" x14ac:dyDescent="0.3">
      <c r="A331" s="477" t="s">
        <v>526</v>
      </c>
      <c r="B331" s="477" t="s">
        <v>289</v>
      </c>
      <c r="C331" s="475" t="s">
        <v>110</v>
      </c>
      <c r="D331" s="471" t="s">
        <v>290</v>
      </c>
      <c r="E331" s="484" t="s">
        <v>161</v>
      </c>
      <c r="F331" s="471">
        <f>VLOOKUP(E331,'[2]условия, ФОТ'!$A$14:$I$28,9, FALSE)</f>
        <v>206.19</v>
      </c>
      <c r="G331" s="471">
        <v>0.65</v>
      </c>
      <c r="H331" s="471">
        <f t="shared" si="146"/>
        <v>134.02000000000001</v>
      </c>
      <c r="I331" s="471">
        <f t="shared" ref="I331:I334" si="159">ROUND(H331*$I$5,2)</f>
        <v>40.47</v>
      </c>
      <c r="J331" s="471">
        <f t="shared" si="147"/>
        <v>174.49</v>
      </c>
      <c r="K331" s="479"/>
      <c r="L331" s="471"/>
      <c r="M331" s="471"/>
      <c r="N331" s="471"/>
      <c r="O331" s="471"/>
      <c r="P331" s="471">
        <f t="shared" si="148"/>
        <v>174.49</v>
      </c>
      <c r="Q331" s="471">
        <f t="shared" si="136"/>
        <v>116.04</v>
      </c>
      <c r="R331" s="472">
        <f>ROUND(T331/1.2,2)</f>
        <v>312.5</v>
      </c>
      <c r="S331" s="472">
        <f>ROUND(R331*$S$5,2)</f>
        <v>62.5</v>
      </c>
      <c r="T331" s="472">
        <f>ROUND((P331+Q331)*(1+Y331)*1.2,0)</f>
        <v>375</v>
      </c>
      <c r="U331" s="269">
        <v>242</v>
      </c>
      <c r="V331" s="336">
        <f t="shared" si="149"/>
        <v>54.95867768595042</v>
      </c>
      <c r="W331" s="498">
        <v>328</v>
      </c>
      <c r="X331" s="470">
        <f>T331/W331*100-100</f>
        <v>14.329268292682926</v>
      </c>
      <c r="Y331" s="499">
        <v>7.5399999999999995E-2</v>
      </c>
      <c r="Z331" s="487" t="e">
        <f>#REF!*Y331</f>
        <v>#REF!</v>
      </c>
      <c r="AB331" s="235">
        <v>257.46600000000001</v>
      </c>
      <c r="AC331" s="467"/>
      <c r="AD331" s="500">
        <f>T331-W331</f>
        <v>47</v>
      </c>
      <c r="AE331" s="284"/>
      <c r="AG331" s="466">
        <v>-0.14330000000000001</v>
      </c>
      <c r="AH331" s="285">
        <f t="shared" ref="AH331:AH364" si="160">IF(AG331&lt;0,-AG331+1,AG331)</f>
        <v>1.1433</v>
      </c>
      <c r="AI331" s="285">
        <v>1.1819999999999999</v>
      </c>
      <c r="AK331" s="286">
        <f>ROUND(W331*AI331,2)</f>
        <v>387.7</v>
      </c>
      <c r="AM331" s="466">
        <v>1.034</v>
      </c>
      <c r="AN331" s="337">
        <v>-0.14330000000000001</v>
      </c>
      <c r="AO331" s="285" t="e">
        <f>#REF!-AM331</f>
        <v>#REF!</v>
      </c>
      <c r="AQ331" s="288">
        <f>Y331-AN331</f>
        <v>0.21870000000000001</v>
      </c>
      <c r="AR331" s="467">
        <v>315</v>
      </c>
      <c r="AS331" s="127" t="b">
        <f>W331=AR331</f>
        <v>0</v>
      </c>
      <c r="AT331" s="289" t="e">
        <f>ROUND(W331/T331*100-100,2)+#REF!</f>
        <v>#REF!</v>
      </c>
      <c r="AW331">
        <f>ROUND(T331/W331,3)</f>
        <v>1.143</v>
      </c>
    </row>
    <row r="332" spans="1:49" ht="27.75" customHeight="1" x14ac:dyDescent="0.3">
      <c r="A332" s="477" t="s">
        <v>527</v>
      </c>
      <c r="B332" s="477" t="s">
        <v>291</v>
      </c>
      <c r="C332" s="475" t="s">
        <v>111</v>
      </c>
      <c r="D332" s="471" t="s">
        <v>220</v>
      </c>
      <c r="E332" s="484" t="s">
        <v>161</v>
      </c>
      <c r="F332" s="471">
        <f>VLOOKUP(E332,'[2]условия, ФОТ'!$A$14:$I$28,9, FALSE)</f>
        <v>206.19</v>
      </c>
      <c r="G332" s="471">
        <v>0.39</v>
      </c>
      <c r="H332" s="471">
        <f t="shared" si="146"/>
        <v>80.41</v>
      </c>
      <c r="I332" s="471">
        <f t="shared" si="159"/>
        <v>24.28</v>
      </c>
      <c r="J332" s="471">
        <f t="shared" si="147"/>
        <v>104.69</v>
      </c>
      <c r="K332" s="479"/>
      <c r="L332" s="471"/>
      <c r="M332" s="471"/>
      <c r="N332" s="471"/>
      <c r="O332" s="471">
        <f>O333</f>
        <v>3.6</v>
      </c>
      <c r="P332" s="471">
        <f t="shared" si="148"/>
        <v>108.28999999999999</v>
      </c>
      <c r="Q332" s="471">
        <f t="shared" si="136"/>
        <v>72.010000000000005</v>
      </c>
      <c r="R332" s="472">
        <f>ROUND(T332/1.2,2)</f>
        <v>194.17</v>
      </c>
      <c r="S332" s="472">
        <f t="shared" si="137"/>
        <v>38.83</v>
      </c>
      <c r="T332" s="472">
        <f>ROUND((P332+Q332)*(1+Y332)*1.2,0)</f>
        <v>233</v>
      </c>
      <c r="U332" s="269">
        <v>154</v>
      </c>
      <c r="V332" s="336">
        <f t="shared" si="149"/>
        <v>51.298701298701275</v>
      </c>
      <c r="W332" s="498">
        <v>205</v>
      </c>
      <c r="X332" s="470">
        <f>T332/W332*100-100</f>
        <v>13.658536585365837</v>
      </c>
      <c r="Y332" s="499">
        <v>7.85E-2</v>
      </c>
      <c r="Z332" s="487" t="e">
        <f>#REF!*Y332</f>
        <v>#REF!</v>
      </c>
      <c r="AB332" s="235">
        <v>164.40600000000001</v>
      </c>
      <c r="AC332" s="467"/>
      <c r="AD332" s="500">
        <f>T332-W332</f>
        <v>28</v>
      </c>
      <c r="AE332" s="284"/>
      <c r="AG332" s="466">
        <v>-0.12509999999999999</v>
      </c>
      <c r="AH332" s="285">
        <f t="shared" si="160"/>
        <v>1.1251</v>
      </c>
      <c r="AI332" s="285">
        <v>1.163</v>
      </c>
      <c r="AK332" s="286">
        <f>ROUND(W332*AI332,2)</f>
        <v>238.42</v>
      </c>
      <c r="AM332" s="466">
        <v>1.034</v>
      </c>
      <c r="AN332" s="337">
        <v>-0.12509999999999999</v>
      </c>
      <c r="AO332" s="285" t="e">
        <f>#REF!-AM332</f>
        <v>#REF!</v>
      </c>
      <c r="AQ332" s="288">
        <f>Y332-AN332</f>
        <v>0.2036</v>
      </c>
      <c r="AR332" s="467">
        <v>197</v>
      </c>
      <c r="AS332" s="127" t="b">
        <f>W332=AR332</f>
        <v>0</v>
      </c>
      <c r="AT332" s="289" t="e">
        <f>ROUND(W332/T332*100-100,2)+#REF!</f>
        <v>#REF!</v>
      </c>
      <c r="AW332">
        <f>ROUND(T332/W332,3)</f>
        <v>1.137</v>
      </c>
    </row>
    <row r="333" spans="1:49" ht="25.5" outlineLevel="1" x14ac:dyDescent="0.3">
      <c r="A333" s="477"/>
      <c r="B333" s="477"/>
      <c r="C333" s="475"/>
      <c r="D333" s="471"/>
      <c r="E333" s="484"/>
      <c r="F333" s="471"/>
      <c r="G333" s="471"/>
      <c r="H333" s="471"/>
      <c r="I333" s="471"/>
      <c r="J333" s="295" t="s">
        <v>366</v>
      </c>
      <c r="K333" s="121" t="s">
        <v>335</v>
      </c>
      <c r="L333" s="478" t="str">
        <f>VLOOKUP(K333,[2]материалы!$A$5:$G$31,5, FALSE)</f>
        <v>кг</v>
      </c>
      <c r="M333" s="471">
        <f>VLOOKUP(K333,[2]материалы!$A$5:$G$34,7, FALSE)</f>
        <v>720.83</v>
      </c>
      <c r="N333" s="471">
        <v>5.0000000000000001E-3</v>
      </c>
      <c r="O333" s="471">
        <f>ROUND(M333*N333,2)</f>
        <v>3.6</v>
      </c>
      <c r="P333" s="471"/>
      <c r="Q333" s="471"/>
      <c r="R333" s="472"/>
      <c r="S333" s="472"/>
      <c r="T333" s="472"/>
      <c r="U333" s="269"/>
      <c r="V333" s="336"/>
      <c r="W333" s="498"/>
      <c r="X333" s="470"/>
      <c r="Y333" s="499"/>
      <c r="Z333" s="487"/>
      <c r="AC333" s="467"/>
      <c r="AD333" s="468"/>
      <c r="AE333" s="284"/>
      <c r="AG333" s="466"/>
      <c r="AH333" s="285"/>
      <c r="AI333" s="285"/>
      <c r="AK333" s="286"/>
      <c r="AM333" s="466"/>
      <c r="AN333" s="337"/>
      <c r="AO333" s="285"/>
      <c r="AQ333" s="288"/>
      <c r="AR333" s="467"/>
      <c r="AT333" s="289"/>
    </row>
    <row r="334" spans="1:49" ht="27" customHeight="1" x14ac:dyDescent="0.3">
      <c r="A334" s="477" t="s">
        <v>528</v>
      </c>
      <c r="B334" s="477" t="s">
        <v>292</v>
      </c>
      <c r="C334" s="475" t="s">
        <v>112</v>
      </c>
      <c r="D334" s="471" t="s">
        <v>220</v>
      </c>
      <c r="E334" s="484" t="s">
        <v>161</v>
      </c>
      <c r="F334" s="471">
        <f>VLOOKUP(E334,'[2]условия, ФОТ'!$A$14:$I$28,9, FALSE)</f>
        <v>206.19</v>
      </c>
      <c r="G334" s="471">
        <v>0.52</v>
      </c>
      <c r="H334" s="471">
        <f t="shared" si="146"/>
        <v>107.22</v>
      </c>
      <c r="I334" s="471">
        <f t="shared" si="159"/>
        <v>32.380000000000003</v>
      </c>
      <c r="J334" s="471">
        <f t="shared" si="147"/>
        <v>139.6</v>
      </c>
      <c r="K334" s="479"/>
      <c r="L334" s="471"/>
      <c r="M334" s="471"/>
      <c r="N334" s="471"/>
      <c r="O334" s="471">
        <f>O335</f>
        <v>3.6</v>
      </c>
      <c r="P334" s="471">
        <f t="shared" si="148"/>
        <v>143.19999999999999</v>
      </c>
      <c r="Q334" s="471">
        <f t="shared" si="136"/>
        <v>95.23</v>
      </c>
      <c r="R334" s="472">
        <f>ROUND(T334/1.2,2)</f>
        <v>256.67</v>
      </c>
      <c r="S334" s="472">
        <f t="shared" si="137"/>
        <v>51.33</v>
      </c>
      <c r="T334" s="472">
        <f>ROUND((P334+Q334)*(1+Y334)*1.2,0)</f>
        <v>308</v>
      </c>
      <c r="U334" s="269">
        <v>202</v>
      </c>
      <c r="V334" s="336">
        <f>T334/U334*100-100</f>
        <v>52.47524752475249</v>
      </c>
      <c r="W334" s="498">
        <v>271</v>
      </c>
      <c r="X334" s="470">
        <f>T334/W334*100-100</f>
        <v>13.653136531365305</v>
      </c>
      <c r="Y334" s="499">
        <v>7.7799999999999994E-2</v>
      </c>
      <c r="Z334" s="487" t="e">
        <f>#REF!*Y334</f>
        <v>#REF!</v>
      </c>
      <c r="AB334" s="235">
        <v>216.10599999999999</v>
      </c>
      <c r="AC334" s="467"/>
      <c r="AD334" s="500">
        <f>T334-W334</f>
        <v>37</v>
      </c>
      <c r="AE334" s="284"/>
      <c r="AG334" s="466">
        <v>-0.12870000000000001</v>
      </c>
      <c r="AH334" s="285">
        <f t="shared" si="160"/>
        <v>1.1287</v>
      </c>
      <c r="AI334" s="285">
        <v>1.167</v>
      </c>
      <c r="AK334" s="286">
        <f>ROUND(W334*AI334,2)</f>
        <v>316.26</v>
      </c>
      <c r="AM334" s="466">
        <v>1.034</v>
      </c>
      <c r="AN334" s="337">
        <v>-0.12870000000000001</v>
      </c>
      <c r="AO334" s="285" t="e">
        <f>#REF!-AM334</f>
        <v>#REF!</v>
      </c>
      <c r="AQ334" s="288">
        <f>Y334-AN334</f>
        <v>0.20650000000000002</v>
      </c>
      <c r="AR334" s="467">
        <v>260</v>
      </c>
      <c r="AS334" s="127" t="b">
        <f>W334=AR334</f>
        <v>0</v>
      </c>
      <c r="AT334" s="289" t="e">
        <f>ROUND(W334/T334*100-100,2)+#REF!</f>
        <v>#REF!</v>
      </c>
      <c r="AW334">
        <f>ROUND(T334/W334,3)</f>
        <v>1.137</v>
      </c>
    </row>
    <row r="335" spans="1:49" ht="22.5" customHeight="1" outlineLevel="1" x14ac:dyDescent="0.3">
      <c r="A335" s="477"/>
      <c r="B335" s="477"/>
      <c r="C335" s="475"/>
      <c r="D335" s="471"/>
      <c r="E335" s="484"/>
      <c r="F335" s="471"/>
      <c r="G335" s="471"/>
      <c r="H335" s="471"/>
      <c r="I335" s="471"/>
      <c r="J335" s="295" t="s">
        <v>366</v>
      </c>
      <c r="K335" s="121" t="s">
        <v>335</v>
      </c>
      <c r="L335" s="478" t="str">
        <f>VLOOKUP(K335,[2]материалы!$A$5:$G$31,5, FALSE)</f>
        <v>кг</v>
      </c>
      <c r="M335" s="471">
        <f>VLOOKUP(K335,[2]материалы!$A$5:$G$34,7, FALSE)</f>
        <v>720.83</v>
      </c>
      <c r="N335" s="471">
        <v>5.0000000000000001E-3</v>
      </c>
      <c r="O335" s="471">
        <f>ROUND(M335*N335,2)</f>
        <v>3.6</v>
      </c>
      <c r="P335" s="471"/>
      <c r="Q335" s="471"/>
      <c r="R335" s="472"/>
      <c r="S335" s="472"/>
      <c r="T335" s="472"/>
      <c r="U335" s="269"/>
      <c r="V335" s="336"/>
      <c r="W335" s="498"/>
      <c r="X335" s="470"/>
      <c r="Y335" s="499"/>
      <c r="Z335" s="487"/>
      <c r="AC335" s="467"/>
      <c r="AD335" s="468"/>
      <c r="AE335" s="284"/>
      <c r="AG335" s="466"/>
      <c r="AH335" s="285"/>
      <c r="AI335" s="285"/>
      <c r="AK335" s="286"/>
      <c r="AM335" s="466"/>
      <c r="AN335" s="337"/>
      <c r="AO335" s="285"/>
      <c r="AQ335" s="288"/>
      <c r="AR335" s="467"/>
      <c r="AT335" s="289"/>
    </row>
    <row r="336" spans="1:49" ht="30" customHeight="1" x14ac:dyDescent="0.3">
      <c r="A336" s="477" t="s">
        <v>529</v>
      </c>
      <c r="B336" s="477" t="s">
        <v>359</v>
      </c>
      <c r="C336" s="475" t="s">
        <v>358</v>
      </c>
      <c r="D336" s="471" t="s">
        <v>18</v>
      </c>
      <c r="E336" s="484" t="s">
        <v>161</v>
      </c>
      <c r="F336" s="471">
        <f>VLOOKUP(E336,'[2]условия, ФОТ'!$A$14:$I$28,9, FALSE)</f>
        <v>206.19</v>
      </c>
      <c r="G336" s="471">
        <v>0.32</v>
      </c>
      <c r="H336" s="471">
        <f t="shared" ref="H336" si="161">ROUND(F336*G336,2)</f>
        <v>65.98</v>
      </c>
      <c r="I336" s="471">
        <f t="shared" ref="I336" si="162">ROUND(H336*$I$5,2)</f>
        <v>19.93</v>
      </c>
      <c r="J336" s="471">
        <f t="shared" ref="J336" si="163">H336+I336</f>
        <v>85.91</v>
      </c>
      <c r="K336" s="475"/>
      <c r="L336" s="478"/>
      <c r="M336" s="471"/>
      <c r="N336" s="471"/>
      <c r="O336" s="471"/>
      <c r="P336" s="471">
        <f t="shared" ref="P336" si="164">J336+O336</f>
        <v>85.91</v>
      </c>
      <c r="Q336" s="471">
        <f t="shared" ref="Q336" si="165">ROUND(P336*$Q$5,2)</f>
        <v>57.13</v>
      </c>
      <c r="R336" s="472">
        <f>ROUND(T336/1.2,2)</f>
        <v>154.16999999999999</v>
      </c>
      <c r="S336" s="472">
        <f t="shared" ref="S336" si="166">ROUND(R336*$S$5,2)</f>
        <v>30.83</v>
      </c>
      <c r="T336" s="472">
        <f>ROUND((P336+Q336)*(1+Y336)*1.2,0)</f>
        <v>185</v>
      </c>
      <c r="U336" s="269">
        <v>119</v>
      </c>
      <c r="V336" s="336">
        <f>T336/U336*100-100</f>
        <v>55.462184873949582</v>
      </c>
      <c r="W336" s="498">
        <v>162</v>
      </c>
      <c r="X336" s="470">
        <f>T336/W336*100-100</f>
        <v>14.197530864197532</v>
      </c>
      <c r="Y336" s="499">
        <v>7.4899999999999994E-2</v>
      </c>
      <c r="Z336" s="487" t="e">
        <f>#REF!*Y336</f>
        <v>#REF!</v>
      </c>
      <c r="AB336" s="235">
        <v>127.182</v>
      </c>
      <c r="AC336" s="467"/>
      <c r="AD336" s="500">
        <f>T336-W336</f>
        <v>23</v>
      </c>
      <c r="AE336" s="284"/>
      <c r="AG336" s="466">
        <v>-0.1404</v>
      </c>
      <c r="AH336" s="285">
        <f t="shared" si="160"/>
        <v>1.1404000000000001</v>
      </c>
      <c r="AI336" s="285">
        <v>1.179</v>
      </c>
      <c r="AK336" s="286">
        <f>ROUND(W336*AI336,2)</f>
        <v>191</v>
      </c>
      <c r="AM336" s="466">
        <v>1.034</v>
      </c>
      <c r="AN336" s="337">
        <v>-0.1404</v>
      </c>
      <c r="AO336" s="285" t="e">
        <f>#REF!-AM336</f>
        <v>#REF!</v>
      </c>
      <c r="AQ336" s="288">
        <f>Y336-AN336</f>
        <v>0.21529999999999999</v>
      </c>
      <c r="AR336" s="467">
        <v>155</v>
      </c>
      <c r="AS336" s="127" t="b">
        <f>W336=AR336</f>
        <v>0</v>
      </c>
      <c r="AT336" s="289" t="e">
        <f>ROUND(W336/T336*100-100,2)+#REF!</f>
        <v>#REF!</v>
      </c>
      <c r="AW336">
        <f>ROUND(T336/W336,3)</f>
        <v>1.1419999999999999</v>
      </c>
    </row>
    <row r="337" spans="1:49" ht="63" customHeight="1" x14ac:dyDescent="0.3">
      <c r="A337" s="471" t="s">
        <v>530</v>
      </c>
      <c r="B337" s="477" t="s">
        <v>293</v>
      </c>
      <c r="C337" s="475" t="s">
        <v>113</v>
      </c>
      <c r="D337" s="471" t="s">
        <v>220</v>
      </c>
      <c r="E337" s="484" t="s">
        <v>161</v>
      </c>
      <c r="F337" s="471">
        <f>VLOOKUP(E337,'[2]условия, ФОТ'!$A$14:$I$28,9, FALSE)</f>
        <v>206.19</v>
      </c>
      <c r="G337" s="471">
        <v>0.2</v>
      </c>
      <c r="H337" s="471">
        <f>ROUND(F337*G337,2)</f>
        <v>41.24</v>
      </c>
      <c r="I337" s="471">
        <f>ROUND(H337*$I$5,2)</f>
        <v>12.45</v>
      </c>
      <c r="J337" s="471">
        <f>H337+I337</f>
        <v>53.69</v>
      </c>
      <c r="K337" s="479"/>
      <c r="L337" s="471"/>
      <c r="M337" s="471"/>
      <c r="N337" s="471"/>
      <c r="O337" s="471"/>
      <c r="P337" s="471">
        <f>J337+O337</f>
        <v>53.69</v>
      </c>
      <c r="Q337" s="471">
        <f>ROUND(P337*$Q$5,2)</f>
        <v>35.700000000000003</v>
      </c>
      <c r="R337" s="472">
        <f>ROUND(T337/1.2,2)</f>
        <v>95.83</v>
      </c>
      <c r="S337" s="472">
        <f>ROUND(R337*$S$5,2)</f>
        <v>19.170000000000002</v>
      </c>
      <c r="T337" s="472">
        <f>ROUND((P337+Q337)*(1+Y337)*1.2,0)</f>
        <v>115</v>
      </c>
      <c r="U337" s="269">
        <v>74</v>
      </c>
      <c r="V337" s="336">
        <f>T337/U337*100-100</f>
        <v>55.405405405405389</v>
      </c>
      <c r="W337" s="498">
        <v>101</v>
      </c>
      <c r="X337" s="470">
        <f>T337/W337*100-100</f>
        <v>13.861386138613852</v>
      </c>
      <c r="Y337" s="499">
        <v>7.6200000000000004E-2</v>
      </c>
      <c r="Z337" s="487" t="e">
        <f>#REF!*Y337</f>
        <v>#REF!</v>
      </c>
      <c r="AB337" s="235">
        <v>79.618000000000009</v>
      </c>
      <c r="AC337" s="467"/>
      <c r="AD337" s="500">
        <f>T337-W337</f>
        <v>14</v>
      </c>
      <c r="AE337" s="284"/>
      <c r="AG337" s="466">
        <v>-0.1391</v>
      </c>
      <c r="AH337" s="285">
        <f t="shared" si="160"/>
        <v>1.1391</v>
      </c>
      <c r="AI337" s="285">
        <v>1.1779999999999999</v>
      </c>
      <c r="AK337" s="286">
        <f>ROUND(W337*AI337,2)</f>
        <v>118.98</v>
      </c>
      <c r="AM337" s="466">
        <v>1.034</v>
      </c>
      <c r="AN337" s="337">
        <v>-0.1391</v>
      </c>
      <c r="AO337" s="285" t="e">
        <f>#REF!-AM337</f>
        <v>#REF!</v>
      </c>
      <c r="AQ337" s="288">
        <f>Y337-AN337</f>
        <v>0.21529999999999999</v>
      </c>
      <c r="AR337" s="467">
        <v>97</v>
      </c>
      <c r="AS337" s="127" t="b">
        <f>W337=AR337</f>
        <v>0</v>
      </c>
      <c r="AT337" s="289" t="e">
        <f>ROUND(W337/T337*100-100,2)+#REF!</f>
        <v>#REF!</v>
      </c>
      <c r="AW337">
        <f>ROUND(T337/W337,3)</f>
        <v>1.139</v>
      </c>
    </row>
    <row r="338" spans="1:49" s="86" customFormat="1" ht="18.75" customHeight="1" x14ac:dyDescent="0.3">
      <c r="A338" s="651" t="s">
        <v>410</v>
      </c>
      <c r="B338" s="652"/>
      <c r="C338" s="652"/>
      <c r="D338" s="652"/>
      <c r="E338" s="652"/>
      <c r="F338" s="652"/>
      <c r="G338" s="652"/>
      <c r="H338" s="652"/>
      <c r="I338" s="652"/>
      <c r="J338" s="652"/>
      <c r="K338" s="652"/>
      <c r="L338" s="652"/>
      <c r="M338" s="652"/>
      <c r="N338" s="652"/>
      <c r="O338" s="652"/>
      <c r="P338" s="652"/>
      <c r="Q338" s="652"/>
      <c r="R338" s="390"/>
      <c r="S338" s="390"/>
      <c r="T338" s="391"/>
      <c r="U338" s="269"/>
      <c r="V338" s="261"/>
      <c r="W338" s="486"/>
      <c r="X338" s="470"/>
      <c r="Y338" s="499"/>
      <c r="Z338" s="487"/>
      <c r="AA338" s="278"/>
      <c r="AB338" s="235"/>
      <c r="AC338" s="467"/>
      <c r="AD338" s="468"/>
      <c r="AE338" s="284"/>
      <c r="AG338" s="292"/>
      <c r="AH338" s="285"/>
      <c r="AI338" s="285"/>
      <c r="AK338" s="286"/>
      <c r="AL338" s="293"/>
      <c r="AM338" s="292"/>
      <c r="AN338" s="294"/>
      <c r="AO338" s="285"/>
      <c r="AQ338" s="288"/>
      <c r="AR338" s="467"/>
      <c r="AS338" s="127"/>
      <c r="AT338" s="289"/>
      <c r="AU338"/>
      <c r="AV338"/>
      <c r="AW338"/>
    </row>
    <row r="339" spans="1:49" x14ac:dyDescent="0.3">
      <c r="A339" s="477" t="s">
        <v>531</v>
      </c>
      <c r="B339" s="477" t="s">
        <v>298</v>
      </c>
      <c r="C339" s="475" t="s">
        <v>299</v>
      </c>
      <c r="D339" s="471" t="s">
        <v>198</v>
      </c>
      <c r="E339" s="484" t="s">
        <v>162</v>
      </c>
      <c r="F339" s="471">
        <f>VLOOKUP(E339,'[2]условия, ФОТ'!$A$14:$I$28,9, FALSE)</f>
        <v>213.84</v>
      </c>
      <c r="G339" s="471">
        <v>0.5</v>
      </c>
      <c r="H339" s="471">
        <f t="shared" ref="H339:H343" si="167">ROUND(F339*G339,2)</f>
        <v>106.92</v>
      </c>
      <c r="I339" s="471">
        <f t="shared" ref="I339:I364" si="168">ROUND(H339*$I$5,2)</f>
        <v>32.29</v>
      </c>
      <c r="J339" s="471">
        <f t="shared" ref="J339:J343" si="169">H339+I339</f>
        <v>139.21</v>
      </c>
      <c r="K339" s="479"/>
      <c r="L339" s="471"/>
      <c r="M339" s="471"/>
      <c r="N339" s="471"/>
      <c r="O339" s="471"/>
      <c r="P339" s="471">
        <f t="shared" ref="P339:P343" si="170">J339+O339</f>
        <v>139.21</v>
      </c>
      <c r="Q339" s="471">
        <f t="shared" ref="Q339:Q364" si="171">ROUND(P339*$Q$5,2)</f>
        <v>92.57</v>
      </c>
      <c r="R339" s="472">
        <f>ROUND(T339/1.2,2)</f>
        <v>250</v>
      </c>
      <c r="S339" s="472">
        <f t="shared" ref="S339:S360" si="172">ROUND(R339*$S$5,2)</f>
        <v>50</v>
      </c>
      <c r="T339" s="472">
        <f>ROUND((P339+Q339)*(1+Y339)*1.2,0)</f>
        <v>300</v>
      </c>
      <c r="U339" s="269">
        <v>210</v>
      </c>
      <c r="V339" s="336">
        <f t="shared" ref="V339:V364" si="173">T339/U339*100-100</f>
        <v>42.857142857142861</v>
      </c>
      <c r="W339" s="498">
        <v>253</v>
      </c>
      <c r="X339" s="470">
        <f>T339/W339*100-100</f>
        <v>18.577075098814234</v>
      </c>
      <c r="Y339" s="499">
        <v>7.85E-2</v>
      </c>
      <c r="Z339" s="487" t="e">
        <f>#REF!*Y339</f>
        <v>#REF!</v>
      </c>
      <c r="AB339" s="235">
        <v>224.37800000000001</v>
      </c>
      <c r="AC339" s="467"/>
      <c r="AD339" s="500">
        <f>T339-W339</f>
        <v>47</v>
      </c>
      <c r="AE339" s="284"/>
      <c r="AG339" s="466">
        <v>-2.9399999999999999E-2</v>
      </c>
      <c r="AH339" s="285">
        <f t="shared" si="160"/>
        <v>1.0294000000000001</v>
      </c>
      <c r="AI339" s="285">
        <v>1.0640000000000001</v>
      </c>
      <c r="AK339" s="286">
        <f>ROUND(W339*AI339,2)</f>
        <v>269.19</v>
      </c>
      <c r="AM339" s="466">
        <v>1.034</v>
      </c>
      <c r="AN339" s="337">
        <v>-2.9399999999999999E-2</v>
      </c>
      <c r="AO339" s="285" t="e">
        <f>#REF!-AM339</f>
        <v>#REF!</v>
      </c>
      <c r="AQ339" s="288">
        <f>Y339-AN339</f>
        <v>0.1079</v>
      </c>
      <c r="AR339" s="467">
        <v>243</v>
      </c>
      <c r="AS339" s="127" t="b">
        <f>W339=AR339</f>
        <v>0</v>
      </c>
      <c r="AT339" s="289" t="e">
        <f>ROUND(W339/T339*100-100,2)+#REF!</f>
        <v>#REF!</v>
      </c>
      <c r="AW339">
        <f>ROUND(T339/W339,3)</f>
        <v>1.1859999999999999</v>
      </c>
    </row>
    <row r="340" spans="1:49" x14ac:dyDescent="0.3">
      <c r="A340" s="477" t="s">
        <v>532</v>
      </c>
      <c r="B340" s="477" t="s">
        <v>298</v>
      </c>
      <c r="C340" s="475" t="s">
        <v>300</v>
      </c>
      <c r="D340" s="471" t="s">
        <v>198</v>
      </c>
      <c r="E340" s="484" t="s">
        <v>162</v>
      </c>
      <c r="F340" s="471">
        <f>VLOOKUP(E340,'[2]условия, ФОТ'!$A$14:$I$28,9, FALSE)</f>
        <v>213.84</v>
      </c>
      <c r="G340" s="471">
        <v>0.2</v>
      </c>
      <c r="H340" s="471">
        <f t="shared" si="167"/>
        <v>42.77</v>
      </c>
      <c r="I340" s="471">
        <f t="shared" si="168"/>
        <v>12.92</v>
      </c>
      <c r="J340" s="471">
        <f t="shared" si="169"/>
        <v>55.690000000000005</v>
      </c>
      <c r="K340" s="479"/>
      <c r="L340" s="471"/>
      <c r="M340" s="471"/>
      <c r="N340" s="471"/>
      <c r="O340" s="471"/>
      <c r="P340" s="471">
        <f t="shared" si="170"/>
        <v>55.690000000000005</v>
      </c>
      <c r="Q340" s="471">
        <f t="shared" si="171"/>
        <v>37.03</v>
      </c>
      <c r="R340" s="472">
        <f>ROUND(T340/1.2,2)</f>
        <v>100</v>
      </c>
      <c r="S340" s="472">
        <f t="shared" si="172"/>
        <v>20</v>
      </c>
      <c r="T340" s="472">
        <f>ROUND((P340+Q340)*(1+Y340)*1.2,0)</f>
        <v>120</v>
      </c>
      <c r="U340" s="269">
        <v>84</v>
      </c>
      <c r="V340" s="336">
        <f t="shared" si="173"/>
        <v>42.857142857142861</v>
      </c>
      <c r="W340" s="498">
        <v>101</v>
      </c>
      <c r="X340" s="470">
        <f>T340/W340*100-100</f>
        <v>18.811881188118804</v>
      </c>
      <c r="Y340" s="499">
        <v>7.6200000000000004E-2</v>
      </c>
      <c r="Z340" s="487" t="e">
        <f>#REF!*Y340</f>
        <v>#REF!</v>
      </c>
      <c r="AB340" s="235">
        <v>89.957999999999998</v>
      </c>
      <c r="AC340" s="467"/>
      <c r="AD340" s="500">
        <f>T340-W340</f>
        <v>19</v>
      </c>
      <c r="AE340" s="284"/>
      <c r="AG340" s="466">
        <v>-2.7199999999999998E-2</v>
      </c>
      <c r="AH340" s="285">
        <f t="shared" si="160"/>
        <v>1.0271999999999999</v>
      </c>
      <c r="AI340" s="285">
        <v>1.0620000000000001</v>
      </c>
      <c r="AK340" s="286">
        <f>ROUND(W340*AI340,2)</f>
        <v>107.26</v>
      </c>
      <c r="AM340" s="466">
        <v>1.034</v>
      </c>
      <c r="AN340" s="337">
        <v>-2.7199999999999998E-2</v>
      </c>
      <c r="AO340" s="285" t="e">
        <f>#REF!-AM340</f>
        <v>#REF!</v>
      </c>
      <c r="AQ340" s="288">
        <f>Y340-AN340</f>
        <v>0.10340000000000001</v>
      </c>
      <c r="AR340" s="467">
        <v>97</v>
      </c>
      <c r="AS340" s="127" t="b">
        <f>W340=AR340</f>
        <v>0</v>
      </c>
      <c r="AT340" s="289" t="e">
        <f>ROUND(W340/T340*100-100,2)+#REF!</f>
        <v>#REF!</v>
      </c>
      <c r="AW340">
        <f>ROUND(T340/W340,3)</f>
        <v>1.1879999999999999</v>
      </c>
    </row>
    <row r="341" spans="1:49" ht="15.75" customHeight="1" x14ac:dyDescent="0.3">
      <c r="A341" s="647" t="s">
        <v>533</v>
      </c>
      <c r="B341" s="647" t="s">
        <v>301</v>
      </c>
      <c r="C341" s="660" t="s">
        <v>120</v>
      </c>
      <c r="D341" s="661" t="s">
        <v>198</v>
      </c>
      <c r="E341" s="484" t="s">
        <v>162</v>
      </c>
      <c r="F341" s="471">
        <f>VLOOKUP(E341,'[2]условия, ФОТ'!$A$14:$I$28,9, FALSE)</f>
        <v>213.84</v>
      </c>
      <c r="G341" s="471">
        <v>0.3</v>
      </c>
      <c r="H341" s="661">
        <f>ROUND((F341*G341+F342*G342),2)</f>
        <v>139.55000000000001</v>
      </c>
      <c r="I341" s="661">
        <f>ROUND(H341*$I$5,2)</f>
        <v>42.14</v>
      </c>
      <c r="J341" s="661">
        <f>H341+I341</f>
        <v>181.69</v>
      </c>
      <c r="K341" s="479"/>
      <c r="L341" s="471"/>
      <c r="M341" s="471"/>
      <c r="N341" s="471"/>
      <c r="O341" s="471"/>
      <c r="P341" s="661">
        <f>J341+O341</f>
        <v>181.69</v>
      </c>
      <c r="Q341" s="661">
        <f>ROUND(P341*$Q$5,2)</f>
        <v>120.82</v>
      </c>
      <c r="R341" s="665">
        <f>ROUND(T341/1.2,2)</f>
        <v>358.33</v>
      </c>
      <c r="S341" s="665">
        <f t="shared" si="172"/>
        <v>71.67</v>
      </c>
      <c r="T341" s="665">
        <f>ROUND((P341+Q341)*(1+Y341)*1.2,0)</f>
        <v>430</v>
      </c>
      <c r="U341" s="666">
        <v>311</v>
      </c>
      <c r="V341" s="713">
        <f t="shared" si="173"/>
        <v>38.263665594855297</v>
      </c>
      <c r="W341" s="685">
        <v>346</v>
      </c>
      <c r="X341" s="729">
        <f>T341/W341*100-100</f>
        <v>24.27745664739885</v>
      </c>
      <c r="Y341" s="680">
        <v>0.18479999999999999</v>
      </c>
      <c r="Z341" s="681" t="e">
        <f>#REF!*Y341</f>
        <v>#REF!</v>
      </c>
      <c r="AB341" s="235">
        <v>331.91399999999999</v>
      </c>
      <c r="AC341" s="674"/>
      <c r="AD341" s="683">
        <f>T341-W341</f>
        <v>84</v>
      </c>
      <c r="AE341" s="284"/>
      <c r="AG341" s="715">
        <v>0.1072</v>
      </c>
      <c r="AH341" s="670">
        <f t="shared" si="160"/>
        <v>0.1072</v>
      </c>
      <c r="AI341" s="670">
        <v>0</v>
      </c>
      <c r="AK341" s="676"/>
      <c r="AM341" s="715">
        <v>1.034</v>
      </c>
      <c r="AN341" s="717">
        <v>0.1072</v>
      </c>
      <c r="AO341" s="670" t="e">
        <f>#REF!-AM341</f>
        <v>#REF!</v>
      </c>
      <c r="AQ341" s="672">
        <f>Y341-AN341</f>
        <v>7.7599999999999988E-2</v>
      </c>
      <c r="AR341" s="674">
        <v>332</v>
      </c>
      <c r="AS341" s="127" t="b">
        <f>W341=AR341</f>
        <v>0</v>
      </c>
      <c r="AT341" s="289" t="e">
        <f>ROUND(W341/T341*100-100,2)+#REF!</f>
        <v>#REF!</v>
      </c>
      <c r="AW341">
        <f>ROUND(T341/W341,3)</f>
        <v>1.2430000000000001</v>
      </c>
    </row>
    <row r="342" spans="1:49" ht="17.25" customHeight="1" x14ac:dyDescent="0.3">
      <c r="A342" s="647"/>
      <c r="B342" s="647"/>
      <c r="C342" s="660"/>
      <c r="D342" s="661"/>
      <c r="E342" s="484" t="s">
        <v>166</v>
      </c>
      <c r="F342" s="471">
        <f>VLOOKUP(E342,'[2]условия, ФОТ'!$A$14:$I$28,9, FALSE)</f>
        <v>251.34</v>
      </c>
      <c r="G342" s="471">
        <v>0.3</v>
      </c>
      <c r="H342" s="661">
        <f t="shared" ref="H342" si="174">ROUND(F342*G342,2)</f>
        <v>75.400000000000006</v>
      </c>
      <c r="I342" s="661">
        <f t="shared" ref="I342" si="175">ROUND(H342*$I$5,2)</f>
        <v>22.77</v>
      </c>
      <c r="J342" s="661">
        <f t="shared" ref="J342" si="176">H342+I342</f>
        <v>98.17</v>
      </c>
      <c r="K342" s="479"/>
      <c r="L342" s="471"/>
      <c r="M342" s="471"/>
      <c r="N342" s="471"/>
      <c r="O342" s="471"/>
      <c r="P342" s="661"/>
      <c r="Q342" s="661"/>
      <c r="R342" s="665">
        <f t="shared" ref="R342" si="177">ROUND(T342/1.18,2)</f>
        <v>0</v>
      </c>
      <c r="S342" s="665">
        <f t="shared" si="172"/>
        <v>0</v>
      </c>
      <c r="T342" s="665">
        <f>ROUND((P342+Q342)*(1+$R$5)*1.18,0)</f>
        <v>0</v>
      </c>
      <c r="U342" s="667"/>
      <c r="V342" s="713"/>
      <c r="W342" s="686">
        <v>0</v>
      </c>
      <c r="X342" s="730"/>
      <c r="Y342" s="680"/>
      <c r="Z342" s="682"/>
      <c r="AC342" s="674"/>
      <c r="AD342" s="684"/>
      <c r="AE342" s="284"/>
      <c r="AG342" s="716"/>
      <c r="AH342" s="671"/>
      <c r="AI342" s="671"/>
      <c r="AK342" s="677"/>
      <c r="AM342" s="716"/>
      <c r="AN342" s="718"/>
      <c r="AO342" s="671"/>
      <c r="AQ342" s="673"/>
      <c r="AR342" s="674"/>
      <c r="AS342" s="127" t="b">
        <f>W342=AR342</f>
        <v>1</v>
      </c>
      <c r="AT342" s="289"/>
    </row>
    <row r="343" spans="1:49" ht="31.7" customHeight="1" x14ac:dyDescent="0.3">
      <c r="A343" s="477" t="s">
        <v>534</v>
      </c>
      <c r="B343" s="477" t="s">
        <v>302</v>
      </c>
      <c r="C343" s="475" t="s">
        <v>121</v>
      </c>
      <c r="D343" s="471" t="s">
        <v>198</v>
      </c>
      <c r="E343" s="484" t="s">
        <v>166</v>
      </c>
      <c r="F343" s="471">
        <f>VLOOKUP(E343,'[2]условия, ФОТ'!$A$14:$I$28,9, FALSE)</f>
        <v>251.34</v>
      </c>
      <c r="G343" s="471">
        <v>1.1000000000000001</v>
      </c>
      <c r="H343" s="471">
        <f t="shared" si="167"/>
        <v>276.47000000000003</v>
      </c>
      <c r="I343" s="471">
        <f t="shared" si="168"/>
        <v>83.49</v>
      </c>
      <c r="J343" s="471">
        <f t="shared" si="169"/>
        <v>359.96000000000004</v>
      </c>
      <c r="K343" s="479"/>
      <c r="L343" s="471"/>
      <c r="M343" s="471"/>
      <c r="N343" s="471"/>
      <c r="O343" s="471">
        <f>SUM(O344:O346)</f>
        <v>144.11000000000001</v>
      </c>
      <c r="P343" s="471">
        <f t="shared" si="170"/>
        <v>504.07000000000005</v>
      </c>
      <c r="Q343" s="471">
        <f t="shared" si="171"/>
        <v>335.21</v>
      </c>
      <c r="R343" s="472">
        <f>ROUND(T343/1.2,2)</f>
        <v>1065.83</v>
      </c>
      <c r="S343" s="472">
        <f t="shared" si="172"/>
        <v>213.17</v>
      </c>
      <c r="T343" s="472">
        <f>ROUND((P343+Q343)*(1+Y343)*1.2,0)</f>
        <v>1279</v>
      </c>
      <c r="U343" s="269">
        <v>961</v>
      </c>
      <c r="V343" s="336">
        <f t="shared" si="173"/>
        <v>33.090530697190445</v>
      </c>
      <c r="W343" s="498">
        <v>1069</v>
      </c>
      <c r="X343" s="470">
        <f>T343/W343*100-100</f>
        <v>19.644527595884</v>
      </c>
      <c r="Y343" s="499">
        <v>0.26960000000000001</v>
      </c>
      <c r="Z343" s="487" t="e">
        <f>#REF!*Y343</f>
        <v>#REF!</v>
      </c>
      <c r="AB343" s="235">
        <v>1025.7280000000001</v>
      </c>
      <c r="AC343" s="467"/>
      <c r="AD343" s="500">
        <f>T343-W343</f>
        <v>210</v>
      </c>
      <c r="AE343" s="284"/>
      <c r="AG343" s="466">
        <v>0.2412</v>
      </c>
      <c r="AH343" s="285">
        <f t="shared" si="160"/>
        <v>0.2412</v>
      </c>
      <c r="AI343" s="285">
        <v>0</v>
      </c>
      <c r="AK343" s="286"/>
      <c r="AM343" s="466">
        <v>1.034</v>
      </c>
      <c r="AN343" s="337">
        <v>0.2412</v>
      </c>
      <c r="AO343" s="285" t="e">
        <f>#REF!-AM343</f>
        <v>#REF!</v>
      </c>
      <c r="AQ343" s="288">
        <f>Y343-AN343</f>
        <v>2.8400000000000009E-2</v>
      </c>
      <c r="AR343" s="467">
        <v>1026</v>
      </c>
      <c r="AS343" s="127" t="b">
        <f>W343=AR343</f>
        <v>0</v>
      </c>
      <c r="AT343" s="289" t="e">
        <f>ROUND(W343/T343*100-100,2)+#REF!</f>
        <v>#REF!</v>
      </c>
      <c r="AW343">
        <f>ROUND(T343/W343,3)</f>
        <v>1.196</v>
      </c>
    </row>
    <row r="344" spans="1:49" outlineLevel="1" x14ac:dyDescent="0.3">
      <c r="A344" s="477"/>
      <c r="B344" s="477"/>
      <c r="C344" s="475"/>
      <c r="D344" s="471"/>
      <c r="E344" s="484"/>
      <c r="F344" s="471"/>
      <c r="G344" s="471"/>
      <c r="H344" s="471"/>
      <c r="I344" s="471"/>
      <c r="J344" s="295" t="s">
        <v>366</v>
      </c>
      <c r="K344" s="387" t="s">
        <v>380</v>
      </c>
      <c r="L344" s="478" t="str">
        <f>VLOOKUP(K344,[2]материалы!$A$5:$G$31,5, FALSE)</f>
        <v>кг</v>
      </c>
      <c r="M344" s="471">
        <f>VLOOKUP(K344,[2]материалы!$A$5:$G$34,7, FALSE)</f>
        <v>600</v>
      </c>
      <c r="N344" s="471">
        <v>0.1</v>
      </c>
      <c r="O344" s="471">
        <f>ROUND(M344*N344,2)</f>
        <v>60</v>
      </c>
      <c r="P344" s="471"/>
      <c r="Q344" s="471"/>
      <c r="R344" s="472"/>
      <c r="S344" s="472"/>
      <c r="T344" s="472"/>
      <c r="U344" s="269"/>
      <c r="V344" s="336"/>
      <c r="W344" s="486"/>
      <c r="X344" s="470"/>
      <c r="Y344" s="499"/>
      <c r="Z344" s="487"/>
      <c r="AC344" s="467"/>
      <c r="AD344" s="468"/>
      <c r="AE344" s="284"/>
      <c r="AG344" s="466"/>
      <c r="AH344" s="285"/>
      <c r="AI344" s="285"/>
      <c r="AK344" s="286"/>
      <c r="AM344" s="466"/>
      <c r="AN344" s="337"/>
      <c r="AO344" s="285"/>
      <c r="AQ344" s="288"/>
      <c r="AR344" s="467"/>
      <c r="AT344" s="289"/>
    </row>
    <row r="345" spans="1:49" outlineLevel="1" x14ac:dyDescent="0.3">
      <c r="A345" s="477"/>
      <c r="B345" s="477"/>
      <c r="C345" s="475"/>
      <c r="D345" s="471"/>
      <c r="E345" s="484"/>
      <c r="F345" s="471"/>
      <c r="G345" s="471"/>
      <c r="H345" s="471"/>
      <c r="I345" s="471"/>
      <c r="J345" s="471"/>
      <c r="K345" s="387" t="s">
        <v>379</v>
      </c>
      <c r="L345" s="478" t="str">
        <f>VLOOKUP(K345,[2]материалы!$A$5:$G$31,5, FALSE)</f>
        <v>кг</v>
      </c>
      <c r="M345" s="471">
        <f>VLOOKUP(K345,[2]материалы!$A$5:$G$34,7, FALSE)</f>
        <v>1500</v>
      </c>
      <c r="N345" s="471">
        <v>5.1999999999999998E-2</v>
      </c>
      <c r="O345" s="471">
        <f t="shared" ref="O345:O346" si="178">ROUND(M345*N345,2)</f>
        <v>78</v>
      </c>
      <c r="P345" s="471"/>
      <c r="Q345" s="471"/>
      <c r="R345" s="472"/>
      <c r="S345" s="472"/>
      <c r="T345" s="472"/>
      <c r="U345" s="269"/>
      <c r="V345" s="336"/>
      <c r="W345" s="486"/>
      <c r="X345" s="470"/>
      <c r="Y345" s="499"/>
      <c r="Z345" s="487"/>
      <c r="AC345" s="467"/>
      <c r="AD345" s="468"/>
      <c r="AE345" s="284"/>
      <c r="AG345" s="466"/>
      <c r="AH345" s="285"/>
      <c r="AI345" s="285"/>
      <c r="AK345" s="286"/>
      <c r="AM345" s="466"/>
      <c r="AN345" s="337"/>
      <c r="AO345" s="285"/>
      <c r="AQ345" s="288"/>
      <c r="AR345" s="467"/>
      <c r="AT345" s="289"/>
    </row>
    <row r="346" spans="1:49" outlineLevel="1" x14ac:dyDescent="0.3">
      <c r="A346" s="477"/>
      <c r="B346" s="477"/>
      <c r="C346" s="475"/>
      <c r="D346" s="471"/>
      <c r="E346" s="484"/>
      <c r="F346" s="471"/>
      <c r="G346" s="471"/>
      <c r="H346" s="471"/>
      <c r="I346" s="471"/>
      <c r="J346" s="471"/>
      <c r="K346" s="387" t="s">
        <v>324</v>
      </c>
      <c r="L346" s="478" t="str">
        <f>VLOOKUP(K346,[2]материалы!$A$5:$G$31,5, FALSE)</f>
        <v>м3</v>
      </c>
      <c r="M346" s="471">
        <f>VLOOKUP(K346,[2]материалы!$A$5:$G$34,7, FALSE)</f>
        <v>152.78</v>
      </c>
      <c r="N346" s="471">
        <v>0.04</v>
      </c>
      <c r="O346" s="471">
        <f t="shared" si="178"/>
        <v>6.11</v>
      </c>
      <c r="P346" s="471"/>
      <c r="Q346" s="471"/>
      <c r="R346" s="472"/>
      <c r="S346" s="472"/>
      <c r="T346" s="472"/>
      <c r="U346" s="269"/>
      <c r="V346" s="336"/>
      <c r="W346" s="486"/>
      <c r="X346" s="470"/>
      <c r="Y346" s="499"/>
      <c r="Z346" s="487"/>
      <c r="AC346" s="467"/>
      <c r="AD346" s="468"/>
      <c r="AE346" s="284"/>
      <c r="AG346" s="466"/>
      <c r="AH346" s="285"/>
      <c r="AI346" s="285"/>
      <c r="AK346" s="286"/>
      <c r="AM346" s="466"/>
      <c r="AN346" s="337"/>
      <c r="AO346" s="285"/>
      <c r="AQ346" s="288"/>
      <c r="AR346" s="467"/>
      <c r="AT346" s="289"/>
    </row>
    <row r="347" spans="1:49" s="86" customFormat="1" ht="18.75" customHeight="1" x14ac:dyDescent="0.3">
      <c r="A347" s="651" t="s">
        <v>691</v>
      </c>
      <c r="B347" s="652"/>
      <c r="C347" s="652"/>
      <c r="D347" s="652"/>
      <c r="E347" s="652"/>
      <c r="F347" s="652"/>
      <c r="G347" s="652"/>
      <c r="H347" s="652"/>
      <c r="I347" s="652"/>
      <c r="J347" s="652"/>
      <c r="K347" s="652"/>
      <c r="L347" s="652"/>
      <c r="M347" s="652"/>
      <c r="N347" s="652"/>
      <c r="O347" s="652"/>
      <c r="P347" s="652"/>
      <c r="Q347" s="652"/>
      <c r="R347" s="652"/>
      <c r="S347" s="652"/>
      <c r="T347" s="653"/>
      <c r="U347" s="269"/>
      <c r="V347" s="261"/>
      <c r="W347" s="138"/>
      <c r="X347" s="470"/>
      <c r="Y347" s="499"/>
      <c r="Z347" s="487"/>
      <c r="AA347" s="278"/>
      <c r="AB347" s="235"/>
      <c r="AC347" s="341"/>
      <c r="AD347" s="468"/>
      <c r="AE347" s="284"/>
      <c r="AG347" s="292"/>
      <c r="AH347" s="285"/>
      <c r="AI347" s="285"/>
      <c r="AK347" s="286"/>
      <c r="AL347" s="293"/>
      <c r="AM347" s="292"/>
      <c r="AN347" s="294"/>
      <c r="AO347" s="285"/>
      <c r="AQ347" s="288"/>
      <c r="AR347" s="341"/>
      <c r="AS347" s="127"/>
      <c r="AT347" s="289"/>
      <c r="AU347"/>
      <c r="AV347"/>
      <c r="AW347"/>
    </row>
    <row r="348" spans="1:49" ht="25.5" x14ac:dyDescent="0.3">
      <c r="A348" s="477" t="s">
        <v>535</v>
      </c>
      <c r="B348" s="477" t="s">
        <v>27</v>
      </c>
      <c r="C348" s="475" t="s">
        <v>129</v>
      </c>
      <c r="D348" s="471" t="s">
        <v>308</v>
      </c>
      <c r="E348" s="484" t="s">
        <v>318</v>
      </c>
      <c r="F348" s="471">
        <f>VLOOKUP(E348,'[2]условия, ФОТ'!$A$14:$I$28,9, FALSE)</f>
        <v>243.08</v>
      </c>
      <c r="G348" s="392">
        <v>1</v>
      </c>
      <c r="H348" s="471">
        <f t="shared" ref="H348:H364" si="179">ROUND(F348*G348,2)</f>
        <v>243.08</v>
      </c>
      <c r="I348" s="471">
        <f t="shared" si="168"/>
        <v>73.41</v>
      </c>
      <c r="J348" s="471">
        <f t="shared" ref="J348:J364" si="180">H348+I348</f>
        <v>316.49</v>
      </c>
      <c r="K348" s="479"/>
      <c r="L348" s="471"/>
      <c r="M348" s="471"/>
      <c r="N348" s="471"/>
      <c r="O348" s="471">
        <f>'[2]расход ГСМ'!J6</f>
        <v>179.05</v>
      </c>
      <c r="P348" s="471">
        <f>J348+O348</f>
        <v>495.54</v>
      </c>
      <c r="Q348" s="471">
        <f t="shared" si="171"/>
        <v>329.53</v>
      </c>
      <c r="R348" s="472">
        <f>ROUND(T348/1.2,2)</f>
        <v>860</v>
      </c>
      <c r="S348" s="472">
        <f t="shared" si="172"/>
        <v>172</v>
      </c>
      <c r="T348" s="472">
        <f t="shared" ref="T348:T357" si="181">ROUND((P348+Q348)*(1+Y348)*1.2,0)</f>
        <v>1032</v>
      </c>
      <c r="U348" s="269">
        <v>743</v>
      </c>
      <c r="V348" s="336">
        <f t="shared" si="173"/>
        <v>38.896366083445486</v>
      </c>
      <c r="W348" s="498">
        <v>973</v>
      </c>
      <c r="X348" s="470">
        <f t="shared" ref="X348:X357" si="182">T348/W348*100-100</f>
        <v>6.0637204522096653</v>
      </c>
      <c r="Y348" s="504">
        <v>4.2099999999999999E-2</v>
      </c>
      <c r="Z348" s="487" t="e">
        <f>#REF!*Y348</f>
        <v>#REF!</v>
      </c>
      <c r="AB348" s="235">
        <v>792.04399999999998</v>
      </c>
      <c r="AC348" s="467"/>
      <c r="AD348" s="500">
        <f t="shared" ref="AD348:AD357" si="183">T348-W348</f>
        <v>59</v>
      </c>
      <c r="AE348" s="284"/>
      <c r="AG348" s="466">
        <v>7.2900000000000006E-2</v>
      </c>
      <c r="AH348" s="285">
        <f t="shared" si="160"/>
        <v>7.2900000000000006E-2</v>
      </c>
      <c r="AI348" s="285">
        <v>0</v>
      </c>
      <c r="AK348" s="286"/>
      <c r="AM348" s="466">
        <v>1.034</v>
      </c>
      <c r="AN348" s="337">
        <v>7.2900000000000006E-2</v>
      </c>
      <c r="AO348" s="285" t="e">
        <f>#REF!-AM348</f>
        <v>#REF!</v>
      </c>
      <c r="AQ348" s="288">
        <f t="shared" ref="AQ348:AQ357" si="184">Y348-AN348</f>
        <v>-3.0800000000000008E-2</v>
      </c>
      <c r="AR348" s="467">
        <v>792</v>
      </c>
      <c r="AS348" s="127" t="b">
        <f t="shared" ref="AS348:AS364" si="185">W348=AR348</f>
        <v>0</v>
      </c>
      <c r="AT348" s="394" t="e">
        <f>ROUND(W348/T348*100-100,2)+#REF!</f>
        <v>#REF!</v>
      </c>
      <c r="AW348" s="395">
        <f t="shared" ref="AW348:AW357" si="186">ROUND(T348/W348,3)</f>
        <v>1.0609999999999999</v>
      </c>
    </row>
    <row r="349" spans="1:49" ht="25.5" x14ac:dyDescent="0.3">
      <c r="A349" s="477" t="s">
        <v>536</v>
      </c>
      <c r="B349" s="477" t="s">
        <v>27</v>
      </c>
      <c r="C349" s="475" t="s">
        <v>129</v>
      </c>
      <c r="D349" s="471" t="s">
        <v>309</v>
      </c>
      <c r="E349" s="484" t="s">
        <v>318</v>
      </c>
      <c r="F349" s="471">
        <f>VLOOKUP(E349,'[2]условия, ФОТ'!$A$14:$I$28,9, FALSE)</f>
        <v>243.08</v>
      </c>
      <c r="G349" s="471">
        <v>0.02</v>
      </c>
      <c r="H349" s="471">
        <f t="shared" si="179"/>
        <v>4.8600000000000003</v>
      </c>
      <c r="I349" s="471">
        <f t="shared" si="168"/>
        <v>1.47</v>
      </c>
      <c r="J349" s="471">
        <f t="shared" si="180"/>
        <v>6.33</v>
      </c>
      <c r="K349" s="479"/>
      <c r="L349" s="471"/>
      <c r="M349" s="471"/>
      <c r="N349" s="471"/>
      <c r="O349" s="471">
        <f>'[2]расход ГСМ'!K6</f>
        <v>3.65</v>
      </c>
      <c r="P349" s="471">
        <f>J349+O349</f>
        <v>9.98</v>
      </c>
      <c r="Q349" s="471">
        <f t="shared" si="171"/>
        <v>6.64</v>
      </c>
      <c r="R349" s="472">
        <f t="shared" ref="R349:R355" si="187">ROUND(T349/1.2,2)</f>
        <v>17.5</v>
      </c>
      <c r="S349" s="472">
        <f t="shared" si="172"/>
        <v>3.5</v>
      </c>
      <c r="T349" s="472">
        <f t="shared" si="181"/>
        <v>21</v>
      </c>
      <c r="U349" s="269">
        <v>15</v>
      </c>
      <c r="V349" s="336">
        <f t="shared" si="173"/>
        <v>40</v>
      </c>
      <c r="W349" s="498">
        <v>20</v>
      </c>
      <c r="X349" s="470">
        <f t="shared" si="182"/>
        <v>5</v>
      </c>
      <c r="Y349" s="504">
        <v>4.1399999999999999E-2</v>
      </c>
      <c r="Z349" s="487" t="e">
        <f>#REF!*Y349</f>
        <v>#REF!</v>
      </c>
      <c r="AB349" s="235">
        <v>15.51</v>
      </c>
      <c r="AC349" s="467"/>
      <c r="AD349" s="500">
        <f t="shared" si="183"/>
        <v>1</v>
      </c>
      <c r="AE349" s="284"/>
      <c r="AG349" s="466">
        <v>4.6600000000000003E-2</v>
      </c>
      <c r="AH349" s="285">
        <f t="shared" si="160"/>
        <v>4.6600000000000003E-2</v>
      </c>
      <c r="AI349" s="285">
        <v>0</v>
      </c>
      <c r="AK349" s="286"/>
      <c r="AM349" s="466">
        <v>1.034</v>
      </c>
      <c r="AN349" s="337">
        <v>4.6600000000000003E-2</v>
      </c>
      <c r="AO349" s="285" t="e">
        <f>#REF!-AM349</f>
        <v>#REF!</v>
      </c>
      <c r="AQ349" s="288">
        <f t="shared" si="184"/>
        <v>-5.2000000000000032E-3</v>
      </c>
      <c r="AR349" s="467">
        <v>16</v>
      </c>
      <c r="AS349" s="127" t="b">
        <f t="shared" si="185"/>
        <v>0</v>
      </c>
      <c r="AT349" s="394" t="e">
        <f>ROUND(W349/T349*100-100,2)+#REF!</f>
        <v>#REF!</v>
      </c>
      <c r="AW349" s="395">
        <f t="shared" si="186"/>
        <v>1.05</v>
      </c>
    </row>
    <row r="350" spans="1:49" ht="25.5" x14ac:dyDescent="0.3">
      <c r="A350" s="477" t="s">
        <v>538</v>
      </c>
      <c r="B350" s="477" t="s">
        <v>27</v>
      </c>
      <c r="C350" s="475" t="s">
        <v>127</v>
      </c>
      <c r="D350" s="471" t="s">
        <v>308</v>
      </c>
      <c r="E350" s="484" t="s">
        <v>319</v>
      </c>
      <c r="F350" s="471">
        <f>VLOOKUP(E350,'[2]условия, ФОТ'!$A$14:$I$28,9, FALSE)</f>
        <v>253.05</v>
      </c>
      <c r="G350" s="392">
        <v>1</v>
      </c>
      <c r="H350" s="471">
        <f t="shared" si="179"/>
        <v>253.05</v>
      </c>
      <c r="I350" s="471">
        <f t="shared" si="168"/>
        <v>76.42</v>
      </c>
      <c r="J350" s="471">
        <f t="shared" si="180"/>
        <v>329.47</v>
      </c>
      <c r="K350" s="479"/>
      <c r="L350" s="471"/>
      <c r="M350" s="471"/>
      <c r="N350" s="471"/>
      <c r="O350" s="471">
        <f>'[2]расход ГСМ'!J8</f>
        <v>265.16000000000003</v>
      </c>
      <c r="P350" s="471">
        <f t="shared" ref="P350:P364" si="188">J350+O350</f>
        <v>594.63000000000011</v>
      </c>
      <c r="Q350" s="471">
        <f t="shared" si="171"/>
        <v>395.43</v>
      </c>
      <c r="R350" s="472">
        <f t="shared" si="187"/>
        <v>1030.83</v>
      </c>
      <c r="S350" s="472">
        <f t="shared" si="172"/>
        <v>206.17</v>
      </c>
      <c r="T350" s="472">
        <f t="shared" si="181"/>
        <v>1237</v>
      </c>
      <c r="U350" s="269">
        <v>841</v>
      </c>
      <c r="V350" s="336">
        <f t="shared" si="173"/>
        <v>47.086801426872768</v>
      </c>
      <c r="W350" s="498">
        <v>1152</v>
      </c>
      <c r="X350" s="470">
        <f t="shared" si="182"/>
        <v>7.3784722222222285</v>
      </c>
      <c r="Y350" s="504">
        <v>4.1599999999999998E-2</v>
      </c>
      <c r="Z350" s="487" t="e">
        <f>#REF!*Y350</f>
        <v>#REF!</v>
      </c>
      <c r="AB350" s="235">
        <v>897.51199999999994</v>
      </c>
      <c r="AC350" s="467"/>
      <c r="AD350" s="500">
        <f t="shared" si="183"/>
        <v>85</v>
      </c>
      <c r="AE350" s="284"/>
      <c r="AG350" s="466">
        <v>9.4E-2</v>
      </c>
      <c r="AH350" s="285">
        <f t="shared" si="160"/>
        <v>9.4E-2</v>
      </c>
      <c r="AI350" s="285">
        <v>0</v>
      </c>
      <c r="AK350" s="286"/>
      <c r="AM350" s="466">
        <v>1.034</v>
      </c>
      <c r="AN350" s="337">
        <v>9.4E-2</v>
      </c>
      <c r="AO350" s="285" t="e">
        <f>#REF!-AM350</f>
        <v>#REF!</v>
      </c>
      <c r="AQ350" s="288">
        <f t="shared" si="184"/>
        <v>-5.2400000000000002E-2</v>
      </c>
      <c r="AR350" s="467">
        <v>898</v>
      </c>
      <c r="AS350" s="127" t="b">
        <f t="shared" si="185"/>
        <v>0</v>
      </c>
      <c r="AT350" s="394" t="e">
        <f>ROUND(W350/T350*100-100,2)+#REF!</f>
        <v>#REF!</v>
      </c>
      <c r="AW350" s="395">
        <f t="shared" si="186"/>
        <v>1.0740000000000001</v>
      </c>
    </row>
    <row r="351" spans="1:49" ht="25.5" x14ac:dyDescent="0.3">
      <c r="A351" s="477" t="s">
        <v>540</v>
      </c>
      <c r="B351" s="477" t="s">
        <v>27</v>
      </c>
      <c r="C351" s="475" t="s">
        <v>127</v>
      </c>
      <c r="D351" s="471" t="s">
        <v>309</v>
      </c>
      <c r="E351" s="484" t="s">
        <v>319</v>
      </c>
      <c r="F351" s="471">
        <f>VLOOKUP(E351,'[2]условия, ФОТ'!$A$14:$I$28,9, FALSE)</f>
        <v>253.05</v>
      </c>
      <c r="G351" s="471">
        <v>0.02</v>
      </c>
      <c r="H351" s="471">
        <f t="shared" si="179"/>
        <v>5.0599999999999996</v>
      </c>
      <c r="I351" s="471">
        <f t="shared" si="168"/>
        <v>1.53</v>
      </c>
      <c r="J351" s="471">
        <f t="shared" si="180"/>
        <v>6.59</v>
      </c>
      <c r="K351" s="479"/>
      <c r="L351" s="471"/>
      <c r="M351" s="471"/>
      <c r="N351" s="471"/>
      <c r="O351" s="471">
        <f>'[2]расход ГСМ'!K8</f>
        <v>5.41</v>
      </c>
      <c r="P351" s="471">
        <f t="shared" si="188"/>
        <v>12</v>
      </c>
      <c r="Q351" s="471">
        <f t="shared" si="171"/>
        <v>7.98</v>
      </c>
      <c r="R351" s="472">
        <f t="shared" si="187"/>
        <v>20.83</v>
      </c>
      <c r="S351" s="472">
        <f t="shared" si="172"/>
        <v>4.17</v>
      </c>
      <c r="T351" s="472">
        <f t="shared" si="181"/>
        <v>25</v>
      </c>
      <c r="U351" s="269">
        <v>17</v>
      </c>
      <c r="V351" s="336">
        <f t="shared" si="173"/>
        <v>47.058823529411768</v>
      </c>
      <c r="W351" s="498">
        <v>23</v>
      </c>
      <c r="X351" s="470">
        <f t="shared" si="182"/>
        <v>8.6956521739130324</v>
      </c>
      <c r="Y351" s="504">
        <v>4.2099999999999999E-2</v>
      </c>
      <c r="Z351" s="487" t="e">
        <f>#REF!*Y351</f>
        <v>#REF!</v>
      </c>
      <c r="AB351" s="235">
        <v>17.577999999999999</v>
      </c>
      <c r="AC351" s="467"/>
      <c r="AD351" s="500">
        <f t="shared" si="183"/>
        <v>2</v>
      </c>
      <c r="AE351" s="284"/>
      <c r="AG351" s="466">
        <v>6.5500000000000003E-2</v>
      </c>
      <c r="AH351" s="285">
        <f t="shared" si="160"/>
        <v>6.5500000000000003E-2</v>
      </c>
      <c r="AI351" s="285">
        <v>0</v>
      </c>
      <c r="AK351" s="286"/>
      <c r="AM351" s="466">
        <v>1.034</v>
      </c>
      <c r="AN351" s="337">
        <v>6.5500000000000003E-2</v>
      </c>
      <c r="AO351" s="285" t="e">
        <f>#REF!-AM351</f>
        <v>#REF!</v>
      </c>
      <c r="AQ351" s="288">
        <f t="shared" si="184"/>
        <v>-2.3400000000000004E-2</v>
      </c>
      <c r="AR351" s="467">
        <v>18</v>
      </c>
      <c r="AS351" s="127" t="b">
        <f t="shared" si="185"/>
        <v>0</v>
      </c>
      <c r="AT351" s="394" t="e">
        <f>ROUND(W351/T351*100-100,2)+#REF!</f>
        <v>#REF!</v>
      </c>
      <c r="AW351" s="395">
        <f t="shared" si="186"/>
        <v>1.087</v>
      </c>
    </row>
    <row r="352" spans="1:49" ht="29.25" customHeight="1" x14ac:dyDescent="0.3">
      <c r="A352" s="477" t="s">
        <v>541</v>
      </c>
      <c r="B352" s="477" t="s">
        <v>310</v>
      </c>
      <c r="C352" s="475" t="s">
        <v>130</v>
      </c>
      <c r="D352" s="471" t="s">
        <v>18</v>
      </c>
      <c r="E352" s="471" t="s">
        <v>29</v>
      </c>
      <c r="F352" s="471">
        <f>VLOOKUP(E352,'[2]условия, ФОТ'!$A$14:$I$28,9, FALSE)</f>
        <v>248.54</v>
      </c>
      <c r="G352" s="471">
        <v>0.4</v>
      </c>
      <c r="H352" s="471">
        <f t="shared" si="179"/>
        <v>99.42</v>
      </c>
      <c r="I352" s="471">
        <f t="shared" si="168"/>
        <v>30.02</v>
      </c>
      <c r="J352" s="471">
        <f t="shared" si="180"/>
        <v>129.44</v>
      </c>
      <c r="K352" s="479"/>
      <c r="L352" s="471"/>
      <c r="M352" s="471"/>
      <c r="N352" s="471"/>
      <c r="O352" s="471"/>
      <c r="P352" s="471">
        <f t="shared" si="188"/>
        <v>129.44</v>
      </c>
      <c r="Q352" s="471">
        <f t="shared" si="171"/>
        <v>86.08</v>
      </c>
      <c r="R352" s="472">
        <f t="shared" si="187"/>
        <v>248.33</v>
      </c>
      <c r="S352" s="472">
        <f t="shared" si="172"/>
        <v>49.67</v>
      </c>
      <c r="T352" s="472">
        <f t="shared" si="181"/>
        <v>298</v>
      </c>
      <c r="U352" s="269">
        <v>195</v>
      </c>
      <c r="V352" s="336">
        <f t="shared" si="173"/>
        <v>52.820512820512818</v>
      </c>
      <c r="W352" s="498">
        <v>217</v>
      </c>
      <c r="X352" s="470">
        <f t="shared" si="182"/>
        <v>37.327188940092185</v>
      </c>
      <c r="Y352" s="499">
        <v>0.154</v>
      </c>
      <c r="Z352" s="487" t="e">
        <f>#REF!*Y352</f>
        <v>#REF!</v>
      </c>
      <c r="AB352" s="235">
        <v>207.834</v>
      </c>
      <c r="AC352" s="467"/>
      <c r="AD352" s="500">
        <f t="shared" si="183"/>
        <v>81</v>
      </c>
      <c r="AE352" s="284"/>
      <c r="AG352" s="466">
        <v>0.1236</v>
      </c>
      <c r="AH352" s="285">
        <f t="shared" si="160"/>
        <v>0.1236</v>
      </c>
      <c r="AI352" s="285">
        <v>0</v>
      </c>
      <c r="AK352" s="286"/>
      <c r="AM352" s="466">
        <v>1.034</v>
      </c>
      <c r="AN352" s="337">
        <v>0.1236</v>
      </c>
      <c r="AO352" s="285" t="e">
        <f>#REF!-AM352</f>
        <v>#REF!</v>
      </c>
      <c r="AQ352" s="288">
        <f t="shared" si="184"/>
        <v>3.0399999999999996E-2</v>
      </c>
      <c r="AR352" s="467">
        <v>208</v>
      </c>
      <c r="AS352" s="127" t="b">
        <f t="shared" si="185"/>
        <v>0</v>
      </c>
      <c r="AT352" s="289" t="e">
        <f>ROUND(W352/T352*100-100,2)+#REF!</f>
        <v>#REF!</v>
      </c>
      <c r="AW352">
        <f t="shared" si="186"/>
        <v>1.373</v>
      </c>
    </row>
    <row r="353" spans="1:49" ht="29.25" customHeight="1" x14ac:dyDescent="0.3">
      <c r="A353" s="477" t="s">
        <v>542</v>
      </c>
      <c r="B353" s="471" t="s">
        <v>27</v>
      </c>
      <c r="C353" s="475" t="s">
        <v>131</v>
      </c>
      <c r="D353" s="471" t="s">
        <v>311</v>
      </c>
      <c r="E353" s="484" t="s">
        <v>312</v>
      </c>
      <c r="F353" s="471">
        <f>VLOOKUP(E353,'[2]условия, ФОТ'!$A$14:$I$28,9, FALSE)</f>
        <v>218.41</v>
      </c>
      <c r="G353" s="471">
        <v>0.15</v>
      </c>
      <c r="H353" s="471">
        <f t="shared" si="179"/>
        <v>32.76</v>
      </c>
      <c r="I353" s="471">
        <f t="shared" si="168"/>
        <v>9.89</v>
      </c>
      <c r="J353" s="471">
        <f t="shared" si="180"/>
        <v>42.65</v>
      </c>
      <c r="K353" s="479"/>
      <c r="L353" s="471"/>
      <c r="M353" s="471"/>
      <c r="N353" s="471"/>
      <c r="O353" s="471"/>
      <c r="P353" s="471">
        <f t="shared" si="188"/>
        <v>42.65</v>
      </c>
      <c r="Q353" s="471">
        <f t="shared" si="171"/>
        <v>28.36</v>
      </c>
      <c r="R353" s="472">
        <f t="shared" si="187"/>
        <v>74.17</v>
      </c>
      <c r="S353" s="472">
        <f t="shared" si="172"/>
        <v>14.83</v>
      </c>
      <c r="T353" s="472">
        <f t="shared" si="181"/>
        <v>89</v>
      </c>
      <c r="U353" s="269">
        <v>67</v>
      </c>
      <c r="V353" s="336">
        <f t="shared" si="173"/>
        <v>32.835820895522403</v>
      </c>
      <c r="W353" s="498">
        <v>74</v>
      </c>
      <c r="X353" s="470">
        <f t="shared" si="182"/>
        <v>20.27027027027026</v>
      </c>
      <c r="Y353" s="499">
        <v>5.0099999999999999E-2</v>
      </c>
      <c r="Z353" s="487" t="e">
        <f>#REF!*Y353</f>
        <v>#REF!</v>
      </c>
      <c r="AB353" s="235">
        <v>71.346000000000004</v>
      </c>
      <c r="AC353" s="467"/>
      <c r="AD353" s="500">
        <f t="shared" si="183"/>
        <v>15</v>
      </c>
      <c r="AE353" s="284"/>
      <c r="AG353" s="466">
        <v>2.9000000000000001E-2</v>
      </c>
      <c r="AH353" s="285">
        <f t="shared" si="160"/>
        <v>2.9000000000000001E-2</v>
      </c>
      <c r="AI353" s="285">
        <v>0</v>
      </c>
      <c r="AK353" s="286"/>
      <c r="AM353" s="466">
        <v>1.034</v>
      </c>
      <c r="AN353" s="337">
        <v>2.9000000000000001E-2</v>
      </c>
      <c r="AO353" s="285" t="e">
        <f>#REF!-AM353</f>
        <v>#REF!</v>
      </c>
      <c r="AQ353" s="288">
        <f t="shared" si="184"/>
        <v>2.1099999999999997E-2</v>
      </c>
      <c r="AR353" s="467">
        <v>71</v>
      </c>
      <c r="AS353" s="127" t="b">
        <f t="shared" si="185"/>
        <v>0</v>
      </c>
      <c r="AT353" s="289" t="e">
        <f>ROUND(W353/T353*100-100,2)+#REF!</f>
        <v>#REF!</v>
      </c>
      <c r="AW353">
        <f t="shared" si="186"/>
        <v>1.2030000000000001</v>
      </c>
    </row>
    <row r="354" spans="1:49" ht="27" x14ac:dyDescent="0.3">
      <c r="A354" s="396" t="s">
        <v>543</v>
      </c>
      <c r="B354" s="471" t="s">
        <v>27</v>
      </c>
      <c r="C354" s="475" t="s">
        <v>132</v>
      </c>
      <c r="D354" s="471" t="s">
        <v>311</v>
      </c>
      <c r="E354" s="397" t="s">
        <v>363</v>
      </c>
      <c r="F354" s="471">
        <f>VLOOKUP(E354,'[2]условия, ФОТ'!$A$14:$I$28,9, FALSE)</f>
        <v>218.41</v>
      </c>
      <c r="G354" s="471">
        <v>0.13</v>
      </c>
      <c r="H354" s="471">
        <f t="shared" si="179"/>
        <v>28.39</v>
      </c>
      <c r="I354" s="471">
        <f t="shared" si="168"/>
        <v>8.57</v>
      </c>
      <c r="J354" s="471">
        <f t="shared" si="180"/>
        <v>36.96</v>
      </c>
      <c r="K354" s="479"/>
      <c r="L354" s="471"/>
      <c r="M354" s="471"/>
      <c r="N354" s="471"/>
      <c r="O354" s="471"/>
      <c r="P354" s="471">
        <f t="shared" si="188"/>
        <v>36.96</v>
      </c>
      <c r="Q354" s="471">
        <f t="shared" si="171"/>
        <v>24.58</v>
      </c>
      <c r="R354" s="472">
        <f t="shared" si="187"/>
        <v>65.83</v>
      </c>
      <c r="S354" s="472">
        <f t="shared" si="172"/>
        <v>13.17</v>
      </c>
      <c r="T354" s="472">
        <f t="shared" si="181"/>
        <v>79</v>
      </c>
      <c r="U354" s="269">
        <v>40</v>
      </c>
      <c r="V354" s="336">
        <f t="shared" si="173"/>
        <v>97.5</v>
      </c>
      <c r="W354" s="498">
        <v>66</v>
      </c>
      <c r="X354" s="470">
        <f t="shared" si="182"/>
        <v>19.696969696969703</v>
      </c>
      <c r="Y354" s="499">
        <v>7.5200000000000003E-2</v>
      </c>
      <c r="Z354" s="487" t="e">
        <f>#REF!*Y354</f>
        <v>#REF!</v>
      </c>
      <c r="AB354" s="235">
        <v>42.393999999999998</v>
      </c>
      <c r="AC354" s="467"/>
      <c r="AD354" s="500">
        <f t="shared" si="183"/>
        <v>13</v>
      </c>
      <c r="AE354" s="284"/>
      <c r="AG354" s="466">
        <v>-0.29470000000000002</v>
      </c>
      <c r="AH354" s="285">
        <f t="shared" si="160"/>
        <v>1.2947</v>
      </c>
      <c r="AI354" s="285">
        <v>1.339</v>
      </c>
      <c r="AK354" s="286">
        <f>ROUND(W354*AI354,2)</f>
        <v>88.37</v>
      </c>
      <c r="AM354" s="466">
        <v>1.034</v>
      </c>
      <c r="AN354" s="337">
        <v>-0.29470000000000002</v>
      </c>
      <c r="AO354" s="285" t="e">
        <f>#REF!-AM354</f>
        <v>#REF!</v>
      </c>
      <c r="AQ354" s="288">
        <f t="shared" si="184"/>
        <v>0.36990000000000001</v>
      </c>
      <c r="AR354" s="467">
        <v>63</v>
      </c>
      <c r="AS354" s="127" t="b">
        <f t="shared" si="185"/>
        <v>0</v>
      </c>
      <c r="AT354" s="289" t="e">
        <f>ROUND(W354/T354*100-100,2)+#REF!</f>
        <v>#REF!</v>
      </c>
      <c r="AW354">
        <f t="shared" si="186"/>
        <v>1.1970000000000001</v>
      </c>
    </row>
    <row r="355" spans="1:49" ht="22.7" customHeight="1" x14ac:dyDescent="0.3">
      <c r="A355" s="396" t="s">
        <v>537</v>
      </c>
      <c r="B355" s="471" t="s">
        <v>27</v>
      </c>
      <c r="C355" s="475" t="s">
        <v>133</v>
      </c>
      <c r="D355" s="471" t="s">
        <v>316</v>
      </c>
      <c r="E355" s="471" t="s">
        <v>315</v>
      </c>
      <c r="F355" s="471">
        <f>VLOOKUP(E355,'[2]условия, ФОТ'!$A$14:$I$28,9, FALSE)</f>
        <v>218.41</v>
      </c>
      <c r="G355" s="471">
        <v>0.03</v>
      </c>
      <c r="H355" s="471">
        <f t="shared" si="179"/>
        <v>6.55</v>
      </c>
      <c r="I355" s="471">
        <f t="shared" si="168"/>
        <v>1.98</v>
      </c>
      <c r="J355" s="471">
        <f t="shared" si="180"/>
        <v>8.5299999999999994</v>
      </c>
      <c r="K355" s="479"/>
      <c r="L355" s="471"/>
      <c r="M355" s="471"/>
      <c r="N355" s="471"/>
      <c r="O355" s="471"/>
      <c r="P355" s="471">
        <f t="shared" si="188"/>
        <v>8.5299999999999994</v>
      </c>
      <c r="Q355" s="471">
        <f t="shared" si="171"/>
        <v>5.67</v>
      </c>
      <c r="R355" s="472">
        <f t="shared" si="187"/>
        <v>15.83</v>
      </c>
      <c r="S355" s="472">
        <f t="shared" si="172"/>
        <v>3.17</v>
      </c>
      <c r="T355" s="472">
        <f t="shared" si="181"/>
        <v>19</v>
      </c>
      <c r="U355" s="269">
        <v>11</v>
      </c>
      <c r="V355" s="336">
        <f t="shared" si="173"/>
        <v>72.72727272727272</v>
      </c>
      <c r="W355" s="498">
        <v>16</v>
      </c>
      <c r="X355" s="470">
        <f t="shared" si="182"/>
        <v>18.75</v>
      </c>
      <c r="Y355" s="499">
        <v>0.1085</v>
      </c>
      <c r="Z355" s="487" t="e">
        <f>#REF!*Y355</f>
        <v>#REF!</v>
      </c>
      <c r="AB355" s="235">
        <v>11.374000000000001</v>
      </c>
      <c r="AC355" s="467"/>
      <c r="AD355" s="500">
        <f t="shared" si="183"/>
        <v>3</v>
      </c>
      <c r="AE355" s="284"/>
      <c r="AG355" s="466">
        <v>-0.1802</v>
      </c>
      <c r="AH355" s="285">
        <f t="shared" si="160"/>
        <v>1.1801999999999999</v>
      </c>
      <c r="AI355" s="285">
        <v>1.22</v>
      </c>
      <c r="AK355" s="286">
        <f>ROUND(W355*AI355,2)</f>
        <v>19.52</v>
      </c>
      <c r="AM355" s="466">
        <v>1.034</v>
      </c>
      <c r="AN355" s="337">
        <v>-0.1802</v>
      </c>
      <c r="AO355" s="285" t="e">
        <f>#REF!-AM355</f>
        <v>#REF!</v>
      </c>
      <c r="AQ355" s="288">
        <f t="shared" si="184"/>
        <v>0.28870000000000001</v>
      </c>
      <c r="AR355" s="467">
        <v>15</v>
      </c>
      <c r="AS355" s="127" t="b">
        <f t="shared" si="185"/>
        <v>0</v>
      </c>
      <c r="AT355" s="289" t="e">
        <f>ROUND(W355/T355*100-100,2)+#REF!</f>
        <v>#REF!</v>
      </c>
      <c r="AW355">
        <f t="shared" si="186"/>
        <v>1.1879999999999999</v>
      </c>
    </row>
    <row r="356" spans="1:49" ht="29.25" customHeight="1" x14ac:dyDescent="0.3">
      <c r="A356" s="396" t="s">
        <v>557</v>
      </c>
      <c r="B356" s="471" t="s">
        <v>27</v>
      </c>
      <c r="C356" s="475" t="s">
        <v>134</v>
      </c>
      <c r="D356" s="471" t="s">
        <v>316</v>
      </c>
      <c r="E356" s="484" t="s">
        <v>312</v>
      </c>
      <c r="F356" s="471">
        <f>VLOOKUP(E356,'[2]условия, ФОТ'!$A$14:$I$28,9, FALSE)</f>
        <v>218.41</v>
      </c>
      <c r="G356" s="471">
        <v>0.12</v>
      </c>
      <c r="H356" s="471">
        <f t="shared" si="179"/>
        <v>26.21</v>
      </c>
      <c r="I356" s="471">
        <f t="shared" si="168"/>
        <v>7.92</v>
      </c>
      <c r="J356" s="471">
        <f t="shared" si="180"/>
        <v>34.130000000000003</v>
      </c>
      <c r="K356" s="479"/>
      <c r="L356" s="471"/>
      <c r="M356" s="471"/>
      <c r="N356" s="471"/>
      <c r="O356" s="471"/>
      <c r="P356" s="471">
        <f t="shared" si="188"/>
        <v>34.130000000000003</v>
      </c>
      <c r="Q356" s="471">
        <f t="shared" si="171"/>
        <v>22.7</v>
      </c>
      <c r="R356" s="472">
        <f>ROUND(T356/1.2,2)</f>
        <v>60</v>
      </c>
      <c r="S356" s="472">
        <f>ROUND(R356*$S$5,2)</f>
        <v>12</v>
      </c>
      <c r="T356" s="472">
        <f t="shared" si="181"/>
        <v>72</v>
      </c>
      <c r="U356" s="269">
        <v>54</v>
      </c>
      <c r="V356" s="336">
        <f t="shared" si="173"/>
        <v>33.333333333333314</v>
      </c>
      <c r="W356" s="498">
        <v>59</v>
      </c>
      <c r="X356" s="470">
        <f t="shared" si="182"/>
        <v>22.033898305084747</v>
      </c>
      <c r="Y356" s="507">
        <v>5.4100000000000002E-2</v>
      </c>
      <c r="Z356" s="487" t="e">
        <f>#REF!*Y356</f>
        <v>#REF!</v>
      </c>
      <c r="AB356" s="235">
        <v>56.870000000000005</v>
      </c>
      <c r="AC356" s="467"/>
      <c r="AD356" s="500">
        <f t="shared" si="183"/>
        <v>13</v>
      </c>
      <c r="AE356" s="284"/>
      <c r="AG356" s="466">
        <v>2.4899999999999999E-2</v>
      </c>
      <c r="AH356" s="285">
        <f t="shared" si="160"/>
        <v>2.4899999999999999E-2</v>
      </c>
      <c r="AI356" s="285">
        <v>0</v>
      </c>
      <c r="AK356" s="286"/>
      <c r="AM356" s="466">
        <v>1.034</v>
      </c>
      <c r="AN356" s="337">
        <v>2.4899999999999999E-2</v>
      </c>
      <c r="AO356" s="285" t="e">
        <f>#REF!-AM356</f>
        <v>#REF!</v>
      </c>
      <c r="AQ356" s="288">
        <f t="shared" si="184"/>
        <v>2.9200000000000004E-2</v>
      </c>
      <c r="AR356" s="467">
        <v>57</v>
      </c>
      <c r="AS356" s="127" t="b">
        <f t="shared" si="185"/>
        <v>0</v>
      </c>
      <c r="AT356" s="289" t="e">
        <f>ROUND(W356/T356*100-100,2)+#REF!</f>
        <v>#REF!</v>
      </c>
      <c r="AW356">
        <f t="shared" si="186"/>
        <v>1.22</v>
      </c>
    </row>
    <row r="357" spans="1:49" ht="16.5" customHeight="1" x14ac:dyDescent="0.3">
      <c r="A357" s="737" t="s">
        <v>692</v>
      </c>
      <c r="B357" s="661" t="s">
        <v>27</v>
      </c>
      <c r="C357" s="660" t="s">
        <v>135</v>
      </c>
      <c r="D357" s="646" t="s">
        <v>18</v>
      </c>
      <c r="E357" s="484" t="s">
        <v>162</v>
      </c>
      <c r="F357" s="471">
        <f>VLOOKUP(E357,'[2]условия, ФОТ'!$A$14:$I$28,9, FALSE)</f>
        <v>213.84</v>
      </c>
      <c r="G357" s="471">
        <v>1.1200000000000001</v>
      </c>
      <c r="H357" s="661">
        <f>ROUND(F357*G357+F358*G358,2)</f>
        <v>326.86</v>
      </c>
      <c r="I357" s="661">
        <f t="shared" si="168"/>
        <v>98.71</v>
      </c>
      <c r="J357" s="661">
        <f t="shared" si="180"/>
        <v>425.57</v>
      </c>
      <c r="K357" s="479"/>
      <c r="L357" s="471"/>
      <c r="M357" s="471"/>
      <c r="N357" s="471"/>
      <c r="O357" s="471"/>
      <c r="P357" s="661">
        <f t="shared" si="188"/>
        <v>425.57</v>
      </c>
      <c r="Q357" s="661">
        <f t="shared" si="171"/>
        <v>283</v>
      </c>
      <c r="R357" s="665">
        <f>ROUND(T357/1.2,2)</f>
        <v>762.5</v>
      </c>
      <c r="S357" s="665">
        <f t="shared" si="172"/>
        <v>152.5</v>
      </c>
      <c r="T357" s="665">
        <f t="shared" si="181"/>
        <v>915</v>
      </c>
      <c r="U357" s="666">
        <v>593</v>
      </c>
      <c r="V357" s="713">
        <f t="shared" si="173"/>
        <v>54.300168634064079</v>
      </c>
      <c r="W357" s="685">
        <v>768</v>
      </c>
      <c r="X357" s="679">
        <f t="shared" si="182"/>
        <v>19.140625</v>
      </c>
      <c r="Y357" s="680">
        <v>7.5999999999999998E-2</v>
      </c>
      <c r="Z357" s="681" t="e">
        <f>#REF!*Y357</f>
        <v>#REF!</v>
      </c>
      <c r="AB357" s="235">
        <v>631.774</v>
      </c>
      <c r="AC357" s="674"/>
      <c r="AD357" s="683">
        <f t="shared" si="183"/>
        <v>147</v>
      </c>
      <c r="AE357" s="284"/>
      <c r="AG357" s="715">
        <v>-0.10100000000000001</v>
      </c>
      <c r="AH357" s="670">
        <f t="shared" si="160"/>
        <v>1.101</v>
      </c>
      <c r="AI357" s="670">
        <v>1.1379999999999999</v>
      </c>
      <c r="AK357" s="676">
        <f>ROUND(W357*AI357,2)</f>
        <v>873.98</v>
      </c>
      <c r="AM357" s="715">
        <v>1.034</v>
      </c>
      <c r="AN357" s="717">
        <v>-0.10100000000000001</v>
      </c>
      <c r="AO357" s="670" t="e">
        <f>#REF!-AM357</f>
        <v>#REF!</v>
      </c>
      <c r="AQ357" s="672">
        <f t="shared" si="184"/>
        <v>0.17699999999999999</v>
      </c>
      <c r="AR357" s="674">
        <v>737</v>
      </c>
      <c r="AS357" s="127" t="b">
        <f t="shared" si="185"/>
        <v>0</v>
      </c>
      <c r="AT357" s="289" t="e">
        <f>ROUND(W357/T357*100-100,2)+#REF!</f>
        <v>#REF!</v>
      </c>
      <c r="AW357">
        <f t="shared" si="186"/>
        <v>1.1910000000000001</v>
      </c>
    </row>
    <row r="358" spans="1:49" ht="25.5" x14ac:dyDescent="0.3">
      <c r="A358" s="738"/>
      <c r="B358" s="661"/>
      <c r="C358" s="660"/>
      <c r="D358" s="646"/>
      <c r="E358" s="476" t="s">
        <v>363</v>
      </c>
      <c r="F358" s="471">
        <f>VLOOKUP(E358,'[2]условия, ФОТ'!$A$14:$I$28,9, FALSE)</f>
        <v>218.41</v>
      </c>
      <c r="G358" s="471">
        <v>0.4</v>
      </c>
      <c r="H358" s="661"/>
      <c r="I358" s="661"/>
      <c r="J358" s="661"/>
      <c r="K358" s="479"/>
      <c r="L358" s="471"/>
      <c r="M358" s="471"/>
      <c r="N358" s="471"/>
      <c r="O358" s="471"/>
      <c r="P358" s="661">
        <f t="shared" si="188"/>
        <v>0</v>
      </c>
      <c r="Q358" s="661">
        <f t="shared" si="171"/>
        <v>0</v>
      </c>
      <c r="R358" s="665">
        <f t="shared" ref="R358" si="189">ROUND(T358/1.18,2)</f>
        <v>0</v>
      </c>
      <c r="S358" s="665">
        <f t="shared" si="172"/>
        <v>0</v>
      </c>
      <c r="T358" s="665">
        <f>ROUND((P358+Q358)*(1+$R$5)*1.18,0)</f>
        <v>0</v>
      </c>
      <c r="U358" s="667"/>
      <c r="V358" s="713"/>
      <c r="W358" s="686">
        <v>0</v>
      </c>
      <c r="X358" s="679"/>
      <c r="Y358" s="680"/>
      <c r="Z358" s="682"/>
      <c r="AC358" s="674"/>
      <c r="AD358" s="684"/>
      <c r="AE358" s="284"/>
      <c r="AG358" s="716"/>
      <c r="AH358" s="671"/>
      <c r="AI358" s="671"/>
      <c r="AK358" s="677"/>
      <c r="AM358" s="716"/>
      <c r="AN358" s="718"/>
      <c r="AO358" s="671"/>
      <c r="AQ358" s="673"/>
      <c r="AR358" s="674"/>
      <c r="AS358" s="127" t="b">
        <f t="shared" si="185"/>
        <v>1</v>
      </c>
      <c r="AT358" s="289"/>
    </row>
    <row r="359" spans="1:49" ht="25.5" x14ac:dyDescent="0.3">
      <c r="A359" s="396" t="s">
        <v>693</v>
      </c>
      <c r="B359" s="471" t="s">
        <v>27</v>
      </c>
      <c r="C359" s="475" t="s">
        <v>136</v>
      </c>
      <c r="D359" s="471" t="s">
        <v>316</v>
      </c>
      <c r="E359" s="484" t="s">
        <v>163</v>
      </c>
      <c r="F359" s="471">
        <f>VLOOKUP(E359,'[2]условия, ФОТ'!$A$14:$I$28,9, FALSE)</f>
        <v>272.93</v>
      </c>
      <c r="G359" s="471">
        <v>0.34</v>
      </c>
      <c r="H359" s="471">
        <f t="shared" si="179"/>
        <v>92.8</v>
      </c>
      <c r="I359" s="471">
        <f t="shared" si="168"/>
        <v>28.03</v>
      </c>
      <c r="J359" s="471">
        <f t="shared" si="180"/>
        <v>120.83</v>
      </c>
      <c r="K359" s="479"/>
      <c r="L359" s="471"/>
      <c r="M359" s="471"/>
      <c r="N359" s="471"/>
      <c r="O359" s="471"/>
      <c r="P359" s="471">
        <f t="shared" si="188"/>
        <v>120.83</v>
      </c>
      <c r="Q359" s="471">
        <f t="shared" si="171"/>
        <v>80.349999999999994</v>
      </c>
      <c r="R359" s="472">
        <f>ROUND(T359/1.2,2)</f>
        <v>230</v>
      </c>
      <c r="S359" s="472">
        <f t="shared" si="172"/>
        <v>46</v>
      </c>
      <c r="T359" s="472">
        <f>ROUND((P359+Q359)*(1+Y359)*1.2,0)</f>
        <v>276</v>
      </c>
      <c r="U359" s="269">
        <v>205</v>
      </c>
      <c r="V359" s="336">
        <f t="shared" si="173"/>
        <v>34.634146341463435</v>
      </c>
      <c r="W359" s="498">
        <v>228</v>
      </c>
      <c r="X359" s="470">
        <f>T359/W359*100-100</f>
        <v>21.05263157894737</v>
      </c>
      <c r="Y359" s="499">
        <v>0.1439</v>
      </c>
      <c r="Z359" s="487" t="e">
        <f>#REF!*Y359</f>
        <v>#REF!</v>
      </c>
      <c r="AB359" s="235">
        <v>219.208</v>
      </c>
      <c r="AC359" s="467"/>
      <c r="AD359" s="500">
        <f>T359-W359</f>
        <v>48</v>
      </c>
      <c r="AE359" s="284"/>
      <c r="AG359" s="466">
        <v>2.7699999999999999E-2</v>
      </c>
      <c r="AH359" s="285">
        <f t="shared" si="160"/>
        <v>2.7699999999999999E-2</v>
      </c>
      <c r="AI359" s="285">
        <v>0</v>
      </c>
      <c r="AK359" s="286"/>
      <c r="AM359" s="466">
        <v>1.034</v>
      </c>
      <c r="AN359" s="337">
        <v>2.7699999999999999E-2</v>
      </c>
      <c r="AO359" s="285" t="e">
        <f>#REF!-AM359</f>
        <v>#REF!</v>
      </c>
      <c r="AQ359" s="288">
        <f>Y359-AN359</f>
        <v>0.1162</v>
      </c>
      <c r="AR359" s="467">
        <v>219</v>
      </c>
      <c r="AS359" s="127" t="b">
        <f t="shared" si="185"/>
        <v>0</v>
      </c>
      <c r="AT359" s="289" t="e">
        <f>ROUND(W359/T359*100-100,2)+#REF!</f>
        <v>#REF!</v>
      </c>
      <c r="AW359">
        <f>ROUND(T359/W359,3)</f>
        <v>1.2110000000000001</v>
      </c>
    </row>
    <row r="360" spans="1:49" s="56" customFormat="1" ht="19.5" customHeight="1" x14ac:dyDescent="0.3">
      <c r="A360" s="737" t="s">
        <v>694</v>
      </c>
      <c r="B360" s="661" t="s">
        <v>27</v>
      </c>
      <c r="C360" s="660" t="s">
        <v>137</v>
      </c>
      <c r="D360" s="661" t="s">
        <v>328</v>
      </c>
      <c r="E360" s="471" t="s">
        <v>161</v>
      </c>
      <c r="F360" s="471">
        <f>VLOOKUP(E360,'[2]условия, ФОТ'!$A$14:$I$28,9, FALSE)</f>
        <v>206.19</v>
      </c>
      <c r="G360" s="471">
        <v>0.1</v>
      </c>
      <c r="H360" s="661">
        <f>ROUND(F360*G360+F361*G361,2)</f>
        <v>47.88</v>
      </c>
      <c r="I360" s="661">
        <f t="shared" si="168"/>
        <v>14.46</v>
      </c>
      <c r="J360" s="661">
        <f t="shared" si="180"/>
        <v>62.34</v>
      </c>
      <c r="K360" s="479"/>
      <c r="L360" s="471"/>
      <c r="M360" s="471"/>
      <c r="N360" s="471"/>
      <c r="O360" s="661">
        <f>ROUND('[2]расход ГСМ'!J4/4,2)</f>
        <v>117.71</v>
      </c>
      <c r="P360" s="661">
        <f>J360+O360</f>
        <v>180.05</v>
      </c>
      <c r="Q360" s="661">
        <f t="shared" si="171"/>
        <v>119.73</v>
      </c>
      <c r="R360" s="665">
        <f>ROUND(T360/1.2,2)</f>
        <v>330.83</v>
      </c>
      <c r="S360" s="665">
        <f t="shared" si="172"/>
        <v>66.17</v>
      </c>
      <c r="T360" s="665">
        <f>ROUND((P360+Q360)*(1+Y360)*1.2,0)</f>
        <v>397</v>
      </c>
      <c r="U360" s="666">
        <v>329</v>
      </c>
      <c r="V360" s="713">
        <f t="shared" si="173"/>
        <v>20.668693009118527</v>
      </c>
      <c r="W360" s="749">
        <v>466</v>
      </c>
      <c r="X360" s="679">
        <f>T360/W360*100-100</f>
        <v>-14.806866952789704</v>
      </c>
      <c r="Y360" s="751">
        <v>0.10299999999999999</v>
      </c>
      <c r="Z360" s="745" t="e">
        <f>#REF!*Y360</f>
        <v>#REF!</v>
      </c>
      <c r="AB360" s="56">
        <v>350.52600000000001</v>
      </c>
      <c r="AC360" s="674"/>
      <c r="AD360" s="747">
        <f>T360-W360</f>
        <v>-69</v>
      </c>
      <c r="AE360" s="284"/>
      <c r="AG360" s="741">
        <v>7.85E-2</v>
      </c>
      <c r="AH360" s="670">
        <f t="shared" si="160"/>
        <v>7.85E-2</v>
      </c>
      <c r="AI360" s="670">
        <v>0</v>
      </c>
      <c r="AK360" s="670"/>
      <c r="AL360" s="233"/>
      <c r="AM360" s="741">
        <v>1.034</v>
      </c>
      <c r="AN360" s="743">
        <v>7.85E-2</v>
      </c>
      <c r="AO360" s="670" t="e">
        <f>#REF!-AM360</f>
        <v>#REF!</v>
      </c>
      <c r="AQ360" s="672">
        <f>Y360-AN360</f>
        <v>2.4499999999999994E-2</v>
      </c>
      <c r="AR360" s="674">
        <v>351</v>
      </c>
      <c r="AS360" s="127" t="b">
        <f t="shared" si="185"/>
        <v>0</v>
      </c>
      <c r="AT360" s="508" t="e">
        <f>ROUND(W360/T360*100-100,2)+#REF!</f>
        <v>#REF!</v>
      </c>
      <c r="AW360" s="56">
        <f>ROUND(T360/W360,3)</f>
        <v>0.85199999999999998</v>
      </c>
    </row>
    <row r="361" spans="1:49" s="56" customFormat="1" ht="24" customHeight="1" x14ac:dyDescent="0.3">
      <c r="A361" s="738"/>
      <c r="B361" s="661"/>
      <c r="C361" s="660"/>
      <c r="D361" s="661"/>
      <c r="E361" s="484" t="s">
        <v>712</v>
      </c>
      <c r="F361" s="471">
        <f>VLOOKUP(E361,'[2]условия, ФОТ'!$A$14:$I$28,9, FALSE)</f>
        <v>272.61</v>
      </c>
      <c r="G361" s="471">
        <v>0.1</v>
      </c>
      <c r="H361" s="661"/>
      <c r="I361" s="661"/>
      <c r="J361" s="661">
        <f t="shared" si="180"/>
        <v>0</v>
      </c>
      <c r="K361" s="479"/>
      <c r="L361" s="471"/>
      <c r="M361" s="471"/>
      <c r="N361" s="471"/>
      <c r="O361" s="661"/>
      <c r="P361" s="661"/>
      <c r="Q361" s="661"/>
      <c r="R361" s="665"/>
      <c r="S361" s="665"/>
      <c r="T361" s="665">
        <f>ROUND((P361+Q361)*(1+$R$5)*1.18,0)</f>
        <v>0</v>
      </c>
      <c r="U361" s="667"/>
      <c r="V361" s="713"/>
      <c r="W361" s="750">
        <v>0</v>
      </c>
      <c r="X361" s="679"/>
      <c r="Y361" s="751"/>
      <c r="Z361" s="746"/>
      <c r="AC361" s="674"/>
      <c r="AD361" s="748"/>
      <c r="AE361" s="284"/>
      <c r="AG361" s="742"/>
      <c r="AH361" s="671"/>
      <c r="AI361" s="671"/>
      <c r="AK361" s="671"/>
      <c r="AL361" s="233"/>
      <c r="AM361" s="742"/>
      <c r="AN361" s="744"/>
      <c r="AO361" s="671"/>
      <c r="AQ361" s="673"/>
      <c r="AR361" s="674"/>
      <c r="AS361" s="127" t="b">
        <f t="shared" si="185"/>
        <v>1</v>
      </c>
      <c r="AT361" s="508"/>
    </row>
    <row r="362" spans="1:49" ht="39.75" customHeight="1" x14ac:dyDescent="0.3">
      <c r="A362" s="396" t="s">
        <v>695</v>
      </c>
      <c r="B362" s="471" t="s">
        <v>27</v>
      </c>
      <c r="C362" s="475" t="s">
        <v>138</v>
      </c>
      <c r="D362" s="471" t="s">
        <v>311</v>
      </c>
      <c r="E362" s="471" t="s">
        <v>161</v>
      </c>
      <c r="F362" s="471">
        <f>VLOOKUP(E362,'[2]условия, ФОТ'!$A$14:$I$28,9, FALSE)</f>
        <v>206.19</v>
      </c>
      <c r="G362" s="471">
        <v>1.4</v>
      </c>
      <c r="H362" s="471">
        <f t="shared" si="179"/>
        <v>288.67</v>
      </c>
      <c r="I362" s="471">
        <f t="shared" si="168"/>
        <v>87.18</v>
      </c>
      <c r="J362" s="471">
        <f t="shared" si="180"/>
        <v>375.85</v>
      </c>
      <c r="K362" s="479"/>
      <c r="L362" s="471"/>
      <c r="M362" s="471"/>
      <c r="N362" s="471"/>
      <c r="O362" s="471"/>
      <c r="P362" s="471">
        <f t="shared" si="188"/>
        <v>375.85</v>
      </c>
      <c r="Q362" s="471">
        <f t="shared" si="171"/>
        <v>249.94</v>
      </c>
      <c r="R362" s="472">
        <f>ROUND(T362/1.2,2)</f>
        <v>673.33</v>
      </c>
      <c r="S362" s="472">
        <f>ROUND(R362*$S$5,2)</f>
        <v>134.66999999999999</v>
      </c>
      <c r="T362" s="472">
        <f>ROUND((P362+Q362)*(1+Y362)*1.2,0)</f>
        <v>808</v>
      </c>
      <c r="U362" s="269">
        <v>520</v>
      </c>
      <c r="V362" s="336">
        <f t="shared" si="173"/>
        <v>55.384615384615387</v>
      </c>
      <c r="W362" s="498">
        <v>708</v>
      </c>
      <c r="X362" s="470">
        <f>T362/W362*100-100</f>
        <v>14.124293785310726</v>
      </c>
      <c r="Y362" s="499">
        <v>7.6300000000000007E-2</v>
      </c>
      <c r="Z362" s="487" t="e">
        <f>#REF!*Y362</f>
        <v>#REF!</v>
      </c>
      <c r="AB362" s="235">
        <v>555.25800000000004</v>
      </c>
      <c r="AC362" s="467"/>
      <c r="AD362" s="500">
        <f>T362-W362</f>
        <v>100</v>
      </c>
      <c r="AE362" s="284"/>
      <c r="AG362" s="466">
        <v>-0.14219999999999999</v>
      </c>
      <c r="AH362" s="285">
        <f t="shared" si="160"/>
        <v>1.1421999999999999</v>
      </c>
      <c r="AI362" s="285">
        <v>1.181</v>
      </c>
      <c r="AK362" s="286">
        <f>ROUND(W362*AI362,2)</f>
        <v>836.15</v>
      </c>
      <c r="AM362" s="466">
        <v>1.034</v>
      </c>
      <c r="AN362" s="337">
        <v>-0.14219999999999999</v>
      </c>
      <c r="AO362" s="285" t="e">
        <f>#REF!-AM362</f>
        <v>#REF!</v>
      </c>
      <c r="AQ362" s="288">
        <f>Y362-AN362</f>
        <v>0.2185</v>
      </c>
      <c r="AR362" s="467">
        <v>679</v>
      </c>
      <c r="AS362" s="127" t="b">
        <f t="shared" si="185"/>
        <v>0</v>
      </c>
      <c r="AT362" s="289" t="e">
        <f>ROUND(W362/T362*100-100,2)+#REF!</f>
        <v>#REF!</v>
      </c>
      <c r="AW362">
        <f>ROUND(T362/W362,3)</f>
        <v>1.141</v>
      </c>
    </row>
    <row r="363" spans="1:49" ht="43.5" customHeight="1" x14ac:dyDescent="0.3">
      <c r="A363" s="474" t="s">
        <v>696</v>
      </c>
      <c r="B363" s="471" t="s">
        <v>27</v>
      </c>
      <c r="C363" s="475" t="s">
        <v>139</v>
      </c>
      <c r="D363" s="471" t="s">
        <v>348</v>
      </c>
      <c r="E363" s="484" t="s">
        <v>163</v>
      </c>
      <c r="F363" s="471">
        <f>VLOOKUP(E363,'[2]условия, ФОТ'!$A$14:$I$28,9, FALSE)</f>
        <v>272.93</v>
      </c>
      <c r="G363" s="471">
        <v>0.5</v>
      </c>
      <c r="H363" s="471">
        <f t="shared" si="179"/>
        <v>136.47</v>
      </c>
      <c r="I363" s="471">
        <f t="shared" si="168"/>
        <v>41.21</v>
      </c>
      <c r="J363" s="471">
        <f t="shared" si="180"/>
        <v>177.68</v>
      </c>
      <c r="K363" s="479"/>
      <c r="L363" s="471"/>
      <c r="M363" s="471"/>
      <c r="N363" s="471"/>
      <c r="O363" s="471"/>
      <c r="P363" s="471">
        <f t="shared" si="188"/>
        <v>177.68</v>
      </c>
      <c r="Q363" s="471">
        <f t="shared" si="171"/>
        <v>118.16</v>
      </c>
      <c r="R363" s="472">
        <f>ROUND(T363/1.2,2)</f>
        <v>338.33</v>
      </c>
      <c r="S363" s="472">
        <f>ROUND(R363*$S$5,2)</f>
        <v>67.67</v>
      </c>
      <c r="T363" s="472">
        <f>ROUND((P363+Q363)*(1+Y363)*1.2,0)</f>
        <v>406</v>
      </c>
      <c r="U363" s="269">
        <v>302</v>
      </c>
      <c r="V363" s="336">
        <f t="shared" si="173"/>
        <v>34.437086092715219</v>
      </c>
      <c r="W363" s="498">
        <v>336</v>
      </c>
      <c r="X363" s="470">
        <f>T363/W363*100-100</f>
        <v>20.833333333333329</v>
      </c>
      <c r="Y363" s="499">
        <v>0.14360000000000001</v>
      </c>
      <c r="Z363" s="487" t="e">
        <f>#REF!*Y363</f>
        <v>#REF!</v>
      </c>
      <c r="AB363" s="235">
        <v>321.57400000000001</v>
      </c>
      <c r="AC363" s="467"/>
      <c r="AD363" s="500">
        <f>T363-W363</f>
        <v>70</v>
      </c>
      <c r="AE363" s="284"/>
      <c r="AG363" s="466">
        <v>2.52E-2</v>
      </c>
      <c r="AH363" s="285">
        <f t="shared" si="160"/>
        <v>2.52E-2</v>
      </c>
      <c r="AI363" s="285">
        <v>0</v>
      </c>
      <c r="AK363" s="286"/>
      <c r="AM363" s="466">
        <v>1.034</v>
      </c>
      <c r="AN363" s="337">
        <v>2.52E-2</v>
      </c>
      <c r="AO363" s="285" t="e">
        <f>#REF!-AM363</f>
        <v>#REF!</v>
      </c>
      <c r="AQ363" s="288">
        <f>Y363-AN363</f>
        <v>0.11840000000000001</v>
      </c>
      <c r="AR363" s="467">
        <v>322</v>
      </c>
      <c r="AS363" s="127" t="b">
        <f t="shared" si="185"/>
        <v>0</v>
      </c>
      <c r="AT363" s="289" t="e">
        <f>ROUND(W363/T363*100-100,2)+#REF!</f>
        <v>#REF!</v>
      </c>
      <c r="AW363">
        <f>ROUND(T363/W363,3)</f>
        <v>1.208</v>
      </c>
    </row>
    <row r="364" spans="1:49" ht="66.75" customHeight="1" x14ac:dyDescent="0.3">
      <c r="A364" s="396" t="s">
        <v>697</v>
      </c>
      <c r="B364" s="471" t="s">
        <v>27</v>
      </c>
      <c r="C364" s="475" t="s">
        <v>314</v>
      </c>
      <c r="D364" s="471" t="s">
        <v>18</v>
      </c>
      <c r="E364" s="471" t="s">
        <v>161</v>
      </c>
      <c r="F364" s="471">
        <f>VLOOKUP(E364,'[2]условия, ФОТ'!$A$14:$I$28,9, FALSE)</f>
        <v>206.19</v>
      </c>
      <c r="G364" s="471">
        <v>1.4</v>
      </c>
      <c r="H364" s="471">
        <f t="shared" si="179"/>
        <v>288.67</v>
      </c>
      <c r="I364" s="471">
        <f t="shared" si="168"/>
        <v>87.18</v>
      </c>
      <c r="J364" s="471">
        <f t="shared" si="180"/>
        <v>375.85</v>
      </c>
      <c r="K364" s="479"/>
      <c r="L364" s="471"/>
      <c r="M364" s="471"/>
      <c r="N364" s="471"/>
      <c r="O364" s="471"/>
      <c r="P364" s="471">
        <f t="shared" si="188"/>
        <v>375.85</v>
      </c>
      <c r="Q364" s="471">
        <f t="shared" si="171"/>
        <v>249.94</v>
      </c>
      <c r="R364" s="472">
        <f>ROUND(T364/1.2,2)</f>
        <v>673.33</v>
      </c>
      <c r="S364" s="472">
        <f>ROUND(R364*$S$5,2)</f>
        <v>134.66999999999999</v>
      </c>
      <c r="T364" s="472">
        <f>ROUND((P364+Q364)*(1+Y364)*1.2,0)</f>
        <v>808</v>
      </c>
      <c r="U364" s="269">
        <v>520</v>
      </c>
      <c r="V364" s="336">
        <f t="shared" si="173"/>
        <v>55.384615384615387</v>
      </c>
      <c r="W364" s="498">
        <v>708</v>
      </c>
      <c r="X364" s="470">
        <f>T364/W364*100-100</f>
        <v>14.124293785310726</v>
      </c>
      <c r="Y364" s="499">
        <v>7.6300000000000007E-2</v>
      </c>
      <c r="Z364" s="487" t="e">
        <f>#REF!*Y364</f>
        <v>#REF!</v>
      </c>
      <c r="AB364" s="235">
        <v>555.25800000000004</v>
      </c>
      <c r="AC364" s="467"/>
      <c r="AD364" s="500">
        <f>T364-W364</f>
        <v>100</v>
      </c>
      <c r="AE364" s="284"/>
      <c r="AG364" s="466">
        <v>-0.14219999999999999</v>
      </c>
      <c r="AH364" s="285">
        <f t="shared" si="160"/>
        <v>1.1421999999999999</v>
      </c>
      <c r="AI364" s="285">
        <v>1.181</v>
      </c>
      <c r="AK364" s="286">
        <f>ROUND(W364*AI364,2)</f>
        <v>836.15</v>
      </c>
      <c r="AM364" s="466">
        <v>1.034</v>
      </c>
      <c r="AN364" s="337">
        <v>-0.14219999999999999</v>
      </c>
      <c r="AO364" s="285" t="e">
        <f>#REF!-AM364</f>
        <v>#REF!</v>
      </c>
      <c r="AQ364" s="288">
        <f>Y364-AN364</f>
        <v>0.2185</v>
      </c>
      <c r="AR364" s="467">
        <v>679</v>
      </c>
      <c r="AS364" s="127" t="b">
        <f t="shared" si="185"/>
        <v>0</v>
      </c>
      <c r="AT364" s="289" t="e">
        <f>ROUND(W364/T364*100-100,2)+#REF!</f>
        <v>#REF!</v>
      </c>
      <c r="AW364">
        <f>ROUND(T364/W364,3)</f>
        <v>1.141</v>
      </c>
    </row>
    <row r="365" spans="1:49" ht="8.25" customHeight="1" x14ac:dyDescent="0.3">
      <c r="A365" s="401"/>
      <c r="B365" s="228"/>
      <c r="C365" s="229"/>
      <c r="D365" s="228"/>
      <c r="E365" s="228"/>
      <c r="F365" s="228"/>
      <c r="G365" s="228"/>
      <c r="H365" s="228"/>
      <c r="I365" s="228"/>
      <c r="J365" s="228"/>
      <c r="K365" s="229"/>
      <c r="L365" s="230"/>
      <c r="M365" s="230"/>
      <c r="N365" s="230"/>
      <c r="O365" s="230"/>
      <c r="P365" s="228"/>
      <c r="Q365" s="228"/>
      <c r="R365" s="238"/>
      <c r="S365" s="238"/>
      <c r="T365" s="238"/>
      <c r="X365" s="402"/>
      <c r="Z365" s="487"/>
    </row>
    <row r="366" spans="1:49" ht="16.5" customHeight="1" x14ac:dyDescent="0.3">
      <c r="A366" s="401"/>
      <c r="B366" s="739" t="s">
        <v>573</v>
      </c>
      <c r="C366" s="739"/>
      <c r="D366" s="228"/>
      <c r="E366" s="228"/>
      <c r="F366" s="228"/>
      <c r="G366" s="228"/>
      <c r="H366" s="228"/>
      <c r="I366" s="228"/>
      <c r="J366" s="228"/>
      <c r="K366" s="229"/>
      <c r="L366" s="230"/>
      <c r="M366" s="230"/>
      <c r="N366" s="230"/>
      <c r="O366" s="230"/>
      <c r="P366" s="228"/>
      <c r="Q366" s="228"/>
      <c r="R366" s="238"/>
      <c r="S366" s="238"/>
      <c r="T366" s="238"/>
      <c r="W366" s="405">
        <f>SUM(W8:W364)</f>
        <v>74860</v>
      </c>
      <c r="X366" s="236"/>
      <c r="Z366" s="406" t="e">
        <f>SUM(Z8:Z364)</f>
        <v>#REF!</v>
      </c>
      <c r="AB366" s="403">
        <f>SUM(AB8:AB364)</f>
        <v>64122.476000000031</v>
      </c>
      <c r="AC366" s="406"/>
      <c r="AD366" s="509">
        <f>SUM(AD8:AD365)</f>
        <v>12340</v>
      </c>
      <c r="AE366" s="140"/>
      <c r="AM366" s="409">
        <f>SUM(AM8:AM364)</f>
        <v>165.44000000000003</v>
      </c>
      <c r="AN366" s="410">
        <f>SUM(AN8:AN364)</f>
        <v>-4.1042999999999976</v>
      </c>
      <c r="AO366" s="409" t="e">
        <f>SUM(AO8:AO364)</f>
        <v>#REF!</v>
      </c>
      <c r="AQ366" s="411">
        <f>SUM(AQ8:AQ364)</f>
        <v>18.377900000000007</v>
      </c>
      <c r="AR366" s="412">
        <f>SUM(AR8:AR364)</f>
        <v>70028</v>
      </c>
    </row>
    <row r="367" spans="1:49" ht="30" customHeight="1" x14ac:dyDescent="0.3">
      <c r="A367" s="740" t="s">
        <v>572</v>
      </c>
      <c r="B367" s="740"/>
      <c r="C367" s="740"/>
      <c r="D367" s="740"/>
      <c r="E367" s="740"/>
      <c r="F367" s="740"/>
      <c r="G367" s="740"/>
      <c r="H367" s="740"/>
      <c r="I367" s="740"/>
      <c r="J367" s="740"/>
      <c r="K367" s="740"/>
      <c r="L367" s="740"/>
      <c r="M367" s="740"/>
      <c r="N367" s="740"/>
      <c r="O367" s="740"/>
      <c r="P367" s="740"/>
      <c r="Q367" s="740"/>
      <c r="R367" s="740"/>
      <c r="S367" s="740"/>
      <c r="T367" s="740"/>
      <c r="W367" s="510"/>
      <c r="X367" s="511"/>
    </row>
    <row r="368" spans="1:49" ht="38.25" customHeight="1" x14ac:dyDescent="0.3">
      <c r="A368" s="401"/>
      <c r="B368" s="228"/>
      <c r="C368" s="416" t="s">
        <v>561</v>
      </c>
      <c r="D368" s="417"/>
      <c r="E368" s="417"/>
      <c r="F368" s="417"/>
      <c r="G368" s="417" t="s">
        <v>562</v>
      </c>
      <c r="H368" s="417"/>
      <c r="I368" s="417" t="s">
        <v>563</v>
      </c>
      <c r="J368" s="417"/>
      <c r="K368" s="229"/>
      <c r="L368" s="230"/>
      <c r="M368" s="230"/>
      <c r="N368" s="230"/>
      <c r="O368" s="230"/>
      <c r="P368" s="228"/>
      <c r="Q368" s="228"/>
      <c r="R368" s="238"/>
      <c r="S368" s="238"/>
      <c r="T368" s="238"/>
      <c r="W368" s="512"/>
      <c r="X368" s="511"/>
      <c r="Y368" s="513">
        <f>SUM(Y8:Y364)</f>
        <v>14.273599999999993</v>
      </c>
      <c r="AQ368" s="404">
        <v>8.8387999999999991</v>
      </c>
    </row>
    <row r="369" spans="1:27" ht="9" customHeight="1" x14ac:dyDescent="0.3">
      <c r="A369" s="401"/>
      <c r="B369" s="371"/>
      <c r="C369" s="416"/>
      <c r="D369" s="417"/>
      <c r="E369" s="417"/>
      <c r="F369" s="417"/>
      <c r="G369" s="417"/>
      <c r="H369" s="417"/>
      <c r="I369" s="417"/>
      <c r="J369" s="417"/>
      <c r="K369" s="229"/>
      <c r="L369" s="420"/>
      <c r="M369" s="420"/>
      <c r="N369" s="420"/>
      <c r="O369" s="420"/>
      <c r="P369" s="371"/>
      <c r="Q369" s="371"/>
      <c r="R369" s="421"/>
      <c r="S369" s="421"/>
      <c r="T369" s="421"/>
    </row>
    <row r="370" spans="1:27" ht="30.75" customHeight="1" x14ac:dyDescent="0.3">
      <c r="A370" s="401"/>
      <c r="B370" s="371"/>
      <c r="C370" s="416" t="s">
        <v>564</v>
      </c>
      <c r="D370" s="417"/>
      <c r="E370" s="417"/>
      <c r="F370" s="417"/>
      <c r="G370" s="417" t="s">
        <v>562</v>
      </c>
      <c r="H370" s="417"/>
      <c r="I370" s="417" t="s">
        <v>565</v>
      </c>
      <c r="J370" s="417"/>
      <c r="K370" s="229"/>
      <c r="L370" s="420"/>
      <c r="M370" s="420"/>
      <c r="N370" s="420"/>
      <c r="O370" s="420"/>
      <c r="P370" s="371"/>
      <c r="Q370" s="371"/>
      <c r="R370" s="421"/>
      <c r="S370" s="421"/>
      <c r="T370" s="421"/>
    </row>
    <row r="371" spans="1:27" x14ac:dyDescent="0.3">
      <c r="A371" s="401"/>
      <c r="B371" s="371"/>
      <c r="C371" s="229"/>
      <c r="D371" s="228"/>
      <c r="E371" s="228"/>
      <c r="F371" s="228"/>
      <c r="G371" s="228"/>
      <c r="H371" s="228"/>
      <c r="I371" s="228"/>
      <c r="J371" s="228"/>
      <c r="K371" s="229"/>
      <c r="L371" s="420"/>
      <c r="M371" s="420"/>
      <c r="N371" s="420"/>
      <c r="O371" s="420"/>
      <c r="P371" s="371"/>
      <c r="Q371" s="371"/>
      <c r="R371" s="421"/>
      <c r="S371" s="421"/>
      <c r="T371" s="421"/>
    </row>
    <row r="372" spans="1:27" x14ac:dyDescent="0.3">
      <c r="C372" s="108"/>
      <c r="D372" s="77"/>
      <c r="E372" s="77"/>
      <c r="F372" s="77"/>
      <c r="G372" s="77"/>
      <c r="H372" s="77"/>
      <c r="I372" s="77"/>
      <c r="J372" s="77"/>
      <c r="K372" s="108"/>
      <c r="R372" s="422">
        <f>SUM(R8:R364)</f>
        <v>72666.739999999962</v>
      </c>
      <c r="S372" s="423">
        <f>SUM(S8:S364)</f>
        <v>14533.259999999998</v>
      </c>
      <c r="T372" s="423">
        <f>SUM(T8:T364)</f>
        <v>87200</v>
      </c>
      <c r="W372" s="424">
        <f>R372+S372</f>
        <v>87199.999999999956</v>
      </c>
      <c r="X372" s="425">
        <f>T372-W366</f>
        <v>12340</v>
      </c>
      <c r="Y372" s="429" t="s">
        <v>699</v>
      </c>
      <c r="Z372" s="430"/>
      <c r="AA372" s="431"/>
    </row>
    <row r="373" spans="1:27" x14ac:dyDescent="0.3">
      <c r="X373" s="514">
        <f>ROUND((T372/W366)*100-100,2)</f>
        <v>16.48</v>
      </c>
      <c r="Y373" s="515" t="s">
        <v>721</v>
      </c>
    </row>
    <row r="374" spans="1:27" x14ac:dyDescent="0.3">
      <c r="T374" s="421">
        <f>T372/120*20</f>
        <v>14533.333333333332</v>
      </c>
      <c r="W374" s="56" t="s">
        <v>700</v>
      </c>
    </row>
    <row r="375" spans="1:27" hidden="1" x14ac:dyDescent="0.3">
      <c r="T375" s="432">
        <v>64130</v>
      </c>
      <c r="W375" s="56" t="s">
        <v>701</v>
      </c>
      <c r="Y375" s="234">
        <v>-4.1042999999999976</v>
      </c>
      <c r="Z375" s="235">
        <v>-111.60674000000024</v>
      </c>
    </row>
    <row r="376" spans="1:27" hidden="1" x14ac:dyDescent="0.3">
      <c r="T376" s="432">
        <f>T372-T375</f>
        <v>23070</v>
      </c>
      <c r="Y376" s="234">
        <v>4.7345000000000033</v>
      </c>
      <c r="Z376" s="235">
        <v>2649.64</v>
      </c>
    </row>
    <row r="377" spans="1:27" hidden="1" x14ac:dyDescent="0.3">
      <c r="Y377" s="433">
        <f>-(Y375)+Y376</f>
        <v>8.8388000000000009</v>
      </c>
    </row>
    <row r="383" spans="1:27" x14ac:dyDescent="0.3">
      <c r="Y383" s="434">
        <f>ROUND(T372/W366*100%-100%,4)</f>
        <v>0.1648</v>
      </c>
      <c r="Z383" s="235" t="s">
        <v>705</v>
      </c>
    </row>
    <row r="384" spans="1:27" x14ac:dyDescent="0.3">
      <c r="W384" s="424"/>
    </row>
  </sheetData>
  <mergeCells count="726">
    <mergeCell ref="B366:C366"/>
    <mergeCell ref="A367:T367"/>
    <mergeCell ref="AK360:AK361"/>
    <mergeCell ref="AM360:AM361"/>
    <mergeCell ref="AN360:AN361"/>
    <mergeCell ref="AO360:AO361"/>
    <mergeCell ref="AQ360:AQ361"/>
    <mergeCell ref="AR360:AR361"/>
    <mergeCell ref="Z360:Z361"/>
    <mergeCell ref="AC360:AC361"/>
    <mergeCell ref="AD360:AD361"/>
    <mergeCell ref="AG360:AG361"/>
    <mergeCell ref="AH360:AH361"/>
    <mergeCell ref="AI360:AI361"/>
    <mergeCell ref="T360:T361"/>
    <mergeCell ref="U360:U361"/>
    <mergeCell ref="V360:V361"/>
    <mergeCell ref="W360:W361"/>
    <mergeCell ref="X360:X361"/>
    <mergeCell ref="Y360:Y361"/>
    <mergeCell ref="J360:J361"/>
    <mergeCell ref="O360:O361"/>
    <mergeCell ref="P360:P361"/>
    <mergeCell ref="Q360:Q361"/>
    <mergeCell ref="R360:R361"/>
    <mergeCell ref="S360:S361"/>
    <mergeCell ref="AN357:AN358"/>
    <mergeCell ref="AO357:AO358"/>
    <mergeCell ref="AQ357:AQ358"/>
    <mergeCell ref="AR357:AR358"/>
    <mergeCell ref="A360:A361"/>
    <mergeCell ref="B360:B361"/>
    <mergeCell ref="C360:C361"/>
    <mergeCell ref="D360:D361"/>
    <mergeCell ref="H360:H361"/>
    <mergeCell ref="I360:I361"/>
    <mergeCell ref="AD357:AD358"/>
    <mergeCell ref="AG357:AG358"/>
    <mergeCell ref="AH357:AH358"/>
    <mergeCell ref="AI357:AI358"/>
    <mergeCell ref="AK357:AK358"/>
    <mergeCell ref="AM357:AM358"/>
    <mergeCell ref="V357:V358"/>
    <mergeCell ref="W357:W358"/>
    <mergeCell ref="X357:X358"/>
    <mergeCell ref="Y357:Y358"/>
    <mergeCell ref="Z357:Z358"/>
    <mergeCell ref="AC357:AC358"/>
    <mergeCell ref="P357:P358"/>
    <mergeCell ref="Q357:Q358"/>
    <mergeCell ref="R357:R358"/>
    <mergeCell ref="S357:S358"/>
    <mergeCell ref="T357:T358"/>
    <mergeCell ref="U357:U358"/>
    <mergeCell ref="AQ341:AQ342"/>
    <mergeCell ref="AR341:AR342"/>
    <mergeCell ref="A347:T347"/>
    <mergeCell ref="A357:A358"/>
    <mergeCell ref="B357:B358"/>
    <mergeCell ref="C357:C358"/>
    <mergeCell ref="D357:D358"/>
    <mergeCell ref="H357:H358"/>
    <mergeCell ref="I357:I358"/>
    <mergeCell ref="J357:J358"/>
    <mergeCell ref="AH341:AH342"/>
    <mergeCell ref="AI341:AI342"/>
    <mergeCell ref="AK341:AK342"/>
    <mergeCell ref="AM341:AM342"/>
    <mergeCell ref="AN341:AN342"/>
    <mergeCell ref="AO341:AO342"/>
    <mergeCell ref="X341:X342"/>
    <mergeCell ref="Y341:Y342"/>
    <mergeCell ref="Z341:Z342"/>
    <mergeCell ref="AC341:AC342"/>
    <mergeCell ref="AD341:AD342"/>
    <mergeCell ref="AG341:AG342"/>
    <mergeCell ref="R341:R342"/>
    <mergeCell ref="S341:S342"/>
    <mergeCell ref="T341:T342"/>
    <mergeCell ref="U341:U342"/>
    <mergeCell ref="V341:V342"/>
    <mergeCell ref="W341:W342"/>
    <mergeCell ref="A338:Q338"/>
    <mergeCell ref="A341:A342"/>
    <mergeCell ref="B341:B342"/>
    <mergeCell ref="C341:C342"/>
    <mergeCell ref="D341:D342"/>
    <mergeCell ref="H341:H342"/>
    <mergeCell ref="I341:I342"/>
    <mergeCell ref="J341:J342"/>
    <mergeCell ref="P341:P342"/>
    <mergeCell ref="Q341:Q342"/>
    <mergeCell ref="AM323:AM324"/>
    <mergeCell ref="AN323:AN324"/>
    <mergeCell ref="AO323:AO324"/>
    <mergeCell ref="AQ323:AQ324"/>
    <mergeCell ref="AR323:AR324"/>
    <mergeCell ref="AS323:AS324"/>
    <mergeCell ref="AA323:AA324"/>
    <mergeCell ref="AC323:AC324"/>
    <mergeCell ref="AD323:AD324"/>
    <mergeCell ref="AG323:AG324"/>
    <mergeCell ref="AH323:AH324"/>
    <mergeCell ref="AI323:AI324"/>
    <mergeCell ref="U323:U324"/>
    <mergeCell ref="V323:V324"/>
    <mergeCell ref="W323:W324"/>
    <mergeCell ref="X323:X324"/>
    <mergeCell ref="Y323:Y324"/>
    <mergeCell ref="Z323:Z324"/>
    <mergeCell ref="O323:O324"/>
    <mergeCell ref="P323:P324"/>
    <mergeCell ref="Q323:Q324"/>
    <mergeCell ref="R323:R324"/>
    <mergeCell ref="S323:S324"/>
    <mergeCell ref="T323:T324"/>
    <mergeCell ref="I323:I324"/>
    <mergeCell ref="J323:J324"/>
    <mergeCell ref="K323:K324"/>
    <mergeCell ref="L323:L324"/>
    <mergeCell ref="M323:M324"/>
    <mergeCell ref="N323:N324"/>
    <mergeCell ref="A323:A324"/>
    <mergeCell ref="B323:B324"/>
    <mergeCell ref="C323:C324"/>
    <mergeCell ref="D323:D324"/>
    <mergeCell ref="G323:G324"/>
    <mergeCell ref="H323:H324"/>
    <mergeCell ref="AM320:AM321"/>
    <mergeCell ref="AN320:AN321"/>
    <mergeCell ref="AO320:AO321"/>
    <mergeCell ref="AQ320:AQ321"/>
    <mergeCell ref="AR320:AR321"/>
    <mergeCell ref="AS320:AS321"/>
    <mergeCell ref="AA320:AA321"/>
    <mergeCell ref="AC320:AC321"/>
    <mergeCell ref="AD320:AD321"/>
    <mergeCell ref="AG320:AG321"/>
    <mergeCell ref="AH320:AH321"/>
    <mergeCell ref="AI320:AI321"/>
    <mergeCell ref="U320:U321"/>
    <mergeCell ref="V320:V321"/>
    <mergeCell ref="W320:W321"/>
    <mergeCell ref="X320:X321"/>
    <mergeCell ref="Y320:Y321"/>
    <mergeCell ref="Z320:Z321"/>
    <mergeCell ref="O320:O321"/>
    <mergeCell ref="P320:P321"/>
    <mergeCell ref="Q320:Q321"/>
    <mergeCell ref="R320:R321"/>
    <mergeCell ref="S320:S321"/>
    <mergeCell ref="T320:T321"/>
    <mergeCell ref="I320:I321"/>
    <mergeCell ref="J320:J321"/>
    <mergeCell ref="K320:K321"/>
    <mergeCell ref="L320:L321"/>
    <mergeCell ref="M320:M321"/>
    <mergeCell ref="N320:N321"/>
    <mergeCell ref="A320:A321"/>
    <mergeCell ref="B320:B321"/>
    <mergeCell ref="C320:C321"/>
    <mergeCell ref="D320:D321"/>
    <mergeCell ref="G320:G321"/>
    <mergeCell ref="H320:H321"/>
    <mergeCell ref="AM312:AM313"/>
    <mergeCell ref="AN312:AN313"/>
    <mergeCell ref="AO312:AO313"/>
    <mergeCell ref="AQ312:AQ313"/>
    <mergeCell ref="AR312:AR313"/>
    <mergeCell ref="AS312:AS313"/>
    <mergeCell ref="AA312:AA313"/>
    <mergeCell ref="AC312:AC313"/>
    <mergeCell ref="AD312:AD313"/>
    <mergeCell ref="AG312:AG313"/>
    <mergeCell ref="AH312:AH313"/>
    <mergeCell ref="AI312:AI313"/>
    <mergeCell ref="U312:U313"/>
    <mergeCell ref="V312:V313"/>
    <mergeCell ref="W312:W313"/>
    <mergeCell ref="X312:X313"/>
    <mergeCell ref="Y312:Y313"/>
    <mergeCell ref="Z312:Z313"/>
    <mergeCell ref="O312:O313"/>
    <mergeCell ref="P312:P313"/>
    <mergeCell ref="Q312:Q313"/>
    <mergeCell ref="R312:R313"/>
    <mergeCell ref="S312:S313"/>
    <mergeCell ref="T312:T313"/>
    <mergeCell ref="I312:I313"/>
    <mergeCell ref="J312:J313"/>
    <mergeCell ref="K312:K313"/>
    <mergeCell ref="L312:L313"/>
    <mergeCell ref="M312:M313"/>
    <mergeCell ref="N312:N313"/>
    <mergeCell ref="A312:A313"/>
    <mergeCell ref="B312:B313"/>
    <mergeCell ref="C312:C313"/>
    <mergeCell ref="D312:D313"/>
    <mergeCell ref="G312:G313"/>
    <mergeCell ref="H312:H313"/>
    <mergeCell ref="AM304:AM305"/>
    <mergeCell ref="AN304:AN305"/>
    <mergeCell ref="AO304:AO305"/>
    <mergeCell ref="AQ304:AQ305"/>
    <mergeCell ref="AR304:AR305"/>
    <mergeCell ref="AS304:AS305"/>
    <mergeCell ref="AC304:AC305"/>
    <mergeCell ref="AD304:AD305"/>
    <mergeCell ref="AG304:AG305"/>
    <mergeCell ref="AH304:AH305"/>
    <mergeCell ref="AI304:AI305"/>
    <mergeCell ref="AK304:AK305"/>
    <mergeCell ref="U304:U305"/>
    <mergeCell ref="V304:V305"/>
    <mergeCell ref="W304:W305"/>
    <mergeCell ref="X304:X305"/>
    <mergeCell ref="Y304:Y305"/>
    <mergeCell ref="Z304:Z305"/>
    <mergeCell ref="O304:O305"/>
    <mergeCell ref="P304:P305"/>
    <mergeCell ref="Q304:Q305"/>
    <mergeCell ref="R304:R305"/>
    <mergeCell ref="S304:S305"/>
    <mergeCell ref="T304:T305"/>
    <mergeCell ref="I304:I305"/>
    <mergeCell ref="J304:J305"/>
    <mergeCell ref="K304:K305"/>
    <mergeCell ref="L304:L305"/>
    <mergeCell ref="M304:M305"/>
    <mergeCell ref="N304:N305"/>
    <mergeCell ref="AQ234:AQ235"/>
    <mergeCell ref="AR234:AR235"/>
    <mergeCell ref="AS234:AS235"/>
    <mergeCell ref="A294:Q294"/>
    <mergeCell ref="A304:A305"/>
    <mergeCell ref="B304:B305"/>
    <mergeCell ref="C304:C305"/>
    <mergeCell ref="D304:D305"/>
    <mergeCell ref="G304:G305"/>
    <mergeCell ref="H304:H305"/>
    <mergeCell ref="AH234:AH235"/>
    <mergeCell ref="AI234:AI235"/>
    <mergeCell ref="AK234:AK235"/>
    <mergeCell ref="AM234:AM235"/>
    <mergeCell ref="AN234:AN235"/>
    <mergeCell ref="AO234:AO235"/>
    <mergeCell ref="X234:X235"/>
    <mergeCell ref="Y234:Y235"/>
    <mergeCell ref="Z234:Z235"/>
    <mergeCell ref="AC234:AC235"/>
    <mergeCell ref="AD234:AD235"/>
    <mergeCell ref="AG234:AG235"/>
    <mergeCell ref="R234:R235"/>
    <mergeCell ref="S234:S235"/>
    <mergeCell ref="T234:T235"/>
    <mergeCell ref="U234:U235"/>
    <mergeCell ref="V234:V235"/>
    <mergeCell ref="W234:W235"/>
    <mergeCell ref="L234:L235"/>
    <mergeCell ref="M234:M235"/>
    <mergeCell ref="N234:N235"/>
    <mergeCell ref="O234:O235"/>
    <mergeCell ref="P234:P235"/>
    <mergeCell ref="Q234:Q235"/>
    <mergeCell ref="AR225:AR226"/>
    <mergeCell ref="AS225:AS226"/>
    <mergeCell ref="A234:A235"/>
    <mergeCell ref="B234:B235"/>
    <mergeCell ref="C234:C235"/>
    <mergeCell ref="D234:D235"/>
    <mergeCell ref="H234:H235"/>
    <mergeCell ref="I234:I235"/>
    <mergeCell ref="J234:J235"/>
    <mergeCell ref="K234:K235"/>
    <mergeCell ref="AI225:AI226"/>
    <mergeCell ref="AK225:AK226"/>
    <mergeCell ref="AM225:AM226"/>
    <mergeCell ref="AN225:AN226"/>
    <mergeCell ref="AO225:AO226"/>
    <mergeCell ref="AQ225:AQ226"/>
    <mergeCell ref="Y225:Y226"/>
    <mergeCell ref="Z225:Z226"/>
    <mergeCell ref="AC225:AC226"/>
    <mergeCell ref="AD225:AD226"/>
    <mergeCell ref="AG225:AG226"/>
    <mergeCell ref="AH225:AH226"/>
    <mergeCell ref="S225:S226"/>
    <mergeCell ref="T225:T226"/>
    <mergeCell ref="U225:U226"/>
    <mergeCell ref="V225:V226"/>
    <mergeCell ref="W225:W226"/>
    <mergeCell ref="X225:X226"/>
    <mergeCell ref="M225:M226"/>
    <mergeCell ref="N225:N226"/>
    <mergeCell ref="O225:O226"/>
    <mergeCell ref="P225:P226"/>
    <mergeCell ref="Q225:Q226"/>
    <mergeCell ref="R225:R226"/>
    <mergeCell ref="A211:Q211"/>
    <mergeCell ref="A225:A226"/>
    <mergeCell ref="B225:B226"/>
    <mergeCell ref="C225:C226"/>
    <mergeCell ref="D225:D226"/>
    <mergeCell ref="H225:H226"/>
    <mergeCell ref="I225:I226"/>
    <mergeCell ref="J225:J226"/>
    <mergeCell ref="K225:K226"/>
    <mergeCell ref="L225:L226"/>
    <mergeCell ref="AM145:AM146"/>
    <mergeCell ref="AN145:AN146"/>
    <mergeCell ref="AO145:AO146"/>
    <mergeCell ref="AQ145:AQ146"/>
    <mergeCell ref="AR145:AR146"/>
    <mergeCell ref="AS145:AS146"/>
    <mergeCell ref="Z145:Z146"/>
    <mergeCell ref="AC145:AC146"/>
    <mergeCell ref="AD145:AD146"/>
    <mergeCell ref="AG145:AG146"/>
    <mergeCell ref="AH145:AH146"/>
    <mergeCell ref="AI145:AI146"/>
    <mergeCell ref="S145:S146"/>
    <mergeCell ref="T145:T146"/>
    <mergeCell ref="U145:U146"/>
    <mergeCell ref="W145:W146"/>
    <mergeCell ref="X145:X146"/>
    <mergeCell ref="Y145:Y146"/>
    <mergeCell ref="M145:M146"/>
    <mergeCell ref="N145:N146"/>
    <mergeCell ref="O145:O146"/>
    <mergeCell ref="P145:P146"/>
    <mergeCell ref="Q145:Q146"/>
    <mergeCell ref="R145:R146"/>
    <mergeCell ref="AS130:AS131"/>
    <mergeCell ref="A142:I144"/>
    <mergeCell ref="A145:A146"/>
    <mergeCell ref="C145:C146"/>
    <mergeCell ref="D145:D146"/>
    <mergeCell ref="H145:H146"/>
    <mergeCell ref="I145:I146"/>
    <mergeCell ref="J145:J146"/>
    <mergeCell ref="K145:K146"/>
    <mergeCell ref="L145:L146"/>
    <mergeCell ref="AC130:AC131"/>
    <mergeCell ref="AD130:AD131"/>
    <mergeCell ref="AG130:AG131"/>
    <mergeCell ref="AH130:AH131"/>
    <mergeCell ref="AI130:AI131"/>
    <mergeCell ref="AR130:AR131"/>
    <mergeCell ref="U130:U131"/>
    <mergeCell ref="W130:W131"/>
    <mergeCell ref="X130:X131"/>
    <mergeCell ref="Y130:Y131"/>
    <mergeCell ref="Z130:Z131"/>
    <mergeCell ref="AA130:AA131"/>
    <mergeCell ref="O130:O131"/>
    <mergeCell ref="P130:P131"/>
    <mergeCell ref="Q130:Q131"/>
    <mergeCell ref="R130:R131"/>
    <mergeCell ref="S130:S131"/>
    <mergeCell ref="T130:T131"/>
    <mergeCell ref="I130:I131"/>
    <mergeCell ref="J130:J131"/>
    <mergeCell ref="K130:K131"/>
    <mergeCell ref="L130:L131"/>
    <mergeCell ref="M130:M131"/>
    <mergeCell ref="N130:N131"/>
    <mergeCell ref="AQ117:AQ118"/>
    <mergeCell ref="AR117:AR118"/>
    <mergeCell ref="AS117:AS118"/>
    <mergeCell ref="A125:I127"/>
    <mergeCell ref="B128:C128"/>
    <mergeCell ref="A129:A141"/>
    <mergeCell ref="B130:B131"/>
    <mergeCell ref="C130:C131"/>
    <mergeCell ref="D130:D131"/>
    <mergeCell ref="H130:H131"/>
    <mergeCell ref="AG117:AG118"/>
    <mergeCell ref="AH117:AH118"/>
    <mergeCell ref="AI117:AI118"/>
    <mergeCell ref="AM117:AM118"/>
    <mergeCell ref="AN117:AN118"/>
    <mergeCell ref="AO117:AO118"/>
    <mergeCell ref="X117:X118"/>
    <mergeCell ref="Y117:Y118"/>
    <mergeCell ref="Z117:Z118"/>
    <mergeCell ref="AA117:AA118"/>
    <mergeCell ref="AC117:AC118"/>
    <mergeCell ref="AD117:AD118"/>
    <mergeCell ref="Q117:Q118"/>
    <mergeCell ref="R117:R118"/>
    <mergeCell ref="S117:S118"/>
    <mergeCell ref="T117:T118"/>
    <mergeCell ref="U117:U118"/>
    <mergeCell ref="W117:W118"/>
    <mergeCell ref="K117:K118"/>
    <mergeCell ref="L117:L118"/>
    <mergeCell ref="M117:M118"/>
    <mergeCell ref="N117:N118"/>
    <mergeCell ref="O117:O118"/>
    <mergeCell ref="P117:P118"/>
    <mergeCell ref="AO108:AO109"/>
    <mergeCell ref="AQ108:AQ109"/>
    <mergeCell ref="AR108:AR109"/>
    <mergeCell ref="AS108:AS109"/>
    <mergeCell ref="B117:B118"/>
    <mergeCell ref="C117:C118"/>
    <mergeCell ref="D117:D118"/>
    <mergeCell ref="H117:H118"/>
    <mergeCell ref="I117:I118"/>
    <mergeCell ref="J117:J118"/>
    <mergeCell ref="AD108:AD109"/>
    <mergeCell ref="AG108:AG109"/>
    <mergeCell ref="AH108:AH109"/>
    <mergeCell ref="AI108:AI109"/>
    <mergeCell ref="AM108:AM109"/>
    <mergeCell ref="AN108:AN109"/>
    <mergeCell ref="U108:U109"/>
    <mergeCell ref="W108:W109"/>
    <mergeCell ref="X108:X109"/>
    <mergeCell ref="Y108:Y109"/>
    <mergeCell ref="Z108:Z109"/>
    <mergeCell ref="AC108:AC109"/>
    <mergeCell ref="O108:O109"/>
    <mergeCell ref="P108:P109"/>
    <mergeCell ref="R108:R109"/>
    <mergeCell ref="S108:S109"/>
    <mergeCell ref="T108:T109"/>
    <mergeCell ref="I108:I109"/>
    <mergeCell ref="J108:J109"/>
    <mergeCell ref="K108:K109"/>
    <mergeCell ref="L108:L109"/>
    <mergeCell ref="M108:M109"/>
    <mergeCell ref="N108:N109"/>
    <mergeCell ref="AS89:AS90"/>
    <mergeCell ref="A100:T100"/>
    <mergeCell ref="A102:Q102"/>
    <mergeCell ref="B107:C107"/>
    <mergeCell ref="A108:A124"/>
    <mergeCell ref="B108:B109"/>
    <mergeCell ref="C108:C109"/>
    <mergeCell ref="D108:D109"/>
    <mergeCell ref="H108:H109"/>
    <mergeCell ref="AI89:AI90"/>
    <mergeCell ref="AK89:AK90"/>
    <mergeCell ref="AM89:AM90"/>
    <mergeCell ref="AN89:AN90"/>
    <mergeCell ref="AO89:AO90"/>
    <mergeCell ref="AQ89:AQ90"/>
    <mergeCell ref="Y89:Y90"/>
    <mergeCell ref="Z89:Z90"/>
    <mergeCell ref="AC89:AC90"/>
    <mergeCell ref="AD89:AD90"/>
    <mergeCell ref="AG89:AG90"/>
    <mergeCell ref="AH89:AH90"/>
    <mergeCell ref="S89:S90"/>
    <mergeCell ref="T89:T90"/>
    <mergeCell ref="Q108:Q109"/>
    <mergeCell ref="W89:W90"/>
    <mergeCell ref="X89:X90"/>
    <mergeCell ref="M89:M90"/>
    <mergeCell ref="N89:N90"/>
    <mergeCell ref="O89:O90"/>
    <mergeCell ref="P89:P90"/>
    <mergeCell ref="Q89:Q90"/>
    <mergeCell ref="R89:R90"/>
    <mergeCell ref="AR89:AR90"/>
    <mergeCell ref="V84:V85"/>
    <mergeCell ref="A89:A90"/>
    <mergeCell ref="B89:B90"/>
    <mergeCell ref="C89:C90"/>
    <mergeCell ref="D89:D90"/>
    <mergeCell ref="H89:H90"/>
    <mergeCell ref="I89:I90"/>
    <mergeCell ref="J89:J90"/>
    <mergeCell ref="K89:K90"/>
    <mergeCell ref="L89:L90"/>
    <mergeCell ref="U89:U90"/>
    <mergeCell ref="V89:V90"/>
    <mergeCell ref="AM74:AM75"/>
    <mergeCell ref="AN74:AN75"/>
    <mergeCell ref="AO74:AO75"/>
    <mergeCell ref="AQ74:AQ75"/>
    <mergeCell ref="AR74:AR75"/>
    <mergeCell ref="AS74:AS75"/>
    <mergeCell ref="AC74:AC75"/>
    <mergeCell ref="AD74:AD75"/>
    <mergeCell ref="AG74:AG75"/>
    <mergeCell ref="AH74:AH75"/>
    <mergeCell ref="AI74:AI75"/>
    <mergeCell ref="AK74:AK75"/>
    <mergeCell ref="AQ43:AQ44"/>
    <mergeCell ref="AR43:AR44"/>
    <mergeCell ref="AS43:AS44"/>
    <mergeCell ref="A53:I55"/>
    <mergeCell ref="A60:T60"/>
    <mergeCell ref="A74:A75"/>
    <mergeCell ref="B74:B75"/>
    <mergeCell ref="C74:C75"/>
    <mergeCell ref="D74:D75"/>
    <mergeCell ref="H74:H75"/>
    <mergeCell ref="AH43:AH44"/>
    <mergeCell ref="AI43:AI44"/>
    <mergeCell ref="AK43:AK44"/>
    <mergeCell ref="AM43:AM44"/>
    <mergeCell ref="AN43:AN44"/>
    <mergeCell ref="AO43:AO44"/>
    <mergeCell ref="X43:X44"/>
    <mergeCell ref="Y43:Y44"/>
    <mergeCell ref="U74:U75"/>
    <mergeCell ref="V74:V75"/>
    <mergeCell ref="W74:W75"/>
    <mergeCell ref="X74:X75"/>
    <mergeCell ref="Y74:Y75"/>
    <mergeCell ref="Z74:Z75"/>
    <mergeCell ref="T43:T44"/>
    <mergeCell ref="U43:U44"/>
    <mergeCell ref="V43:V44"/>
    <mergeCell ref="W43:W44"/>
    <mergeCell ref="I74:I75"/>
    <mergeCell ref="J74:J75"/>
    <mergeCell ref="K74:K75"/>
    <mergeCell ref="L74:L75"/>
    <mergeCell ref="M74:M75"/>
    <mergeCell ref="N74:N75"/>
    <mergeCell ref="O74:O75"/>
    <mergeCell ref="P74:P75"/>
    <mergeCell ref="Q74:Q75"/>
    <mergeCell ref="R74:R75"/>
    <mergeCell ref="S74:S75"/>
    <mergeCell ref="T74:T75"/>
    <mergeCell ref="AQ40:AQ41"/>
    <mergeCell ref="AR40:AR41"/>
    <mergeCell ref="AS40:AS41"/>
    <mergeCell ref="AK40:AK41"/>
    <mergeCell ref="AM40:AM41"/>
    <mergeCell ref="AN40:AN41"/>
    <mergeCell ref="AO40:AO41"/>
    <mergeCell ref="O40:O41"/>
    <mergeCell ref="P40:P41"/>
    <mergeCell ref="Q40:Q41"/>
    <mergeCell ref="AI40:AI41"/>
    <mergeCell ref="Y40:Y41"/>
    <mergeCell ref="Z40:Z41"/>
    <mergeCell ref="AA40:AA41"/>
    <mergeCell ref="AC40:AC41"/>
    <mergeCell ref="AD40:AD41"/>
    <mergeCell ref="AG40:AG41"/>
    <mergeCell ref="R40:R41"/>
    <mergeCell ref="S40:S41"/>
    <mergeCell ref="T40:T41"/>
    <mergeCell ref="U40:U41"/>
    <mergeCell ref="W40:W41"/>
    <mergeCell ref="X40:X41"/>
    <mergeCell ref="V25:V26"/>
    <mergeCell ref="B43:B44"/>
    <mergeCell ref="C43:C44"/>
    <mergeCell ref="D43:D44"/>
    <mergeCell ref="H43:H44"/>
    <mergeCell ref="I43:I44"/>
    <mergeCell ref="J43:J44"/>
    <mergeCell ref="K43:K44"/>
    <mergeCell ref="AH40:AH41"/>
    <mergeCell ref="L40:L41"/>
    <mergeCell ref="M40:M41"/>
    <mergeCell ref="N40:N41"/>
    <mergeCell ref="L43:L44"/>
    <mergeCell ref="M43:M44"/>
    <mergeCell ref="N43:N44"/>
    <mergeCell ref="O43:O44"/>
    <mergeCell ref="P43:P44"/>
    <mergeCell ref="Q43:Q44"/>
    <mergeCell ref="Z43:Z44"/>
    <mergeCell ref="AC43:AC44"/>
    <mergeCell ref="AD43:AD44"/>
    <mergeCell ref="AG43:AG44"/>
    <mergeCell ref="R43:R44"/>
    <mergeCell ref="S43:S44"/>
    <mergeCell ref="T25:T26"/>
    <mergeCell ref="AS25:AS26"/>
    <mergeCell ref="B39:C39"/>
    <mergeCell ref="A40:A52"/>
    <mergeCell ref="B40:B41"/>
    <mergeCell ref="C40:C41"/>
    <mergeCell ref="D40:D41"/>
    <mergeCell ref="H40:H41"/>
    <mergeCell ref="I40:I41"/>
    <mergeCell ref="J40:J41"/>
    <mergeCell ref="K40:K41"/>
    <mergeCell ref="AK25:AK26"/>
    <mergeCell ref="AM25:AM26"/>
    <mergeCell ref="AN25:AN26"/>
    <mergeCell ref="AO25:AO26"/>
    <mergeCell ref="AQ25:AQ26"/>
    <mergeCell ref="AR25:AR26"/>
    <mergeCell ref="AA25:AA26"/>
    <mergeCell ref="AC25:AC26"/>
    <mergeCell ref="AD25:AD26"/>
    <mergeCell ref="AG25:AG26"/>
    <mergeCell ref="AH25:AH26"/>
    <mergeCell ref="AI25:AI26"/>
    <mergeCell ref="U25:U26"/>
    <mergeCell ref="J25:J26"/>
    <mergeCell ref="K25:K26"/>
    <mergeCell ref="L25:L26"/>
    <mergeCell ref="M25:M26"/>
    <mergeCell ref="N25:N26"/>
    <mergeCell ref="AN22:AN23"/>
    <mergeCell ref="AO22:AO23"/>
    <mergeCell ref="AQ22:AQ23"/>
    <mergeCell ref="U22:U23"/>
    <mergeCell ref="J22:J23"/>
    <mergeCell ref="K22:K23"/>
    <mergeCell ref="L22:L23"/>
    <mergeCell ref="M22:M23"/>
    <mergeCell ref="N22:N23"/>
    <mergeCell ref="O22:O23"/>
    <mergeCell ref="W25:W26"/>
    <mergeCell ref="X25:X26"/>
    <mergeCell ref="Y25:Y26"/>
    <mergeCell ref="Z25:Z26"/>
    <mergeCell ref="O25:O26"/>
    <mergeCell ref="P25:P26"/>
    <mergeCell ref="Q25:Q26"/>
    <mergeCell ref="R25:R26"/>
    <mergeCell ref="S25:S26"/>
    <mergeCell ref="AS22:AS23"/>
    <mergeCell ref="A25:A26"/>
    <mergeCell ref="B25:B26"/>
    <mergeCell ref="C25:C26"/>
    <mergeCell ref="D25:D26"/>
    <mergeCell ref="H25:H26"/>
    <mergeCell ref="AD22:AD23"/>
    <mergeCell ref="AG22:AG23"/>
    <mergeCell ref="AH22:AH23"/>
    <mergeCell ref="AI22:AI23"/>
    <mergeCell ref="AK22:AK23"/>
    <mergeCell ref="AM22:AM23"/>
    <mergeCell ref="V22:V23"/>
    <mergeCell ref="W22:W23"/>
    <mergeCell ref="X22:X23"/>
    <mergeCell ref="Y22:Y23"/>
    <mergeCell ref="Z22:Z23"/>
    <mergeCell ref="AC22:AC23"/>
    <mergeCell ref="P22:P23"/>
    <mergeCell ref="Q22:Q23"/>
    <mergeCell ref="R22:R23"/>
    <mergeCell ref="S22:S23"/>
    <mergeCell ref="T22:T23"/>
    <mergeCell ref="I25:I26"/>
    <mergeCell ref="AQ11:AQ12"/>
    <mergeCell ref="AR11:AR12"/>
    <mergeCell ref="AS11:AS12"/>
    <mergeCell ref="A22:A23"/>
    <mergeCell ref="B22:B23"/>
    <mergeCell ref="C22:C23"/>
    <mergeCell ref="D22:D23"/>
    <mergeCell ref="H22:H23"/>
    <mergeCell ref="I22:I23"/>
    <mergeCell ref="AG11:AG12"/>
    <mergeCell ref="AH11:AH12"/>
    <mergeCell ref="AI11:AI12"/>
    <mergeCell ref="AK11:AK12"/>
    <mergeCell ref="AM11:AM12"/>
    <mergeCell ref="AN11:AN12"/>
    <mergeCell ref="W11:W12"/>
    <mergeCell ref="X11:X12"/>
    <mergeCell ref="Y11:Y12"/>
    <mergeCell ref="Z11:Z12"/>
    <mergeCell ref="AC11:AC12"/>
    <mergeCell ref="AD11:AD12"/>
    <mergeCell ref="Q11:Q12"/>
    <mergeCell ref="R11:R12"/>
    <mergeCell ref="AR22:AR23"/>
    <mergeCell ref="U11:U12"/>
    <mergeCell ref="V11:V12"/>
    <mergeCell ref="K11:K12"/>
    <mergeCell ref="L11:L12"/>
    <mergeCell ref="M11:M12"/>
    <mergeCell ref="N11:N12"/>
    <mergeCell ref="O11:O12"/>
    <mergeCell ref="P11:P12"/>
    <mergeCell ref="AO11:AO12"/>
    <mergeCell ref="A10:T10"/>
    <mergeCell ref="A11:A12"/>
    <mergeCell ref="B11:B12"/>
    <mergeCell ref="C11:C12"/>
    <mergeCell ref="D11:D12"/>
    <mergeCell ref="H11:H12"/>
    <mergeCell ref="I11:I12"/>
    <mergeCell ref="J11:J12"/>
    <mergeCell ref="P4:P5"/>
    <mergeCell ref="T4:T5"/>
    <mergeCell ref="J4:J5"/>
    <mergeCell ref="K4:K5"/>
    <mergeCell ref="L4:L5"/>
    <mergeCell ref="M4:M5"/>
    <mergeCell ref="N4:N5"/>
    <mergeCell ref="O4:O5"/>
    <mergeCell ref="S11:S12"/>
    <mergeCell ref="T11:T12"/>
    <mergeCell ref="AR2:AR7"/>
    <mergeCell ref="A4:A5"/>
    <mergeCell ref="B4:B5"/>
    <mergeCell ref="C4:C5"/>
    <mergeCell ref="D4:D5"/>
    <mergeCell ref="E4:E5"/>
    <mergeCell ref="F4:F5"/>
    <mergeCell ref="G4:G5"/>
    <mergeCell ref="H4:H5"/>
    <mergeCell ref="Y4:Y7"/>
    <mergeCell ref="A7:T7"/>
    <mergeCell ref="U4:U5"/>
    <mergeCell ref="V4:V5"/>
    <mergeCell ref="W4:W7"/>
    <mergeCell ref="X4:X7"/>
    <mergeCell ref="P1:T1"/>
    <mergeCell ref="Z1:Z7"/>
    <mergeCell ref="AA1:AA7"/>
    <mergeCell ref="AC1:AC7"/>
    <mergeCell ref="AD1:AD7"/>
    <mergeCell ref="AQ1:AQ7"/>
    <mergeCell ref="A2:T2"/>
    <mergeCell ref="AE2:AE7"/>
    <mergeCell ref="AI2:AI7"/>
    <mergeCell ref="AM2:AM7"/>
    <mergeCell ref="AN2:AN7"/>
  </mergeCells>
  <conditionalFormatting sqref="AG8:AG364 AN8:AN364">
    <cfRule type="cellIs" dxfId="16" priority="7" operator="lessThan">
      <formula>0</formula>
    </cfRule>
  </conditionalFormatting>
  <conditionalFormatting sqref="AH8:AI364">
    <cfRule type="cellIs" dxfId="15" priority="6" operator="greaterThan">
      <formula>1</formula>
    </cfRule>
  </conditionalFormatting>
  <conditionalFormatting sqref="AQ8:AQ364">
    <cfRule type="cellIs" dxfId="14" priority="5" operator="greaterThan">
      <formula>0</formula>
    </cfRule>
  </conditionalFormatting>
  <conditionalFormatting sqref="AQ1:AQ1048576">
    <cfRule type="cellIs" dxfId="13" priority="4" operator="greaterThan">
      <formula>0</formula>
    </cfRule>
  </conditionalFormatting>
  <conditionalFormatting sqref="Y1:Y372 Y374:Y1048576">
    <cfRule type="cellIs" dxfId="12" priority="1" operator="lessThan">
      <formula>0</formula>
    </cfRule>
    <cfRule type="cellIs" dxfId="11" priority="2" operator="lessThan">
      <formula>0</formula>
    </cfRule>
    <cfRule type="cellIs" dxfId="10" priority="3" operator="greaterThan">
      <formula>0</formula>
    </cfRule>
  </conditionalFormatting>
  <pageMargins left="0.70866141732283472" right="0.70866141732283472" top="0.74803149606299213" bottom="0.74803149606299213" header="0.31496062992125984" footer="0.31496062992125984"/>
  <pageSetup paperSize="9" scale="56" fitToHeight="0" orientation="landscape" r:id="rId1"/>
  <headerFooter>
    <oddFooter>&amp;R&amp;P</oddFooter>
  </headerFooter>
  <rowBreaks count="11" manualBreakCount="11">
    <brk id="30" max="19" man="1"/>
    <brk id="58" max="19" man="1"/>
    <brk id="83" max="19" man="1"/>
    <brk id="106" max="19" man="1"/>
    <brk id="132" max="19" man="1"/>
    <brk id="162" max="19" man="1"/>
    <brk id="197" max="19" man="1"/>
    <brk id="230" max="19" man="1"/>
    <brk id="269" max="19" man="1"/>
    <brk id="303" max="19" man="1"/>
    <brk id="337"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295"/>
  <sheetViews>
    <sheetView view="pageBreakPreview" topLeftCell="C3" zoomScale="90" zoomScaleSheetLayoutView="90" workbookViewId="0">
      <selection activeCell="H23" sqref="H23"/>
    </sheetView>
  </sheetViews>
  <sheetFormatPr defaultRowHeight="15" outlineLevelRow="1" outlineLevelCol="1" x14ac:dyDescent="0.25"/>
  <cols>
    <col min="1" max="1" width="8.42578125" style="47" hidden="1" customWidth="1"/>
    <col min="2" max="2" width="8.7109375" hidden="1" customWidth="1"/>
    <col min="3" max="3" width="7.28515625" customWidth="1"/>
    <col min="4" max="4" width="8.7109375" customWidth="1"/>
    <col min="5" max="5" width="37.5703125" style="45" customWidth="1"/>
    <col min="6" max="6" width="11.28515625" customWidth="1"/>
    <col min="7" max="7" width="12.28515625" customWidth="1"/>
    <col min="8" max="8" width="9.140625" customWidth="1" outlineLevel="1"/>
    <col min="9" max="9" width="9.7109375" customWidth="1" outlineLevel="1"/>
    <col min="10" max="11" width="9.140625" customWidth="1" outlineLevel="1"/>
    <col min="12" max="12" width="10.5703125" customWidth="1" outlineLevel="1"/>
    <col min="13" max="13" width="14.7109375" style="45" customWidth="1" outlineLevel="1"/>
    <col min="14" max="15" width="9.140625" style="37" customWidth="1" outlineLevel="1"/>
    <col min="16" max="16" width="11.7109375" style="37" customWidth="1" outlineLevel="1"/>
    <col min="17" max="17" width="10.140625" style="37" customWidth="1" outlineLevel="1"/>
    <col min="18" max="18" width="9.140625" customWidth="1" outlineLevel="1"/>
    <col min="19" max="19" width="10" customWidth="1" outlineLevel="1"/>
    <col min="20" max="20" width="10.28515625" style="140" customWidth="1"/>
    <col min="21" max="22" width="9.140625" style="140"/>
    <col min="23" max="23" width="14" customWidth="1"/>
    <col min="24" max="24" width="12.85546875" customWidth="1"/>
    <col min="25" max="25" width="13" customWidth="1"/>
    <col min="26" max="26" width="15" customWidth="1"/>
  </cols>
  <sheetData>
    <row r="1" spans="1:24" ht="93.75" hidden="1" customHeight="1" x14ac:dyDescent="0.25">
      <c r="A1" s="107"/>
      <c r="B1" s="77"/>
      <c r="C1" s="77"/>
      <c r="D1" s="77"/>
      <c r="E1" s="108"/>
      <c r="F1" s="77"/>
      <c r="G1" s="77"/>
      <c r="H1" s="77"/>
      <c r="I1" s="77"/>
      <c r="J1" s="77"/>
      <c r="K1" s="77"/>
      <c r="L1" s="77"/>
      <c r="M1" s="108"/>
      <c r="N1" s="109"/>
      <c r="O1" s="109"/>
      <c r="P1" s="109"/>
      <c r="Q1" s="109"/>
      <c r="R1" s="584" t="s">
        <v>578</v>
      </c>
      <c r="S1" s="584"/>
      <c r="T1" s="584"/>
      <c r="U1" s="584"/>
      <c r="V1" s="584"/>
    </row>
    <row r="2" spans="1:24" ht="78.75" hidden="1" customHeight="1" x14ac:dyDescent="0.25">
      <c r="A2" s="585" t="s">
        <v>560</v>
      </c>
      <c r="B2" s="586"/>
      <c r="C2" s="586"/>
      <c r="D2" s="586"/>
      <c r="E2" s="586"/>
      <c r="F2" s="586"/>
      <c r="G2" s="586"/>
      <c r="H2" s="586"/>
      <c r="I2" s="586"/>
      <c r="J2" s="586"/>
      <c r="K2" s="586"/>
      <c r="L2" s="586"/>
      <c r="M2" s="586"/>
      <c r="N2" s="586"/>
      <c r="O2" s="586"/>
      <c r="P2" s="586"/>
      <c r="Q2" s="586"/>
      <c r="R2" s="586"/>
      <c r="S2" s="586"/>
      <c r="T2" s="586"/>
      <c r="U2" s="586"/>
      <c r="V2" s="586"/>
    </row>
    <row r="3" spans="1:24" ht="78.75" customHeight="1" x14ac:dyDescent="0.25">
      <c r="A3" s="462"/>
      <c r="B3" s="463"/>
      <c r="C3" s="463"/>
      <c r="D3" s="463"/>
      <c r="E3" s="463"/>
      <c r="F3" s="463"/>
      <c r="G3" s="463"/>
      <c r="H3" s="463"/>
      <c r="I3" s="463"/>
      <c r="J3" s="463"/>
      <c r="K3" s="463"/>
      <c r="L3" s="463"/>
      <c r="M3" s="463"/>
      <c r="N3" s="463"/>
      <c r="O3" s="463"/>
      <c r="P3" s="463"/>
      <c r="Q3" s="463"/>
      <c r="R3" s="463"/>
      <c r="S3" s="584" t="s">
        <v>706</v>
      </c>
      <c r="T3" s="584"/>
      <c r="U3" s="584"/>
      <c r="V3" s="584"/>
    </row>
    <row r="4" spans="1:24" ht="95.25" customHeight="1" x14ac:dyDescent="0.3">
      <c r="A4" s="462"/>
      <c r="B4" s="463"/>
      <c r="C4" s="756" t="s">
        <v>725</v>
      </c>
      <c r="D4" s="757"/>
      <c r="E4" s="757"/>
      <c r="F4" s="757"/>
      <c r="G4" s="757"/>
      <c r="H4" s="757"/>
      <c r="I4" s="757"/>
      <c r="J4" s="757"/>
      <c r="K4" s="757"/>
      <c r="L4" s="757"/>
      <c r="M4" s="757"/>
      <c r="N4" s="757"/>
      <c r="O4" s="757"/>
      <c r="P4" s="757"/>
      <c r="Q4" s="757"/>
      <c r="R4" s="757"/>
      <c r="S4" s="757"/>
      <c r="T4" s="757"/>
      <c r="U4" s="757"/>
      <c r="V4" s="757"/>
    </row>
    <row r="5" spans="1:24" ht="37.5" customHeight="1" x14ac:dyDescent="0.25">
      <c r="A5" s="107"/>
      <c r="B5" s="77"/>
      <c r="C5" s="77"/>
      <c r="D5" s="77"/>
      <c r="E5" s="108"/>
      <c r="F5" s="77"/>
      <c r="G5" s="77"/>
      <c r="H5" s="77"/>
      <c r="I5" s="77"/>
      <c r="J5" s="77"/>
      <c r="K5" s="77"/>
      <c r="L5" s="77"/>
      <c r="M5" s="108"/>
      <c r="N5" s="109"/>
      <c r="O5" s="109"/>
      <c r="P5" s="109"/>
      <c r="Q5" s="109"/>
      <c r="R5" s="77"/>
      <c r="S5" s="77"/>
      <c r="T5" s="138"/>
      <c r="U5" s="138"/>
      <c r="V5" s="138"/>
    </row>
    <row r="6" spans="1:24" s="82" customFormat="1" ht="39.75" hidden="1" customHeight="1" x14ac:dyDescent="0.2">
      <c r="A6" s="615" t="s">
        <v>0</v>
      </c>
      <c r="B6" s="602" t="s">
        <v>1</v>
      </c>
      <c r="C6" s="449"/>
      <c r="D6" s="449"/>
      <c r="E6" s="600" t="s">
        <v>2</v>
      </c>
      <c r="F6" s="600" t="s">
        <v>590</v>
      </c>
      <c r="G6" s="600" t="s">
        <v>4</v>
      </c>
      <c r="H6" s="600" t="s">
        <v>5</v>
      </c>
      <c r="I6" s="600" t="s">
        <v>6</v>
      </c>
      <c r="J6" s="600" t="s">
        <v>7</v>
      </c>
      <c r="K6" s="448" t="s">
        <v>589</v>
      </c>
      <c r="L6" s="602" t="s">
        <v>19</v>
      </c>
      <c r="M6" s="611" t="s">
        <v>9</v>
      </c>
      <c r="N6" s="611" t="s">
        <v>10</v>
      </c>
      <c r="O6" s="611" t="s">
        <v>11</v>
      </c>
      <c r="P6" s="611" t="s">
        <v>12</v>
      </c>
      <c r="Q6" s="611" t="s">
        <v>13</v>
      </c>
      <c r="R6" s="602" t="s">
        <v>17</v>
      </c>
      <c r="S6" s="449" t="s">
        <v>14</v>
      </c>
      <c r="T6" s="455" t="s">
        <v>16</v>
      </c>
      <c r="U6" s="455" t="s">
        <v>20</v>
      </c>
      <c r="V6" s="613" t="s">
        <v>15</v>
      </c>
      <c r="W6" s="602"/>
      <c r="X6" s="602"/>
    </row>
    <row r="7" spans="1:24" s="82" customFormat="1" ht="13.7" hidden="1" customHeight="1" x14ac:dyDescent="0.2">
      <c r="A7" s="616"/>
      <c r="B7" s="617"/>
      <c r="C7" s="450"/>
      <c r="D7" s="450"/>
      <c r="E7" s="600"/>
      <c r="F7" s="618"/>
      <c r="G7" s="618"/>
      <c r="H7" s="618"/>
      <c r="I7" s="619"/>
      <c r="J7" s="619"/>
      <c r="K7" s="84">
        <f>'[1]Исходные данные'!$C$6</f>
        <v>0.30199999999999999</v>
      </c>
      <c r="L7" s="603"/>
      <c r="M7" s="612"/>
      <c r="N7" s="612"/>
      <c r="O7" s="612"/>
      <c r="P7" s="612"/>
      <c r="Q7" s="612"/>
      <c r="R7" s="603"/>
      <c r="S7" s="186">
        <v>1.2210000000000001</v>
      </c>
      <c r="T7" s="141">
        <f>'условия, ФОТ'!$C$8</f>
        <v>0.1</v>
      </c>
      <c r="U7" s="141">
        <v>0.2</v>
      </c>
      <c r="V7" s="614"/>
      <c r="W7" s="603"/>
      <c r="X7" s="603"/>
    </row>
    <row r="8" spans="1:24" ht="39" hidden="1" customHeight="1" x14ac:dyDescent="0.25">
      <c r="A8" s="446" t="s">
        <v>426</v>
      </c>
      <c r="B8" s="112" t="s">
        <v>343</v>
      </c>
      <c r="C8" s="112"/>
      <c r="D8" s="112"/>
      <c r="E8" s="444" t="s">
        <v>361</v>
      </c>
      <c r="F8" s="448">
        <v>11280</v>
      </c>
      <c r="G8" s="454" t="s">
        <v>162</v>
      </c>
      <c r="H8" s="443">
        <v>146.5</v>
      </c>
      <c r="I8" s="443">
        <v>0.4</v>
      </c>
      <c r="J8" s="443">
        <f>ROUND(H8*I8,2)*2</f>
        <v>117.2</v>
      </c>
      <c r="K8" s="443">
        <f>ROUND(J8*$K$7,2)</f>
        <v>35.39</v>
      </c>
      <c r="L8" s="443">
        <f>J8+K8</f>
        <v>152.59</v>
      </c>
      <c r="M8" s="79"/>
      <c r="N8" s="80"/>
      <c r="O8" s="80"/>
      <c r="P8" s="80"/>
      <c r="Q8" s="80"/>
      <c r="R8" s="443">
        <f>L8+Q8</f>
        <v>152.59</v>
      </c>
      <c r="S8" s="443">
        <f>ROUND(R8*$S$7,2)</f>
        <v>186.31</v>
      </c>
      <c r="T8" s="442">
        <f>ROUND(V8/1.2,2)</f>
        <v>372.5</v>
      </c>
      <c r="U8" s="442">
        <f>ROUND(T8*$U$7,2)</f>
        <v>74.5</v>
      </c>
      <c r="V8" s="442">
        <f>ROUND((R8+S8)*(1+$T$7)*1.2,0)</f>
        <v>447</v>
      </c>
      <c r="W8" s="442"/>
      <c r="X8" s="78"/>
    </row>
    <row r="9" spans="1:24" ht="39" hidden="1" customHeight="1" x14ac:dyDescent="0.25">
      <c r="A9" s="446" t="s">
        <v>426</v>
      </c>
      <c r="B9" s="112" t="s">
        <v>343</v>
      </c>
      <c r="C9" s="112"/>
      <c r="D9" s="112"/>
      <c r="E9" s="444" t="s">
        <v>361</v>
      </c>
      <c r="F9" s="448">
        <v>12634</v>
      </c>
      <c r="G9" s="454" t="s">
        <v>162</v>
      </c>
      <c r="H9" s="443">
        <v>164.09</v>
      </c>
      <c r="I9" s="443">
        <v>0.4</v>
      </c>
      <c r="J9" s="443">
        <f>ROUND(H9*I9,2)*2</f>
        <v>131.28</v>
      </c>
      <c r="K9" s="443">
        <f>ROUND(J9*$K$7,2)</f>
        <v>39.65</v>
      </c>
      <c r="L9" s="443">
        <f>J9+K9</f>
        <v>170.93</v>
      </c>
      <c r="M9" s="79"/>
      <c r="N9" s="80"/>
      <c r="O9" s="80"/>
      <c r="P9" s="80"/>
      <c r="Q9" s="80"/>
      <c r="R9" s="443">
        <f>L9+Q9</f>
        <v>170.93</v>
      </c>
      <c r="S9" s="443">
        <f>ROUND(R9*$S$7,2)</f>
        <v>208.71</v>
      </c>
      <c r="T9" s="442">
        <f>ROUND(V9/1.2,2)</f>
        <v>417.5</v>
      </c>
      <c r="U9" s="442">
        <f>ROUND(T9*$U$7,2)</f>
        <v>83.5</v>
      </c>
      <c r="V9" s="442">
        <f>ROUND((R9+S9)*(1+$T$7)*1.2,0)</f>
        <v>501</v>
      </c>
      <c r="W9" s="442"/>
      <c r="X9" s="78"/>
    </row>
    <row r="10" spans="1:24" ht="31.7" hidden="1" customHeight="1" x14ac:dyDescent="0.25">
      <c r="A10" s="610"/>
      <c r="B10" s="610"/>
      <c r="C10" s="610"/>
      <c r="D10" s="610"/>
      <c r="E10" s="610"/>
      <c r="F10" s="610"/>
      <c r="G10" s="610"/>
      <c r="H10" s="610"/>
      <c r="I10" s="610"/>
      <c r="J10" s="610"/>
      <c r="K10" s="610"/>
      <c r="L10" s="610"/>
      <c r="M10" s="610"/>
      <c r="N10" s="610"/>
      <c r="O10" s="610"/>
      <c r="P10" s="610"/>
      <c r="Q10" s="610"/>
      <c r="R10" s="610"/>
      <c r="S10" s="610"/>
      <c r="T10" s="610"/>
      <c r="U10" s="610"/>
      <c r="V10" s="610"/>
      <c r="W10" s="610"/>
      <c r="X10" s="77"/>
    </row>
    <row r="11" spans="1:24" s="82" customFormat="1" ht="39.75" hidden="1" customHeight="1" x14ac:dyDescent="0.2">
      <c r="A11" s="615" t="s">
        <v>0</v>
      </c>
      <c r="B11" s="602" t="s">
        <v>1</v>
      </c>
      <c r="C11" s="449"/>
      <c r="D11" s="449"/>
      <c r="E11" s="600" t="s">
        <v>2</v>
      </c>
      <c r="F11" s="600" t="s">
        <v>590</v>
      </c>
      <c r="G11" s="600" t="s">
        <v>4</v>
      </c>
      <c r="H11" s="600" t="s">
        <v>5</v>
      </c>
      <c r="I11" s="600" t="s">
        <v>6</v>
      </c>
      <c r="J11" s="600" t="s">
        <v>7</v>
      </c>
      <c r="K11" s="448" t="s">
        <v>589</v>
      </c>
      <c r="L11" s="602" t="s">
        <v>19</v>
      </c>
      <c r="M11" s="611" t="s">
        <v>9</v>
      </c>
      <c r="N11" s="611" t="s">
        <v>10</v>
      </c>
      <c r="O11" s="611" t="s">
        <v>11</v>
      </c>
      <c r="P11" s="611" t="s">
        <v>12</v>
      </c>
      <c r="Q11" s="611" t="s">
        <v>13</v>
      </c>
      <c r="R11" s="602" t="s">
        <v>17</v>
      </c>
      <c r="S11" s="449" t="s">
        <v>14</v>
      </c>
      <c r="T11" s="455" t="s">
        <v>16</v>
      </c>
      <c r="U11" s="455" t="s">
        <v>20</v>
      </c>
      <c r="V11" s="613" t="s">
        <v>15</v>
      </c>
      <c r="W11" s="602"/>
      <c r="X11" s="602"/>
    </row>
    <row r="12" spans="1:24" s="82" customFormat="1" ht="13.7" hidden="1" customHeight="1" x14ac:dyDescent="0.2">
      <c r="A12" s="616"/>
      <c r="B12" s="617"/>
      <c r="C12" s="450"/>
      <c r="D12" s="450"/>
      <c r="E12" s="600"/>
      <c r="F12" s="618"/>
      <c r="G12" s="618"/>
      <c r="H12" s="618"/>
      <c r="I12" s="619"/>
      <c r="J12" s="619"/>
      <c r="K12" s="84">
        <f>'[1]Исходные данные'!$C$6</f>
        <v>0.30199999999999999</v>
      </c>
      <c r="L12" s="603"/>
      <c r="M12" s="612"/>
      <c r="N12" s="612"/>
      <c r="O12" s="612"/>
      <c r="P12" s="612"/>
      <c r="Q12" s="612"/>
      <c r="R12" s="603"/>
      <c r="S12" s="186">
        <v>0.76300000000000001</v>
      </c>
      <c r="T12" s="141">
        <f>'условия, ФОТ'!$C$8</f>
        <v>0.1</v>
      </c>
      <c r="U12" s="141">
        <v>0.2</v>
      </c>
      <c r="V12" s="614"/>
      <c r="W12" s="603"/>
      <c r="X12" s="603"/>
    </row>
    <row r="13" spans="1:24" ht="39" hidden="1" customHeight="1" x14ac:dyDescent="0.25">
      <c r="A13" s="446" t="s">
        <v>426</v>
      </c>
      <c r="B13" s="112" t="s">
        <v>343</v>
      </c>
      <c r="C13" s="112"/>
      <c r="D13" s="112"/>
      <c r="E13" s="444" t="s">
        <v>361</v>
      </c>
      <c r="F13" s="448">
        <v>11280</v>
      </c>
      <c r="G13" s="454" t="s">
        <v>162</v>
      </c>
      <c r="H13" s="443">
        <v>146.5</v>
      </c>
      <c r="I13" s="443">
        <v>0.4</v>
      </c>
      <c r="J13" s="443">
        <f>ROUND(H13*I13,2)*2</f>
        <v>117.2</v>
      </c>
      <c r="K13" s="443">
        <f>ROUND(J13*$K$7,2)</f>
        <v>35.39</v>
      </c>
      <c r="L13" s="443">
        <f>J13+K13</f>
        <v>152.59</v>
      </c>
      <c r="M13" s="79"/>
      <c r="N13" s="80"/>
      <c r="O13" s="80"/>
      <c r="P13" s="80"/>
      <c r="Q13" s="80"/>
      <c r="R13" s="443">
        <f>L13+Q13</f>
        <v>152.59</v>
      </c>
      <c r="S13" s="443">
        <f>ROUND(R13*$S$12,2)</f>
        <v>116.43</v>
      </c>
      <c r="T13" s="442">
        <f>ROUND(V13/1.2,2)</f>
        <v>295.83</v>
      </c>
      <c r="U13" s="442">
        <f>ROUND(T13*$U$7,2)</f>
        <v>59.17</v>
      </c>
      <c r="V13" s="442">
        <f>ROUND((R13+S13)*(1+$T$7)*1.2,0)</f>
        <v>355</v>
      </c>
      <c r="W13" s="442"/>
      <c r="X13" s="78"/>
    </row>
    <row r="14" spans="1:24" ht="39" hidden="1" customHeight="1" x14ac:dyDescent="0.25">
      <c r="A14" s="446" t="s">
        <v>426</v>
      </c>
      <c r="B14" s="112" t="s">
        <v>343</v>
      </c>
      <c r="C14" s="112"/>
      <c r="D14" s="112"/>
      <c r="E14" s="444" t="s">
        <v>361</v>
      </c>
      <c r="F14" s="448">
        <v>12634</v>
      </c>
      <c r="G14" s="454" t="s">
        <v>162</v>
      </c>
      <c r="H14" s="443">
        <v>164.09</v>
      </c>
      <c r="I14" s="443">
        <v>0.4</v>
      </c>
      <c r="J14" s="443">
        <f>ROUND(H14*I14,2)*2</f>
        <v>131.28</v>
      </c>
      <c r="K14" s="443">
        <f>ROUND(J14*$K$7,2)</f>
        <v>39.65</v>
      </c>
      <c r="L14" s="443">
        <f>J14+K14</f>
        <v>170.93</v>
      </c>
      <c r="M14" s="79"/>
      <c r="N14" s="80"/>
      <c r="O14" s="80"/>
      <c r="P14" s="80"/>
      <c r="Q14" s="80"/>
      <c r="R14" s="443">
        <f>L14+Q14</f>
        <v>170.93</v>
      </c>
      <c r="S14" s="443">
        <f>ROUND(R14*$S$12,2)</f>
        <v>130.41999999999999</v>
      </c>
      <c r="T14" s="442">
        <f>ROUND(V14/1.2,2)</f>
        <v>331.67</v>
      </c>
      <c r="U14" s="442">
        <f>ROUND(T14*$U$7,2)</f>
        <v>66.33</v>
      </c>
      <c r="V14" s="442">
        <f>ROUND((R14+S14)*(1+$T$7)*1.2,0)</f>
        <v>398</v>
      </c>
      <c r="W14" s="442"/>
      <c r="X14" s="78"/>
    </row>
    <row r="15" spans="1:24" ht="37.5" hidden="1" customHeight="1" x14ac:dyDescent="0.25">
      <c r="A15" s="446" t="s">
        <v>427</v>
      </c>
      <c r="B15" s="453" t="s">
        <v>171</v>
      </c>
      <c r="C15" s="453"/>
      <c r="D15" s="453"/>
      <c r="E15" s="444"/>
      <c r="F15" s="448"/>
      <c r="G15" s="454"/>
      <c r="H15" s="443"/>
      <c r="I15" s="457"/>
      <c r="J15" s="443"/>
      <c r="K15" s="443"/>
      <c r="L15" s="443"/>
      <c r="M15" s="456"/>
      <c r="N15" s="443"/>
      <c r="O15" s="443"/>
      <c r="P15" s="443"/>
      <c r="Q15" s="443"/>
      <c r="R15" s="443"/>
      <c r="S15" s="443"/>
      <c r="T15" s="442"/>
      <c r="U15" s="442"/>
      <c r="V15" s="442"/>
      <c r="W15" s="442">
        <v>423</v>
      </c>
      <c r="X15" s="78">
        <f>V15/W15*100-100</f>
        <v>-100</v>
      </c>
    </row>
    <row r="16" spans="1:24" s="82" customFormat="1" ht="39.75" hidden="1" customHeight="1" x14ac:dyDescent="0.2">
      <c r="A16" s="615" t="s">
        <v>0</v>
      </c>
      <c r="B16" s="602" t="s">
        <v>1</v>
      </c>
      <c r="C16" s="449"/>
      <c r="D16" s="449"/>
      <c r="E16" s="600" t="s">
        <v>2</v>
      </c>
      <c r="F16" s="600" t="s">
        <v>590</v>
      </c>
      <c r="G16" s="600" t="s">
        <v>4</v>
      </c>
      <c r="H16" s="600" t="s">
        <v>5</v>
      </c>
      <c r="I16" s="600" t="s">
        <v>6</v>
      </c>
      <c r="J16" s="600" t="s">
        <v>7</v>
      </c>
      <c r="K16" s="448" t="s">
        <v>589</v>
      </c>
      <c r="L16" s="602" t="s">
        <v>19</v>
      </c>
      <c r="M16" s="611" t="s">
        <v>9</v>
      </c>
      <c r="N16" s="611" t="s">
        <v>10</v>
      </c>
      <c r="O16" s="611" t="s">
        <v>11</v>
      </c>
      <c r="P16" s="611" t="s">
        <v>12</v>
      </c>
      <c r="Q16" s="611" t="s">
        <v>13</v>
      </c>
      <c r="R16" s="602" t="s">
        <v>17</v>
      </c>
      <c r="S16" s="449" t="s">
        <v>14</v>
      </c>
      <c r="T16" s="455" t="s">
        <v>16</v>
      </c>
      <c r="U16" s="455" t="s">
        <v>20</v>
      </c>
      <c r="V16" s="613" t="s">
        <v>15</v>
      </c>
      <c r="W16" s="602"/>
      <c r="X16" s="602"/>
    </row>
    <row r="17" spans="1:26" s="82" customFormat="1" ht="13.7" hidden="1" customHeight="1" x14ac:dyDescent="0.2">
      <c r="A17" s="616"/>
      <c r="B17" s="617"/>
      <c r="C17" s="450"/>
      <c r="D17" s="450"/>
      <c r="E17" s="600"/>
      <c r="F17" s="618"/>
      <c r="G17" s="618"/>
      <c r="H17" s="618"/>
      <c r="I17" s="619"/>
      <c r="J17" s="619"/>
      <c r="K17" s="84">
        <f>'[1]Исходные данные'!$C$6</f>
        <v>0.30199999999999999</v>
      </c>
      <c r="L17" s="603"/>
      <c r="M17" s="612"/>
      <c r="N17" s="612"/>
      <c r="O17" s="612"/>
      <c r="P17" s="612"/>
      <c r="Q17" s="612"/>
      <c r="R17" s="603"/>
      <c r="S17" s="186">
        <v>1.2210000000000001</v>
      </c>
      <c r="T17" s="141">
        <f>'условия, ФОТ'!$C$8</f>
        <v>0.1</v>
      </c>
      <c r="U17" s="141">
        <v>0.2</v>
      </c>
      <c r="V17" s="614"/>
      <c r="W17" s="603"/>
      <c r="X17" s="603"/>
    </row>
    <row r="18" spans="1:26" ht="39" hidden="1" customHeight="1" x14ac:dyDescent="0.25">
      <c r="A18" s="446" t="s">
        <v>426</v>
      </c>
      <c r="B18" s="112" t="s">
        <v>343</v>
      </c>
      <c r="C18" s="112"/>
      <c r="D18" s="112"/>
      <c r="E18" s="444" t="s">
        <v>361</v>
      </c>
      <c r="F18" s="448">
        <v>11280</v>
      </c>
      <c r="G18" s="454" t="s">
        <v>162</v>
      </c>
      <c r="H18" s="443">
        <v>146.5</v>
      </c>
      <c r="I18" s="443">
        <v>1.4</v>
      </c>
      <c r="J18" s="443">
        <f>ROUND(H18*I18,2)*2</f>
        <v>410.2</v>
      </c>
      <c r="K18" s="443">
        <f>ROUND(J18*$K$7,2)</f>
        <v>123.88</v>
      </c>
      <c r="L18" s="443">
        <f>J18+K18</f>
        <v>534.07999999999993</v>
      </c>
      <c r="M18" s="79"/>
      <c r="N18" s="80"/>
      <c r="O18" s="80"/>
      <c r="P18" s="80"/>
      <c r="Q18" s="80"/>
      <c r="R18" s="443">
        <f>L18+Q18</f>
        <v>534.07999999999993</v>
      </c>
      <c r="S18" s="443">
        <f>ROUND(R18*$S$17,2)</f>
        <v>652.11</v>
      </c>
      <c r="T18" s="442">
        <f>ROUND(V18/1.2,2)</f>
        <v>1305</v>
      </c>
      <c r="U18" s="442">
        <f>ROUND(T18*$U$7,2)</f>
        <v>261</v>
      </c>
      <c r="V18" s="442">
        <f>ROUND((R18+S18)*(1+$T$7)*1.2,0)</f>
        <v>1566</v>
      </c>
      <c r="W18" s="442"/>
      <c r="X18" s="78"/>
    </row>
    <row r="19" spans="1:26" ht="39" hidden="1" customHeight="1" x14ac:dyDescent="0.25">
      <c r="A19" s="446" t="s">
        <v>426</v>
      </c>
      <c r="B19" s="112" t="s">
        <v>343</v>
      </c>
      <c r="C19" s="112"/>
      <c r="D19" s="112"/>
      <c r="E19" s="444" t="s">
        <v>361</v>
      </c>
      <c r="F19" s="448">
        <v>12634</v>
      </c>
      <c r="G19" s="454" t="s">
        <v>162</v>
      </c>
      <c r="H19" s="443">
        <v>164.09</v>
      </c>
      <c r="I19" s="443">
        <v>1.4</v>
      </c>
      <c r="J19" s="443">
        <f>ROUND(H19*I19,2)*2</f>
        <v>459.46</v>
      </c>
      <c r="K19" s="443">
        <f>ROUND(J19*$K$7,2)</f>
        <v>138.76</v>
      </c>
      <c r="L19" s="443">
        <f>J19+K19</f>
        <v>598.22</v>
      </c>
      <c r="M19" s="79"/>
      <c r="N19" s="80"/>
      <c r="O19" s="80"/>
      <c r="P19" s="80"/>
      <c r="Q19" s="80"/>
      <c r="R19" s="443">
        <f>L19+Q19</f>
        <v>598.22</v>
      </c>
      <c r="S19" s="443">
        <f>ROUND(R19*$S$17,2)</f>
        <v>730.43</v>
      </c>
      <c r="T19" s="442">
        <f>ROUND(V19/1.2,2)</f>
        <v>1461.67</v>
      </c>
      <c r="U19" s="442">
        <f>ROUND(T19*$U$7,2)</f>
        <v>292.33</v>
      </c>
      <c r="V19" s="442">
        <f>ROUND((R19+S19)*(1+$T$7)*1.2,0)</f>
        <v>1754</v>
      </c>
      <c r="W19" s="442"/>
      <c r="X19" s="78"/>
    </row>
    <row r="20" spans="1:26" ht="31.7" hidden="1" customHeight="1" x14ac:dyDescent="0.25">
      <c r="A20" s="610"/>
      <c r="B20" s="610"/>
      <c r="C20" s="610"/>
      <c r="D20" s="610"/>
      <c r="E20" s="610"/>
      <c r="F20" s="610"/>
      <c r="G20" s="610"/>
      <c r="H20" s="610"/>
      <c r="I20" s="610"/>
      <c r="J20" s="610"/>
      <c r="K20" s="610"/>
      <c r="L20" s="610"/>
      <c r="M20" s="610"/>
      <c r="N20" s="610"/>
      <c r="O20" s="610"/>
      <c r="P20" s="610"/>
      <c r="Q20" s="610"/>
      <c r="R20" s="610"/>
      <c r="S20" s="610"/>
      <c r="T20" s="610"/>
      <c r="U20" s="610"/>
      <c r="V20" s="610"/>
      <c r="W20" s="610"/>
      <c r="X20" s="77"/>
    </row>
    <row r="21" spans="1:26" s="82" customFormat="1" ht="45.75" customHeight="1" x14ac:dyDescent="0.2">
      <c r="A21" s="615" t="s">
        <v>0</v>
      </c>
      <c r="B21" s="602" t="s">
        <v>1</v>
      </c>
      <c r="C21" s="602" t="s">
        <v>0</v>
      </c>
      <c r="D21" s="602" t="s">
        <v>710</v>
      </c>
      <c r="E21" s="600" t="s">
        <v>2</v>
      </c>
      <c r="F21" s="600" t="s">
        <v>3</v>
      </c>
      <c r="G21" s="600" t="s">
        <v>4</v>
      </c>
      <c r="H21" s="600" t="s">
        <v>5</v>
      </c>
      <c r="I21" s="600" t="s">
        <v>6</v>
      </c>
      <c r="J21" s="600" t="s">
        <v>7</v>
      </c>
      <c r="K21" s="448" t="s">
        <v>589</v>
      </c>
      <c r="L21" s="602" t="s">
        <v>19</v>
      </c>
      <c r="M21" s="611" t="s">
        <v>9</v>
      </c>
      <c r="N21" s="611" t="s">
        <v>10</v>
      </c>
      <c r="O21" s="611" t="s">
        <v>11</v>
      </c>
      <c r="P21" s="611" t="s">
        <v>12</v>
      </c>
      <c r="Q21" s="611" t="s">
        <v>13</v>
      </c>
      <c r="R21" s="602" t="s">
        <v>17</v>
      </c>
      <c r="S21" s="449" t="s">
        <v>14</v>
      </c>
      <c r="T21" s="455" t="s">
        <v>16</v>
      </c>
      <c r="U21" s="455" t="s">
        <v>20</v>
      </c>
      <c r="V21" s="613" t="s">
        <v>708</v>
      </c>
      <c r="W21" s="759" t="s">
        <v>722</v>
      </c>
      <c r="X21" s="602" t="s">
        <v>723</v>
      </c>
      <c r="Y21" s="752" t="s">
        <v>720</v>
      </c>
      <c r="Z21" s="754" t="s">
        <v>724</v>
      </c>
    </row>
    <row r="22" spans="1:26" s="82" customFormat="1" ht="36" customHeight="1" x14ac:dyDescent="0.2">
      <c r="A22" s="616"/>
      <c r="B22" s="617"/>
      <c r="C22" s="603"/>
      <c r="D22" s="758"/>
      <c r="E22" s="600"/>
      <c r="F22" s="618"/>
      <c r="G22" s="618"/>
      <c r="H22" s="618"/>
      <c r="I22" s="619"/>
      <c r="J22" s="619"/>
      <c r="K22" s="84">
        <f>'[1]Исходные данные'!$C$6</f>
        <v>0.30199999999999999</v>
      </c>
      <c r="L22" s="603"/>
      <c r="M22" s="612"/>
      <c r="N22" s="612"/>
      <c r="O22" s="612"/>
      <c r="P22" s="612"/>
      <c r="Q22" s="612"/>
      <c r="R22" s="603"/>
      <c r="S22" s="567">
        <v>0.77500000000000002</v>
      </c>
      <c r="T22" s="568">
        <v>7.6399999999999996E-2</v>
      </c>
      <c r="U22" s="141">
        <v>0.2</v>
      </c>
      <c r="V22" s="614"/>
      <c r="W22" s="603"/>
      <c r="X22" s="603"/>
      <c r="Y22" s="753"/>
      <c r="Z22" s="755"/>
    </row>
    <row r="23" spans="1:26" ht="62.25" customHeight="1" x14ac:dyDescent="0.25">
      <c r="A23" s="446" t="s">
        <v>426</v>
      </c>
      <c r="B23" s="112" t="s">
        <v>343</v>
      </c>
      <c r="C23" s="555" t="s">
        <v>580</v>
      </c>
      <c r="D23" s="555" t="s">
        <v>27</v>
      </c>
      <c r="E23" s="556" t="s">
        <v>591</v>
      </c>
      <c r="F23" s="557" t="s">
        <v>167</v>
      </c>
      <c r="G23" s="558" t="s">
        <v>162</v>
      </c>
      <c r="H23" s="559">
        <v>250.86</v>
      </c>
      <c r="I23" s="559">
        <v>1.4</v>
      </c>
      <c r="J23" s="559">
        <f>ROUND(H23*I23,2)*2</f>
        <v>702.4</v>
      </c>
      <c r="K23" s="559">
        <f>ROUND(J23*$K$7,2)</f>
        <v>212.12</v>
      </c>
      <c r="L23" s="559">
        <f>J23+K23</f>
        <v>914.52</v>
      </c>
      <c r="M23" s="560"/>
      <c r="N23" s="561"/>
      <c r="O23" s="561"/>
      <c r="P23" s="561"/>
      <c r="Q23" s="561"/>
      <c r="R23" s="559">
        <f>L23+Q23</f>
        <v>914.52</v>
      </c>
      <c r="S23" s="559">
        <f>ROUND(R23*$S$22,2)</f>
        <v>708.75</v>
      </c>
      <c r="T23" s="557">
        <f>ROUND(V23/1.2,2)</f>
        <v>1747.5</v>
      </c>
      <c r="U23" s="557">
        <f>ROUND(T23*$U$7,2)</f>
        <v>349.5</v>
      </c>
      <c r="V23" s="557">
        <f>ROUND((R23+S23)*(1+$T$22)*1.2,0)</f>
        <v>2097</v>
      </c>
      <c r="W23" s="442">
        <v>1415</v>
      </c>
      <c r="X23" s="569">
        <f>ROUND(V23/W23*100-100,2)</f>
        <v>48.2</v>
      </c>
      <c r="Y23" s="497">
        <v>7.6399999999999996E-2</v>
      </c>
      <c r="Z23" s="493">
        <f>V23-W23</f>
        <v>682</v>
      </c>
    </row>
    <row r="24" spans="1:26" ht="39" hidden="1" customHeight="1" x14ac:dyDescent="0.25">
      <c r="A24" s="446" t="s">
        <v>426</v>
      </c>
      <c r="B24" s="112" t="s">
        <v>343</v>
      </c>
      <c r="C24" s="112"/>
      <c r="D24" s="112"/>
      <c r="E24" s="444" t="s">
        <v>361</v>
      </c>
      <c r="F24" s="448">
        <v>12634</v>
      </c>
      <c r="G24" s="454" t="s">
        <v>162</v>
      </c>
      <c r="H24" s="443">
        <v>164.09</v>
      </c>
      <c r="I24" s="443">
        <v>1.4</v>
      </c>
      <c r="J24" s="443">
        <f>ROUND(H24*I24,2)*2</f>
        <v>459.46</v>
      </c>
      <c r="K24" s="443">
        <f>ROUND(J24*$K$7,2)</f>
        <v>138.76</v>
      </c>
      <c r="L24" s="443">
        <f>J24+K24</f>
        <v>598.22</v>
      </c>
      <c r="M24" s="79"/>
      <c r="N24" s="80"/>
      <c r="O24" s="80"/>
      <c r="P24" s="80"/>
      <c r="Q24" s="80"/>
      <c r="R24" s="443">
        <f>L24+Q24</f>
        <v>598.22</v>
      </c>
      <c r="S24" s="443">
        <f>ROUND(R24*$S$22,2)</f>
        <v>463.62</v>
      </c>
      <c r="T24" s="442">
        <f>ROUND(V24/1.2,2)</f>
        <v>1168.33</v>
      </c>
      <c r="U24" s="442">
        <f>ROUND(T24*$U$7,2)</f>
        <v>233.67</v>
      </c>
      <c r="V24" s="442">
        <f>ROUND((R24+S24)*(1+$T$7)*1.2,0)</f>
        <v>1402</v>
      </c>
      <c r="W24" s="571"/>
      <c r="X24" s="78"/>
      <c r="Y24" s="570"/>
    </row>
    <row r="25" spans="1:26" ht="26.25" customHeight="1" outlineLevel="1" x14ac:dyDescent="0.25">
      <c r="A25" s="446"/>
      <c r="B25" s="199"/>
      <c r="C25" s="435"/>
      <c r="D25" s="435"/>
      <c r="E25" s="739" t="s">
        <v>573</v>
      </c>
      <c r="F25" s="739"/>
      <c r="G25" s="200"/>
      <c r="H25" s="201"/>
      <c r="I25" s="202"/>
      <c r="J25" s="201"/>
      <c r="K25" s="201"/>
      <c r="L25" s="203"/>
      <c r="M25" s="204"/>
      <c r="N25" s="205"/>
      <c r="O25" s="201"/>
      <c r="P25" s="201"/>
      <c r="Q25" s="201"/>
      <c r="R25" s="201"/>
      <c r="S25" s="201"/>
      <c r="T25" s="206"/>
      <c r="U25" s="206"/>
      <c r="V25" s="206"/>
      <c r="W25" s="196"/>
      <c r="X25" s="572"/>
    </row>
    <row r="26" spans="1:26" ht="44.25" customHeight="1" outlineLevel="1" x14ac:dyDescent="0.25">
      <c r="A26" s="187"/>
      <c r="B26" s="190"/>
      <c r="C26" s="740" t="s">
        <v>572</v>
      </c>
      <c r="D26" s="740"/>
      <c r="E26" s="740"/>
      <c r="F26" s="740"/>
      <c r="G26" s="740"/>
      <c r="H26" s="740"/>
      <c r="I26" s="740"/>
      <c r="J26" s="740"/>
      <c r="K26" s="740"/>
      <c r="L26" s="740"/>
      <c r="M26" s="740"/>
      <c r="N26" s="740"/>
      <c r="O26" s="740"/>
      <c r="P26" s="740"/>
      <c r="Q26" s="740"/>
      <c r="R26" s="740"/>
      <c r="S26" s="740"/>
      <c r="T26" s="740"/>
      <c r="U26" s="740"/>
      <c r="V26" s="740"/>
      <c r="W26" s="196"/>
      <c r="X26" s="572"/>
    </row>
    <row r="27" spans="1:26" ht="43.5" customHeight="1" outlineLevel="1" x14ac:dyDescent="0.25">
      <c r="A27" s="187"/>
      <c r="B27" s="190"/>
      <c r="C27" s="190"/>
      <c r="D27" s="190"/>
      <c r="E27" s="437" t="s">
        <v>726</v>
      </c>
      <c r="F27" s="191"/>
      <c r="G27" s="192"/>
      <c r="H27" s="438"/>
      <c r="I27" s="439"/>
      <c r="J27" s="438"/>
      <c r="K27" s="417" t="s">
        <v>727</v>
      </c>
      <c r="L27" s="193"/>
      <c r="M27" s="194"/>
      <c r="N27" s="195"/>
      <c r="O27" s="193"/>
      <c r="P27" s="195"/>
      <c r="Q27" s="193"/>
      <c r="R27" s="193"/>
      <c r="S27" s="193"/>
      <c r="T27" s="196"/>
      <c r="U27" s="196"/>
      <c r="V27" s="196"/>
      <c r="W27" s="196"/>
      <c r="X27" s="572"/>
    </row>
    <row r="28" spans="1:26" ht="21" customHeight="1" outlineLevel="1" x14ac:dyDescent="0.25">
      <c r="A28" s="187"/>
      <c r="B28" s="190"/>
      <c r="C28" s="190"/>
      <c r="D28" s="190"/>
      <c r="E28" s="220"/>
      <c r="F28" s="191"/>
      <c r="G28" s="192"/>
      <c r="H28" s="193"/>
      <c r="I28" s="150"/>
      <c r="J28" s="193"/>
      <c r="K28" s="193"/>
      <c r="L28" s="193"/>
      <c r="M28" s="194"/>
      <c r="N28" s="195"/>
      <c r="O28" s="193"/>
      <c r="P28" s="195"/>
      <c r="Q28" s="193"/>
      <c r="R28" s="193"/>
      <c r="S28" s="193"/>
      <c r="T28" s="196"/>
      <c r="U28" s="196"/>
      <c r="V28" s="196"/>
      <c r="W28" s="196"/>
      <c r="X28" s="572"/>
    </row>
    <row r="29" spans="1:26" ht="39.75" customHeight="1" x14ac:dyDescent="0.25">
      <c r="A29" s="187" t="s">
        <v>428</v>
      </c>
      <c r="B29" s="436"/>
      <c r="C29" s="436"/>
      <c r="D29" s="436"/>
      <c r="E29" s="437" t="s">
        <v>564</v>
      </c>
      <c r="F29" s="191"/>
      <c r="G29" s="197"/>
      <c r="H29" s="438"/>
      <c r="I29" s="439"/>
      <c r="J29" s="438"/>
      <c r="K29" s="417" t="s">
        <v>565</v>
      </c>
      <c r="L29" s="193"/>
      <c r="M29" s="198"/>
      <c r="N29" s="193"/>
      <c r="O29" s="193"/>
      <c r="P29" s="193"/>
      <c r="Q29" s="193"/>
      <c r="R29" s="193"/>
      <c r="S29" s="193"/>
      <c r="T29" s="196"/>
      <c r="U29" s="196"/>
      <c r="V29" s="196"/>
      <c r="W29" s="196"/>
      <c r="X29" s="572"/>
    </row>
    <row r="30" spans="1:26" ht="23.25" hidden="1" customHeight="1" x14ac:dyDescent="0.25">
      <c r="A30" s="590" t="s">
        <v>351</v>
      </c>
      <c r="B30" s="760"/>
      <c r="C30" s="465"/>
      <c r="D30" s="465"/>
      <c r="E30" s="761"/>
      <c r="F30" s="612"/>
      <c r="G30" s="451"/>
      <c r="H30" s="464"/>
      <c r="I30" s="189"/>
      <c r="J30" s="762"/>
      <c r="K30" s="762"/>
      <c r="L30" s="762"/>
      <c r="M30" s="764"/>
      <c r="N30" s="762"/>
      <c r="O30" s="762"/>
      <c r="P30" s="762"/>
      <c r="Q30" s="762"/>
      <c r="R30" s="762"/>
      <c r="S30" s="762"/>
      <c r="T30" s="595"/>
      <c r="U30" s="595"/>
      <c r="V30" s="595"/>
      <c r="W30" s="763">
        <v>892</v>
      </c>
      <c r="X30" s="78">
        <f t="shared" ref="X30:X171" si="0">V30/W30*100-100</f>
        <v>-100</v>
      </c>
    </row>
    <row r="31" spans="1:26" ht="24" hidden="1" customHeight="1" x14ac:dyDescent="0.25">
      <c r="A31" s="590"/>
      <c r="B31" s="620"/>
      <c r="C31" s="453"/>
      <c r="D31" s="453"/>
      <c r="E31" s="589"/>
      <c r="F31" s="621"/>
      <c r="G31" s="454"/>
      <c r="H31" s="443"/>
      <c r="I31" s="87"/>
      <c r="J31" s="592"/>
      <c r="K31" s="592"/>
      <c r="L31" s="592"/>
      <c r="M31" s="591"/>
      <c r="N31" s="592"/>
      <c r="O31" s="592"/>
      <c r="P31" s="592"/>
      <c r="Q31" s="592"/>
      <c r="R31" s="592"/>
      <c r="S31" s="592"/>
      <c r="T31" s="596"/>
      <c r="U31" s="596"/>
      <c r="V31" s="596"/>
      <c r="W31" s="595"/>
      <c r="X31" s="78"/>
    </row>
    <row r="32" spans="1:26" ht="17.25" hidden="1" customHeight="1" outlineLevel="1" x14ac:dyDescent="0.25">
      <c r="A32" s="590"/>
      <c r="B32" s="453"/>
      <c r="C32" s="453"/>
      <c r="D32" s="453"/>
      <c r="E32" s="444"/>
      <c r="F32" s="454"/>
      <c r="G32" s="454"/>
      <c r="H32" s="443"/>
      <c r="I32" s="87"/>
      <c r="J32" s="443"/>
      <c r="K32" s="443"/>
      <c r="L32" s="96"/>
      <c r="M32" s="97"/>
      <c r="N32" s="98"/>
      <c r="O32" s="443"/>
      <c r="P32" s="98"/>
      <c r="Q32" s="443"/>
      <c r="R32" s="443"/>
      <c r="S32" s="443"/>
      <c r="T32" s="442"/>
      <c r="U32" s="442"/>
      <c r="V32" s="442"/>
      <c r="W32" s="442"/>
      <c r="X32" s="78"/>
    </row>
    <row r="33" spans="1:24" ht="17.25" hidden="1" customHeight="1" outlineLevel="1" x14ac:dyDescent="0.25">
      <c r="A33" s="590"/>
      <c r="B33" s="453"/>
      <c r="C33" s="453"/>
      <c r="D33" s="453"/>
      <c r="E33" s="444"/>
      <c r="F33" s="454"/>
      <c r="G33" s="454"/>
      <c r="H33" s="443"/>
      <c r="I33" s="87"/>
      <c r="J33" s="443"/>
      <c r="K33" s="443"/>
      <c r="L33" s="443"/>
      <c r="M33" s="97"/>
      <c r="N33" s="98"/>
      <c r="O33" s="443"/>
      <c r="P33" s="443"/>
      <c r="Q33" s="443"/>
      <c r="R33" s="443"/>
      <c r="S33" s="443"/>
      <c r="T33" s="442"/>
      <c r="U33" s="442"/>
      <c r="V33" s="442"/>
      <c r="W33" s="442"/>
      <c r="X33" s="78"/>
    </row>
    <row r="34" spans="1:24" ht="35.25" hidden="1" customHeight="1" outlineLevel="1" x14ac:dyDescent="0.25">
      <c r="A34" s="590"/>
      <c r="B34" s="453"/>
      <c r="C34" s="453"/>
      <c r="D34" s="453"/>
      <c r="E34" s="444"/>
      <c r="F34" s="454"/>
      <c r="G34" s="454"/>
      <c r="H34" s="443"/>
      <c r="I34" s="87"/>
      <c r="J34" s="443"/>
      <c r="K34" s="443"/>
      <c r="L34" s="443"/>
      <c r="M34" s="97"/>
      <c r="N34" s="98"/>
      <c r="O34" s="443"/>
      <c r="P34" s="443"/>
      <c r="Q34" s="443"/>
      <c r="R34" s="443"/>
      <c r="S34" s="443"/>
      <c r="T34" s="442"/>
      <c r="U34" s="442"/>
      <c r="V34" s="442"/>
      <c r="W34" s="442"/>
      <c r="X34" s="78"/>
    </row>
    <row r="35" spans="1:24" ht="24" hidden="1" customHeight="1" outlineLevel="1" x14ac:dyDescent="0.25">
      <c r="A35" s="590"/>
      <c r="B35" s="453"/>
      <c r="C35" s="453"/>
      <c r="D35" s="453"/>
      <c r="E35" s="444"/>
      <c r="F35" s="454"/>
      <c r="G35" s="454"/>
      <c r="H35" s="443"/>
      <c r="I35" s="87"/>
      <c r="J35" s="443"/>
      <c r="K35" s="443"/>
      <c r="L35" s="443"/>
      <c r="M35" s="97"/>
      <c r="N35" s="98"/>
      <c r="O35" s="443"/>
      <c r="P35" s="443"/>
      <c r="Q35" s="443"/>
      <c r="R35" s="443"/>
      <c r="S35" s="443"/>
      <c r="T35" s="442"/>
      <c r="U35" s="442"/>
      <c r="V35" s="442"/>
      <c r="W35" s="442"/>
      <c r="X35" s="78"/>
    </row>
    <row r="36" spans="1:24" ht="24" hidden="1" customHeight="1" outlineLevel="1" x14ac:dyDescent="0.25">
      <c r="A36" s="590"/>
      <c r="B36" s="453"/>
      <c r="C36" s="453"/>
      <c r="D36" s="453"/>
      <c r="E36" s="444"/>
      <c r="F36" s="454"/>
      <c r="G36" s="454"/>
      <c r="H36" s="443"/>
      <c r="I36" s="87"/>
      <c r="J36" s="443"/>
      <c r="K36" s="443"/>
      <c r="L36" s="443"/>
      <c r="M36" s="97"/>
      <c r="N36" s="98"/>
      <c r="O36" s="443"/>
      <c r="P36" s="443"/>
      <c r="Q36" s="443"/>
      <c r="R36" s="443"/>
      <c r="S36" s="443"/>
      <c r="T36" s="442"/>
      <c r="U36" s="442"/>
      <c r="V36" s="442"/>
      <c r="W36" s="442"/>
      <c r="X36" s="78"/>
    </row>
    <row r="37" spans="1:24" ht="20.25" hidden="1" customHeight="1" outlineLevel="1" x14ac:dyDescent="0.25">
      <c r="A37" s="590"/>
      <c r="B37" s="453"/>
      <c r="C37" s="453"/>
      <c r="D37" s="453"/>
      <c r="E37" s="444"/>
      <c r="F37" s="454"/>
      <c r="G37" s="454"/>
      <c r="H37" s="443"/>
      <c r="I37" s="87"/>
      <c r="J37" s="443"/>
      <c r="K37" s="443"/>
      <c r="L37" s="443"/>
      <c r="M37" s="97"/>
      <c r="N37" s="98"/>
      <c r="O37" s="443"/>
      <c r="P37" s="98"/>
      <c r="Q37" s="443"/>
      <c r="R37" s="443"/>
      <c r="S37" s="443"/>
      <c r="T37" s="442"/>
      <c r="U37" s="442"/>
      <c r="V37" s="442"/>
      <c r="W37" s="442"/>
      <c r="X37" s="78"/>
    </row>
    <row r="38" spans="1:24" ht="16.5" hidden="1" customHeight="1" outlineLevel="1" x14ac:dyDescent="0.25">
      <c r="A38" s="590"/>
      <c r="B38" s="453"/>
      <c r="C38" s="453"/>
      <c r="D38" s="453"/>
      <c r="E38" s="444"/>
      <c r="F38" s="454"/>
      <c r="G38" s="454"/>
      <c r="H38" s="443"/>
      <c r="I38" s="87"/>
      <c r="J38" s="443"/>
      <c r="K38" s="443"/>
      <c r="L38" s="443"/>
      <c r="M38" s="97"/>
      <c r="N38" s="98"/>
      <c r="O38" s="443"/>
      <c r="P38" s="100"/>
      <c r="Q38" s="443"/>
      <c r="R38" s="443"/>
      <c r="S38" s="443"/>
      <c r="T38" s="442"/>
      <c r="U38" s="442"/>
      <c r="V38" s="442"/>
      <c r="W38" s="442"/>
      <c r="X38" s="78"/>
    </row>
    <row r="39" spans="1:24" ht="18" hidden="1" customHeight="1" x14ac:dyDescent="0.25">
      <c r="A39" s="590"/>
      <c r="B39" s="598" t="s">
        <v>344</v>
      </c>
      <c r="C39" s="460"/>
      <c r="D39" s="460"/>
      <c r="E39" s="599" t="s">
        <v>345</v>
      </c>
      <c r="F39" s="600" t="s">
        <v>28</v>
      </c>
      <c r="G39" s="454" t="s">
        <v>166</v>
      </c>
      <c r="H39" s="443">
        <f>VLOOKUP(G39,'условия, ФОТ'!$A$14:$I$32,9, FALSE)</f>
        <v>185.8</v>
      </c>
      <c r="I39" s="457">
        <v>0.2</v>
      </c>
      <c r="J39" s="592">
        <f>ROUND(H39*I39+H40*I40,2)</f>
        <v>69.98</v>
      </c>
      <c r="K39" s="592">
        <f>ROUND(J39*$K$7,2)</f>
        <v>21.13</v>
      </c>
      <c r="L39" s="592">
        <f t="shared" ref="L39:L42" si="1">J39+K39</f>
        <v>91.11</v>
      </c>
      <c r="M39" s="591"/>
      <c r="N39" s="592"/>
      <c r="O39" s="592"/>
      <c r="P39" s="592"/>
      <c r="Q39" s="592">
        <f>Q41</f>
        <v>44.39</v>
      </c>
      <c r="R39" s="592">
        <f>L39+Q39</f>
        <v>135.5</v>
      </c>
      <c r="S39" s="592">
        <f>ROUND(R39*$S$7,2)</f>
        <v>165.45</v>
      </c>
      <c r="T39" s="596">
        <f>ROUND(V39/1.2,2)</f>
        <v>330.83</v>
      </c>
      <c r="U39" s="596">
        <f>ROUND(T39*$U$7,2)</f>
        <v>66.17</v>
      </c>
      <c r="V39" s="596">
        <f>ROUND((R39+S39)*(1+$T$7)*1.2,0)</f>
        <v>397</v>
      </c>
      <c r="W39" s="594">
        <v>316</v>
      </c>
      <c r="X39" s="78">
        <f t="shared" ref="X39" si="2">V39/W39*100-100</f>
        <v>25.632911392405063</v>
      </c>
    </row>
    <row r="40" spans="1:24" ht="27.95" hidden="1" customHeight="1" x14ac:dyDescent="0.25">
      <c r="A40" s="590"/>
      <c r="B40" s="598"/>
      <c r="C40" s="460"/>
      <c r="D40" s="460"/>
      <c r="E40" s="599"/>
      <c r="F40" s="600"/>
      <c r="G40" s="454" t="s">
        <v>162</v>
      </c>
      <c r="H40" s="443">
        <f>VLOOKUP(G40,'условия, ФОТ'!$A$14:$I$32,9, FALSE)</f>
        <v>164.09</v>
      </c>
      <c r="I40" s="457">
        <v>0.2</v>
      </c>
      <c r="J40" s="592"/>
      <c r="K40" s="592">
        <f>ROUND(J40*$K$7,2)</f>
        <v>0</v>
      </c>
      <c r="L40" s="592">
        <f t="shared" si="1"/>
        <v>0</v>
      </c>
      <c r="M40" s="591"/>
      <c r="N40" s="592"/>
      <c r="O40" s="592"/>
      <c r="P40" s="592"/>
      <c r="Q40" s="592"/>
      <c r="R40" s="592">
        <f t="shared" ref="R40:R42" si="3">L40+Q40</f>
        <v>0</v>
      </c>
      <c r="S40" s="592">
        <f>ROUND(R40*$S$7,2)</f>
        <v>0</v>
      </c>
      <c r="T40" s="596">
        <f t="shared" ref="T40" si="4">ROUND(V40/1.18,2)</f>
        <v>0</v>
      </c>
      <c r="U40" s="596">
        <f>ROUND(T40*$U$7,2)</f>
        <v>0</v>
      </c>
      <c r="V40" s="596">
        <f>ROUND((R40+S40)*(1+$T$7)*1.18,0)</f>
        <v>0</v>
      </c>
      <c r="W40" s="595"/>
      <c r="X40" s="78"/>
    </row>
    <row r="41" spans="1:24" ht="31.7" hidden="1" customHeight="1" outlineLevel="1" x14ac:dyDescent="0.25">
      <c r="A41" s="590"/>
      <c r="B41" s="460"/>
      <c r="C41" s="460"/>
      <c r="D41" s="460"/>
      <c r="E41" s="461"/>
      <c r="F41" s="448"/>
      <c r="G41" s="454"/>
      <c r="H41" s="443"/>
      <c r="I41" s="457"/>
      <c r="J41" s="443"/>
      <c r="K41" s="443"/>
      <c r="L41" s="96" t="s">
        <v>366</v>
      </c>
      <c r="M41" s="97" t="s">
        <v>369</v>
      </c>
      <c r="N41" s="98" t="str">
        <f>VLOOKUP(M41,материалы!$A$5:$G$31,5, FALSE)</f>
        <v>м</v>
      </c>
      <c r="O41" s="443">
        <f>VLOOKUP(M41,материалы!$A$5:$G$31,7, FALSE)</f>
        <v>44.39</v>
      </c>
      <c r="P41" s="98">
        <v>1</v>
      </c>
      <c r="Q41" s="443">
        <f t="shared" ref="Q41" si="5">ROUND(O41*P41,2)</f>
        <v>44.39</v>
      </c>
      <c r="R41" s="443"/>
      <c r="S41" s="443"/>
      <c r="T41" s="442"/>
      <c r="U41" s="442"/>
      <c r="V41" s="442"/>
      <c r="W41" s="442"/>
      <c r="X41" s="78"/>
    </row>
    <row r="42" spans="1:24" ht="35.25" hidden="1" customHeight="1" x14ac:dyDescent="0.25">
      <c r="A42" s="590"/>
      <c r="B42" s="453" t="s">
        <v>171</v>
      </c>
      <c r="C42" s="453"/>
      <c r="D42" s="453"/>
      <c r="E42" s="113" t="s">
        <v>353</v>
      </c>
      <c r="F42" s="448" t="s">
        <v>30</v>
      </c>
      <c r="G42" s="454" t="s">
        <v>162</v>
      </c>
      <c r="H42" s="443">
        <f>VLOOKUP(G42,'условия, ФОТ'!$A$14:$I$32,9, FALSE)</f>
        <v>164.09</v>
      </c>
      <c r="I42" s="457">
        <v>1</v>
      </c>
      <c r="J42" s="443">
        <f t="shared" ref="J42" si="6">ROUND(H42*I42,2)</f>
        <v>164.09</v>
      </c>
      <c r="K42" s="443">
        <f>ROUND(J42*$K$7,2)</f>
        <v>49.56</v>
      </c>
      <c r="L42" s="443">
        <f t="shared" si="1"/>
        <v>213.65</v>
      </c>
      <c r="M42" s="456"/>
      <c r="N42" s="443"/>
      <c r="O42" s="443"/>
      <c r="P42" s="443"/>
      <c r="Q42" s="443">
        <f>SUM(Q43:Q45)</f>
        <v>4.03</v>
      </c>
      <c r="R42" s="443">
        <f t="shared" si="3"/>
        <v>217.68</v>
      </c>
      <c r="S42" s="443">
        <f>ROUND(R42*$S$7,2)</f>
        <v>265.79000000000002</v>
      </c>
      <c r="T42" s="442">
        <f>ROUND(V42/1.2,2)</f>
        <v>531.66999999999996</v>
      </c>
      <c r="U42" s="442">
        <f>ROUND(T42*$U$7,2)</f>
        <v>106.33</v>
      </c>
      <c r="V42" s="442">
        <f>ROUND((R42+S42)*(1+$T$7)*1.2,0)</f>
        <v>638</v>
      </c>
      <c r="W42" s="442">
        <v>423</v>
      </c>
      <c r="X42" s="78">
        <f t="shared" ref="X42" si="7">V42/W42*100-100</f>
        <v>50.827423167848707</v>
      </c>
    </row>
    <row r="43" spans="1:24" ht="24.75" hidden="1" customHeight="1" outlineLevel="1" x14ac:dyDescent="0.25">
      <c r="A43" s="590"/>
      <c r="B43" s="453"/>
      <c r="C43" s="453"/>
      <c r="D43" s="453"/>
      <c r="E43" s="113"/>
      <c r="F43" s="448"/>
      <c r="G43" s="454"/>
      <c r="H43" s="443"/>
      <c r="I43" s="457"/>
      <c r="J43" s="443"/>
      <c r="K43" s="443"/>
      <c r="L43" s="96" t="s">
        <v>366</v>
      </c>
      <c r="M43" s="104" t="s">
        <v>335</v>
      </c>
      <c r="N43" s="98" t="str">
        <f>VLOOKUP(M43,материалы!$A$5:$G$31,5, FALSE)</f>
        <v>кг</v>
      </c>
      <c r="O43" s="443">
        <f>VLOOKUP(M43,материалы!$A$5:$G$31,7, FALSE)</f>
        <v>712.76</v>
      </c>
      <c r="P43" s="443">
        <v>5.0000000000000001E-3</v>
      </c>
      <c r="Q43" s="443">
        <f>ROUND(O43*P43,2)</f>
        <v>3.56</v>
      </c>
      <c r="R43" s="443"/>
      <c r="S43" s="443"/>
      <c r="T43" s="442"/>
      <c r="U43" s="442"/>
      <c r="V43" s="442"/>
      <c r="W43" s="442"/>
      <c r="X43" s="78"/>
    </row>
    <row r="44" spans="1:24" ht="24.75" hidden="1" customHeight="1" outlineLevel="1" x14ac:dyDescent="0.25">
      <c r="A44" s="590"/>
      <c r="B44" s="453"/>
      <c r="C44" s="453"/>
      <c r="D44" s="453"/>
      <c r="E44" s="113"/>
      <c r="F44" s="448"/>
      <c r="G44" s="454"/>
      <c r="H44" s="443"/>
      <c r="I44" s="457"/>
      <c r="J44" s="443"/>
      <c r="K44" s="443"/>
      <c r="L44" s="443"/>
      <c r="M44" s="97" t="s">
        <v>329</v>
      </c>
      <c r="N44" s="98" t="str">
        <f>VLOOKUP(M44,материалы!$A$5:$G$31,5, FALSE)</f>
        <v>кг</v>
      </c>
      <c r="O44" s="443">
        <f>VLOOKUP(M44,материалы!$A$5:$G$31,7, FALSE)</f>
        <v>65.599999999999994</v>
      </c>
      <c r="P44" s="100">
        <v>1E-3</v>
      </c>
      <c r="Q44" s="443">
        <f>ROUND(O44*P44,2)</f>
        <v>7.0000000000000007E-2</v>
      </c>
      <c r="R44" s="443"/>
      <c r="S44" s="443"/>
      <c r="T44" s="442"/>
      <c r="U44" s="442"/>
      <c r="V44" s="442"/>
      <c r="W44" s="442"/>
      <c r="X44" s="78"/>
    </row>
    <row r="45" spans="1:24" ht="24.75" hidden="1" customHeight="1" outlineLevel="1" x14ac:dyDescent="0.25">
      <c r="A45" s="590"/>
      <c r="B45" s="453"/>
      <c r="C45" s="453"/>
      <c r="D45" s="453"/>
      <c r="E45" s="113"/>
      <c r="F45" s="448"/>
      <c r="G45" s="454"/>
      <c r="H45" s="443"/>
      <c r="I45" s="457"/>
      <c r="J45" s="443"/>
      <c r="K45" s="443"/>
      <c r="L45" s="443"/>
      <c r="M45" s="97" t="s">
        <v>330</v>
      </c>
      <c r="N45" s="98" t="str">
        <f>VLOOKUP(M45,материалы!$A$5:$G$31,5, FALSE)</f>
        <v>кг</v>
      </c>
      <c r="O45" s="443">
        <f>VLOOKUP(M45,материалы!$A$5:$G$31,7, FALSE)</f>
        <v>39.82</v>
      </c>
      <c r="P45" s="98">
        <v>0.01</v>
      </c>
      <c r="Q45" s="443">
        <f>ROUND(O45*P45,2)</f>
        <v>0.4</v>
      </c>
      <c r="R45" s="443"/>
      <c r="S45" s="443"/>
      <c r="T45" s="442"/>
      <c r="U45" s="442"/>
      <c r="V45" s="442"/>
      <c r="W45" s="442"/>
      <c r="X45" s="78"/>
    </row>
    <row r="46" spans="1:24" ht="58.7" hidden="1" customHeight="1" x14ac:dyDescent="0.25">
      <c r="A46" s="590"/>
      <c r="B46" s="453" t="s">
        <v>170</v>
      </c>
      <c r="C46" s="453"/>
      <c r="D46" s="453"/>
      <c r="E46" s="461" t="s">
        <v>559</v>
      </c>
      <c r="F46" s="448" t="s">
        <v>26</v>
      </c>
      <c r="G46" s="454" t="s">
        <v>162</v>
      </c>
      <c r="H46" s="443">
        <f>VLOOKUP(G46,'условия, ФОТ'!$A$14:$I$32,9, FALSE)</f>
        <v>164.09</v>
      </c>
      <c r="I46" s="457">
        <v>0.25</v>
      </c>
      <c r="J46" s="443">
        <f t="shared" ref="J46" si="8">ROUND(H46*I46,2)</f>
        <v>41.02</v>
      </c>
      <c r="K46" s="443">
        <f>ROUND(J46*$K$7,2)</f>
        <v>12.39</v>
      </c>
      <c r="L46" s="443">
        <f t="shared" ref="L46" si="9">J46+K46</f>
        <v>53.410000000000004</v>
      </c>
      <c r="M46" s="456"/>
      <c r="N46" s="443"/>
      <c r="O46" s="443"/>
      <c r="P46" s="443"/>
      <c r="Q46" s="443">
        <f>SUM(Q47:Q49)</f>
        <v>4.03</v>
      </c>
      <c r="R46" s="443">
        <f t="shared" ref="R46" si="10">L46+Q46</f>
        <v>57.440000000000005</v>
      </c>
      <c r="S46" s="443">
        <f>ROUND(R46*$S$7,2)</f>
        <v>70.13</v>
      </c>
      <c r="T46" s="442">
        <f>ROUND(V46/1.2,2)</f>
        <v>140</v>
      </c>
      <c r="U46" s="442">
        <f>ROUND(T46*$U$7,2)</f>
        <v>28</v>
      </c>
      <c r="V46" s="442">
        <f>ROUND((R46+S46)*(1+$T$7)*1.2,0)</f>
        <v>168</v>
      </c>
      <c r="W46" s="442">
        <v>113</v>
      </c>
      <c r="X46" s="78">
        <f t="shared" ref="X46" si="11">V46/W46*100-100</f>
        <v>48.672566371681427</v>
      </c>
    </row>
    <row r="47" spans="1:24" ht="30.75" hidden="1" customHeight="1" x14ac:dyDescent="0.25">
      <c r="A47" s="588" t="s">
        <v>576</v>
      </c>
      <c r="B47" s="588"/>
      <c r="C47" s="588"/>
      <c r="D47" s="588"/>
      <c r="E47" s="588"/>
      <c r="F47" s="588"/>
      <c r="G47" s="588"/>
      <c r="H47" s="588"/>
      <c r="I47" s="588"/>
      <c r="J47" s="588"/>
      <c r="K47" s="588"/>
      <c r="L47" s="96" t="s">
        <v>366</v>
      </c>
      <c r="M47" s="104" t="s">
        <v>335</v>
      </c>
      <c r="N47" s="98" t="str">
        <f>VLOOKUP(M47,материалы!$A$5:$G$31,5, FALSE)</f>
        <v>кг</v>
      </c>
      <c r="O47" s="443">
        <f>VLOOKUP(M47,материалы!$A$5:$G$31,7, FALSE)</f>
        <v>712.76</v>
      </c>
      <c r="P47" s="443">
        <v>5.0000000000000001E-3</v>
      </c>
      <c r="Q47" s="443">
        <f t="shared" ref="Q47:Q49" si="12">ROUND(O47*P47,2)</f>
        <v>3.56</v>
      </c>
      <c r="R47" s="443"/>
      <c r="S47" s="443"/>
      <c r="T47" s="442"/>
      <c r="U47" s="442"/>
      <c r="V47" s="442"/>
      <c r="W47" s="442"/>
      <c r="X47" s="78"/>
    </row>
    <row r="48" spans="1:24" ht="24.75" hidden="1" customHeight="1" x14ac:dyDescent="0.25">
      <c r="A48" s="588"/>
      <c r="B48" s="588"/>
      <c r="C48" s="588"/>
      <c r="D48" s="588"/>
      <c r="E48" s="588"/>
      <c r="F48" s="588"/>
      <c r="G48" s="588"/>
      <c r="H48" s="588"/>
      <c r="I48" s="588"/>
      <c r="J48" s="588"/>
      <c r="K48" s="588"/>
      <c r="L48" s="443"/>
      <c r="M48" s="97" t="s">
        <v>329</v>
      </c>
      <c r="N48" s="98" t="str">
        <f>VLOOKUP(M48,материалы!$A$5:$G$31,5, FALSE)</f>
        <v>кг</v>
      </c>
      <c r="O48" s="443">
        <f>VLOOKUP(M48,материалы!$A$5:$G$31,7, FALSE)</f>
        <v>65.599999999999994</v>
      </c>
      <c r="P48" s="100">
        <f>0.001</f>
        <v>1E-3</v>
      </c>
      <c r="Q48" s="443">
        <f t="shared" si="12"/>
        <v>7.0000000000000007E-2</v>
      </c>
      <c r="R48" s="443"/>
      <c r="S48" s="443"/>
      <c r="T48" s="442"/>
      <c r="U48" s="442"/>
      <c r="V48" s="442"/>
      <c r="W48" s="442"/>
      <c r="X48" s="78"/>
    </row>
    <row r="49" spans="1:24" ht="27" hidden="1" customHeight="1" x14ac:dyDescent="0.25">
      <c r="A49" s="588"/>
      <c r="B49" s="588"/>
      <c r="C49" s="588"/>
      <c r="D49" s="588"/>
      <c r="E49" s="588"/>
      <c r="F49" s="588"/>
      <c r="G49" s="588"/>
      <c r="H49" s="588"/>
      <c r="I49" s="588"/>
      <c r="J49" s="588"/>
      <c r="K49" s="588"/>
      <c r="L49" s="443"/>
      <c r="M49" s="97" t="s">
        <v>330</v>
      </c>
      <c r="N49" s="98" t="str">
        <f>VLOOKUP(M49,материалы!$A$5:$G$31,5, FALSE)</f>
        <v>кг</v>
      </c>
      <c r="O49" s="443">
        <f>VLOOKUP(M49,материалы!$A$5:$G$31,7, FALSE)</f>
        <v>39.82</v>
      </c>
      <c r="P49" s="98">
        <f>0.01</f>
        <v>0.01</v>
      </c>
      <c r="Q49" s="443">
        <f t="shared" si="12"/>
        <v>0.4</v>
      </c>
      <c r="R49" s="443"/>
      <c r="S49" s="443"/>
      <c r="T49" s="442"/>
      <c r="U49" s="442"/>
      <c r="V49" s="442"/>
      <c r="W49" s="442"/>
      <c r="X49" s="78"/>
    </row>
    <row r="50" spans="1:24" ht="44.25" hidden="1" customHeight="1" x14ac:dyDescent="0.25">
      <c r="A50" s="446" t="s">
        <v>429</v>
      </c>
      <c r="B50" s="589" t="s">
        <v>567</v>
      </c>
      <c r="C50" s="589"/>
      <c r="D50" s="589"/>
      <c r="E50" s="589"/>
      <c r="F50" s="448" t="s">
        <v>30</v>
      </c>
      <c r="G50" s="454"/>
      <c r="H50" s="443"/>
      <c r="I50" s="457"/>
      <c r="J50" s="443"/>
      <c r="K50" s="443"/>
      <c r="L50" s="443"/>
      <c r="M50" s="456"/>
      <c r="N50" s="443"/>
      <c r="O50" s="443"/>
      <c r="P50" s="443"/>
      <c r="Q50" s="443"/>
      <c r="R50" s="443"/>
      <c r="S50" s="443"/>
      <c r="T50" s="442"/>
      <c r="U50" s="442"/>
      <c r="V50" s="442"/>
      <c r="W50" s="442"/>
      <c r="X50" s="78"/>
    </row>
    <row r="51" spans="1:24" ht="29.25" hidden="1" customHeight="1" x14ac:dyDescent="0.25">
      <c r="A51" s="590" t="s">
        <v>351</v>
      </c>
      <c r="B51" s="453" t="s">
        <v>355</v>
      </c>
      <c r="C51" s="453"/>
      <c r="D51" s="453"/>
      <c r="E51" s="113" t="s">
        <v>354</v>
      </c>
      <c r="F51" s="448" t="s">
        <v>356</v>
      </c>
      <c r="G51" s="105" t="s">
        <v>161</v>
      </c>
      <c r="H51" s="443">
        <f>VLOOKUP(G51,'условия, ФОТ'!$A$14:$I$32,9, FALSE)</f>
        <v>111.79</v>
      </c>
      <c r="I51" s="457">
        <v>0.5</v>
      </c>
      <c r="J51" s="443">
        <f t="shared" ref="J51" si="13">ROUND(H51*I51,2)</f>
        <v>55.9</v>
      </c>
      <c r="K51" s="443">
        <f>ROUND(J51*$K$7,2)</f>
        <v>16.88</v>
      </c>
      <c r="L51" s="443">
        <f t="shared" ref="L51:L63" si="14">J51+K51</f>
        <v>72.78</v>
      </c>
      <c r="M51" s="456"/>
      <c r="N51" s="443"/>
      <c r="O51" s="443"/>
      <c r="P51" s="443"/>
      <c r="Q51" s="443"/>
      <c r="R51" s="443">
        <f t="shared" ref="R51" si="15">L51+Q51</f>
        <v>72.78</v>
      </c>
      <c r="S51" s="443">
        <f>ROUND(R51*$S$7,2)</f>
        <v>88.86</v>
      </c>
      <c r="T51" s="442">
        <f>ROUND(V51/1.2,2)</f>
        <v>177.5</v>
      </c>
      <c r="U51" s="442">
        <f>ROUND(T51*$U$7,2)</f>
        <v>35.5</v>
      </c>
      <c r="V51" s="442">
        <f>ROUND((R51+S51)*(1+$T$7)*1.2,0)</f>
        <v>213</v>
      </c>
      <c r="W51" s="442">
        <v>183</v>
      </c>
      <c r="X51" s="78">
        <f t="shared" ref="X51:X52" si="16">V51/W51*100-100</f>
        <v>16.393442622950815</v>
      </c>
    </row>
    <row r="52" spans="1:24" ht="24.75" hidden="1" customHeight="1" x14ac:dyDescent="0.25">
      <c r="A52" s="590"/>
      <c r="B52" s="598" t="s">
        <v>344</v>
      </c>
      <c r="C52" s="460"/>
      <c r="D52" s="460"/>
      <c r="E52" s="599" t="s">
        <v>345</v>
      </c>
      <c r="F52" s="600" t="s">
        <v>28</v>
      </c>
      <c r="G52" s="454" t="s">
        <v>166</v>
      </c>
      <c r="H52" s="443">
        <f>VLOOKUP(G52,'условия, ФОТ'!$A$14:$I$32,9, FALSE)</f>
        <v>185.8</v>
      </c>
      <c r="I52" s="457">
        <v>0.2</v>
      </c>
      <c r="J52" s="592">
        <f>ROUND(H52*I52+H53*I53,2)</f>
        <v>69.98</v>
      </c>
      <c r="K52" s="592">
        <f>ROUND(J52*$K$7,2)</f>
        <v>21.13</v>
      </c>
      <c r="L52" s="592">
        <f t="shared" si="14"/>
        <v>91.11</v>
      </c>
      <c r="M52" s="591"/>
      <c r="N52" s="592"/>
      <c r="O52" s="592"/>
      <c r="P52" s="592"/>
      <c r="Q52" s="592">
        <f>Q54</f>
        <v>44.39</v>
      </c>
      <c r="R52" s="592">
        <f>L52+Q52</f>
        <v>135.5</v>
      </c>
      <c r="S52" s="592">
        <f>ROUND(R52*$S$7,2)</f>
        <v>165.45</v>
      </c>
      <c r="T52" s="596">
        <f>ROUND(V52/1.2,2)</f>
        <v>330.83</v>
      </c>
      <c r="U52" s="596">
        <f>ROUND(T52*$U$7,2)</f>
        <v>66.17</v>
      </c>
      <c r="V52" s="596">
        <f>ROUND((R52+S52)*(1+$T$7)*1.2,0)</f>
        <v>397</v>
      </c>
      <c r="W52" s="594">
        <v>316</v>
      </c>
      <c r="X52" s="78">
        <f t="shared" si="16"/>
        <v>25.632911392405063</v>
      </c>
    </row>
    <row r="53" spans="1:24" ht="22.7" hidden="1" customHeight="1" x14ac:dyDescent="0.25">
      <c r="A53" s="590"/>
      <c r="B53" s="598"/>
      <c r="C53" s="460"/>
      <c r="D53" s="460"/>
      <c r="E53" s="599"/>
      <c r="F53" s="600"/>
      <c r="G53" s="454" t="s">
        <v>162</v>
      </c>
      <c r="H53" s="443">
        <f>VLOOKUP(G53,'условия, ФОТ'!$A$14:$I$32,9, FALSE)</f>
        <v>164.09</v>
      </c>
      <c r="I53" s="457">
        <v>0.2</v>
      </c>
      <c r="J53" s="592"/>
      <c r="K53" s="592"/>
      <c r="L53" s="592"/>
      <c r="M53" s="591"/>
      <c r="N53" s="592"/>
      <c r="O53" s="592"/>
      <c r="P53" s="592"/>
      <c r="Q53" s="592"/>
      <c r="R53" s="592"/>
      <c r="S53" s="592">
        <f>ROUND(R53*$S$7,2)</f>
        <v>0</v>
      </c>
      <c r="T53" s="596">
        <f t="shared" ref="T53" si="17">ROUND(V53/1.18,2)</f>
        <v>0</v>
      </c>
      <c r="U53" s="596">
        <f>ROUND(T53*$U$7,2)</f>
        <v>0</v>
      </c>
      <c r="V53" s="596">
        <f>ROUND((R53+S53)*(1+$T$7)*1.18,0)</f>
        <v>0</v>
      </c>
      <c r="W53" s="595"/>
      <c r="X53" s="78"/>
    </row>
    <row r="54" spans="1:24" ht="27" hidden="1" customHeight="1" outlineLevel="1" x14ac:dyDescent="0.25">
      <c r="A54" s="590"/>
      <c r="B54" s="460"/>
      <c r="C54" s="460"/>
      <c r="D54" s="460"/>
      <c r="E54" s="461"/>
      <c r="F54" s="448"/>
      <c r="G54" s="454"/>
      <c r="H54" s="443"/>
      <c r="I54" s="457"/>
      <c r="J54" s="443"/>
      <c r="K54" s="443"/>
      <c r="L54" s="96" t="s">
        <v>366</v>
      </c>
      <c r="M54" s="97" t="s">
        <v>369</v>
      </c>
      <c r="N54" s="98" t="str">
        <f>VLOOKUP(M54,материалы!$A$5:$G$31,5, FALSE)</f>
        <v>м</v>
      </c>
      <c r="O54" s="443">
        <f>VLOOKUP(M54,материалы!$A$5:$G$31,7, FALSE)</f>
        <v>44.39</v>
      </c>
      <c r="P54" s="98">
        <v>1</v>
      </c>
      <c r="Q54" s="443">
        <f t="shared" ref="Q54" si="18">ROUND(O54*P54,2)</f>
        <v>44.39</v>
      </c>
      <c r="R54" s="443"/>
      <c r="S54" s="443"/>
      <c r="T54" s="442"/>
      <c r="U54" s="442"/>
      <c r="V54" s="442"/>
      <c r="W54" s="442"/>
      <c r="X54" s="78"/>
    </row>
    <row r="55" spans="1:24" ht="46.5" hidden="1" customHeight="1" x14ac:dyDescent="0.25">
      <c r="A55" s="590"/>
      <c r="B55" s="453" t="s">
        <v>169</v>
      </c>
      <c r="C55" s="453"/>
      <c r="D55" s="453"/>
      <c r="E55" s="113" t="s">
        <v>365</v>
      </c>
      <c r="F55" s="454" t="s">
        <v>22</v>
      </c>
      <c r="G55" s="454" t="s">
        <v>162</v>
      </c>
      <c r="H55" s="443">
        <f>VLOOKUP(G55,'условия, ФОТ'!$A$14:$I$32,9, FALSE)</f>
        <v>164.09</v>
      </c>
      <c r="I55" s="120" t="e">
        <f>#REF!</f>
        <v>#REF!</v>
      </c>
      <c r="J55" s="443" t="e">
        <f t="shared" ref="J55" si="19">ROUND(H55*I55,2)</f>
        <v>#REF!</v>
      </c>
      <c r="K55" s="443" t="e">
        <f>ROUND(J55*$K$7,2)</f>
        <v>#REF!</v>
      </c>
      <c r="L55" s="443" t="e">
        <f t="shared" ref="L55" si="20">J55+K55</f>
        <v>#REF!</v>
      </c>
      <c r="M55" s="456"/>
      <c r="N55" s="443"/>
      <c r="O55" s="443"/>
      <c r="P55" s="443"/>
      <c r="Q55" s="443">
        <f>SUM(Q56:Q61)</f>
        <v>54.07</v>
      </c>
      <c r="R55" s="443" t="e">
        <f t="shared" ref="R55:R63" si="21">L55+Q55</f>
        <v>#REF!</v>
      </c>
      <c r="S55" s="443" t="e">
        <f>ROUND(R55*$S$7,2)</f>
        <v>#REF!</v>
      </c>
      <c r="T55" s="442" t="e">
        <f>ROUND(V55/1.2,2)</f>
        <v>#REF!</v>
      </c>
      <c r="U55" s="442" t="e">
        <f>ROUND(T55*$U$7,2)</f>
        <v>#REF!</v>
      </c>
      <c r="V55" s="442" t="e">
        <f>ROUND((R55+S55)*(1+$T$7)*1.2,0)</f>
        <v>#REF!</v>
      </c>
      <c r="W55" s="442">
        <v>332</v>
      </c>
      <c r="X55" s="78" t="e">
        <f t="shared" ref="X55" si="22">V55/W55*100-100</f>
        <v>#REF!</v>
      </c>
    </row>
    <row r="56" spans="1:24" ht="25.5" hidden="1" customHeight="1" outlineLevel="1" x14ac:dyDescent="0.25">
      <c r="A56" s="590"/>
      <c r="B56" s="453"/>
      <c r="C56" s="453"/>
      <c r="D56" s="453"/>
      <c r="E56" s="113"/>
      <c r="F56" s="454"/>
      <c r="G56" s="454"/>
      <c r="H56" s="443"/>
      <c r="I56" s="120"/>
      <c r="J56" s="443"/>
      <c r="K56" s="443"/>
      <c r="L56" s="96" t="s">
        <v>366</v>
      </c>
      <c r="M56" s="97" t="s">
        <v>323</v>
      </c>
      <c r="N56" s="98" t="str">
        <f>VLOOKUP(M56,материалы!$A$5:$G$31,5, FALSE)</f>
        <v>м3</v>
      </c>
      <c r="O56" s="443">
        <f>VLOOKUP(M56,материалы!$A$5:$G$31,7, FALSE)</f>
        <v>379.24</v>
      </c>
      <c r="P56" s="98">
        <v>8.7499999999999994E-2</v>
      </c>
      <c r="Q56" s="443">
        <f>ROUND(O56*P56,2)</f>
        <v>33.18</v>
      </c>
      <c r="R56" s="443"/>
      <c r="S56" s="443"/>
      <c r="T56" s="442"/>
      <c r="U56" s="442"/>
      <c r="V56" s="442"/>
      <c r="W56" s="442"/>
      <c r="X56" s="78"/>
    </row>
    <row r="57" spans="1:24" ht="17.25" hidden="1" customHeight="1" outlineLevel="1" x14ac:dyDescent="0.25">
      <c r="A57" s="590"/>
      <c r="B57" s="453"/>
      <c r="C57" s="453"/>
      <c r="D57" s="453"/>
      <c r="E57" s="113"/>
      <c r="F57" s="454"/>
      <c r="G57" s="454"/>
      <c r="H57" s="443"/>
      <c r="I57" s="120"/>
      <c r="J57" s="443"/>
      <c r="K57" s="443"/>
      <c r="L57" s="443"/>
      <c r="M57" s="97" t="s">
        <v>324</v>
      </c>
      <c r="N57" s="98" t="str">
        <f>VLOOKUP(M57,материалы!$A$5:$G$31,5, FALSE)</f>
        <v>м3</v>
      </c>
      <c r="O57" s="443">
        <f>VLOOKUP(M57,материалы!$A$5:$G$31,7, FALSE)</f>
        <v>54.61</v>
      </c>
      <c r="P57" s="443">
        <v>0.15</v>
      </c>
      <c r="Q57" s="443">
        <f t="shared" ref="Q57:Q61" si="23">ROUND(O57*P57,2)</f>
        <v>8.19</v>
      </c>
      <c r="R57" s="443"/>
      <c r="S57" s="443"/>
      <c r="T57" s="442"/>
      <c r="U57" s="442"/>
      <c r="V57" s="442"/>
      <c r="W57" s="442"/>
      <c r="X57" s="78"/>
    </row>
    <row r="58" spans="1:24" ht="36.950000000000003" hidden="1" customHeight="1" outlineLevel="1" x14ac:dyDescent="0.25">
      <c r="A58" s="590"/>
      <c r="B58" s="453"/>
      <c r="C58" s="453"/>
      <c r="D58" s="453"/>
      <c r="E58" s="113"/>
      <c r="F58" s="454"/>
      <c r="G58" s="454"/>
      <c r="H58" s="443"/>
      <c r="I58" s="120"/>
      <c r="J58" s="443"/>
      <c r="K58" s="443"/>
      <c r="L58" s="443"/>
      <c r="M58" s="97" t="s">
        <v>341</v>
      </c>
      <c r="N58" s="98" t="str">
        <f>VLOOKUP(M58,материалы!$A$5:$G$31,5, FALSE)</f>
        <v>кг</v>
      </c>
      <c r="O58" s="443">
        <f>VLOOKUP(M58,материалы!$A$5:$G$31,7, FALSE)</f>
        <v>44.94</v>
      </c>
      <c r="P58" s="443">
        <v>0.1</v>
      </c>
      <c r="Q58" s="443">
        <f t="shared" si="23"/>
        <v>4.49</v>
      </c>
      <c r="R58" s="443"/>
      <c r="S58" s="443"/>
      <c r="T58" s="442"/>
      <c r="U58" s="442"/>
      <c r="V58" s="442"/>
      <c r="W58" s="442"/>
      <c r="X58" s="78"/>
    </row>
    <row r="59" spans="1:24" ht="28.5" hidden="1" customHeight="1" outlineLevel="1" x14ac:dyDescent="0.25">
      <c r="A59" s="590"/>
      <c r="B59" s="453"/>
      <c r="C59" s="453"/>
      <c r="D59" s="453"/>
      <c r="E59" s="113"/>
      <c r="F59" s="454"/>
      <c r="G59" s="454"/>
      <c r="H59" s="443"/>
      <c r="I59" s="120"/>
      <c r="J59" s="443"/>
      <c r="K59" s="443"/>
      <c r="L59" s="443"/>
      <c r="M59" s="97" t="s">
        <v>342</v>
      </c>
      <c r="N59" s="98" t="str">
        <f>VLOOKUP(M59,материалы!$A$5:$G$31,5, FALSE)</f>
        <v>шт.</v>
      </c>
      <c r="O59" s="443">
        <f>VLOOKUP(M59,материалы!$A$5:$G$31,7, FALSE)</f>
        <v>30.94</v>
      </c>
      <c r="P59" s="443">
        <v>0.25</v>
      </c>
      <c r="Q59" s="443">
        <f t="shared" si="23"/>
        <v>7.74</v>
      </c>
      <c r="R59" s="443"/>
      <c r="S59" s="443"/>
      <c r="T59" s="442"/>
      <c r="U59" s="442"/>
      <c r="V59" s="442"/>
      <c r="W59" s="442"/>
      <c r="X59" s="78"/>
    </row>
    <row r="60" spans="1:24" ht="15.75" hidden="1" customHeight="1" outlineLevel="1" x14ac:dyDescent="0.25">
      <c r="A60" s="590"/>
      <c r="B60" s="453"/>
      <c r="C60" s="453"/>
      <c r="D60" s="453"/>
      <c r="E60" s="113"/>
      <c r="F60" s="454"/>
      <c r="G60" s="454"/>
      <c r="H60" s="443"/>
      <c r="I60" s="120"/>
      <c r="J60" s="443"/>
      <c r="K60" s="443"/>
      <c r="L60" s="443"/>
      <c r="M60" s="97" t="s">
        <v>329</v>
      </c>
      <c r="N60" s="98" t="str">
        <f>VLOOKUP(M60,материалы!$A$5:$G$31,5, FALSE)</f>
        <v>кг</v>
      </c>
      <c r="O60" s="443">
        <f>VLOOKUP(M60,материалы!$A$5:$G$31,7, FALSE)</f>
        <v>65.599999999999994</v>
      </c>
      <c r="P60" s="100">
        <f>0.001</f>
        <v>1E-3</v>
      </c>
      <c r="Q60" s="443">
        <f t="shared" si="23"/>
        <v>7.0000000000000007E-2</v>
      </c>
      <c r="R60" s="443"/>
      <c r="S60" s="443"/>
      <c r="T60" s="442"/>
      <c r="U60" s="442"/>
      <c r="V60" s="442"/>
      <c r="W60" s="442"/>
      <c r="X60" s="78"/>
    </row>
    <row r="61" spans="1:24" ht="21" hidden="1" customHeight="1" outlineLevel="1" x14ac:dyDescent="0.25">
      <c r="A61" s="590"/>
      <c r="B61" s="453"/>
      <c r="C61" s="453"/>
      <c r="D61" s="453"/>
      <c r="E61" s="113"/>
      <c r="F61" s="454"/>
      <c r="G61" s="454"/>
      <c r="H61" s="443"/>
      <c r="I61" s="120"/>
      <c r="J61" s="443"/>
      <c r="K61" s="443"/>
      <c r="L61" s="443"/>
      <c r="M61" s="97" t="s">
        <v>330</v>
      </c>
      <c r="N61" s="98" t="str">
        <f>VLOOKUP(M61,материалы!$A$5:$G$31,5, FALSE)</f>
        <v>кг</v>
      </c>
      <c r="O61" s="443">
        <f>VLOOKUP(M61,материалы!$A$5:$G$31,7, FALSE)</f>
        <v>39.82</v>
      </c>
      <c r="P61" s="98">
        <f>0.01</f>
        <v>0.01</v>
      </c>
      <c r="Q61" s="443">
        <f t="shared" si="23"/>
        <v>0.4</v>
      </c>
      <c r="R61" s="443"/>
      <c r="S61" s="443"/>
      <c r="T61" s="442"/>
      <c r="U61" s="442"/>
      <c r="V61" s="442"/>
      <c r="W61" s="442"/>
      <c r="X61" s="78"/>
    </row>
    <row r="62" spans="1:24" ht="33" hidden="1" customHeight="1" x14ac:dyDescent="0.25">
      <c r="A62" s="590"/>
      <c r="B62" s="453" t="s">
        <v>171</v>
      </c>
      <c r="C62" s="453"/>
      <c r="D62" s="453"/>
      <c r="E62" s="113" t="s">
        <v>353</v>
      </c>
      <c r="F62" s="448" t="s">
        <v>30</v>
      </c>
      <c r="G62" s="454" t="s">
        <v>161</v>
      </c>
      <c r="H62" s="443">
        <f>VLOOKUP(G62,'условия, ФОТ'!$A$14:$I$32,9, FALSE)</f>
        <v>111.79</v>
      </c>
      <c r="I62" s="87">
        <v>1</v>
      </c>
      <c r="J62" s="443">
        <f t="shared" ref="J62:J63" si="24">ROUND(H62*I62,2)</f>
        <v>111.79</v>
      </c>
      <c r="K62" s="443">
        <f>ROUND(J62*$K$7,2)</f>
        <v>33.76</v>
      </c>
      <c r="L62" s="443">
        <f t="shared" ref="L62" si="25">J62+K62</f>
        <v>145.55000000000001</v>
      </c>
      <c r="M62" s="456"/>
      <c r="N62" s="443"/>
      <c r="O62" s="443"/>
      <c r="P62" s="443"/>
      <c r="Q62" s="443"/>
      <c r="R62" s="443">
        <f t="shared" ref="R62" si="26">L62+Q62</f>
        <v>145.55000000000001</v>
      </c>
      <c r="S62" s="443">
        <f>ROUND(R62*$S$7,2)</f>
        <v>177.72</v>
      </c>
      <c r="T62" s="442">
        <f>ROUND(V62/1.2,2)</f>
        <v>355.83</v>
      </c>
      <c r="U62" s="442">
        <f>ROUND(T62*$U$7,2)</f>
        <v>71.17</v>
      </c>
      <c r="V62" s="442">
        <f>ROUND((R62+S62)*(1+$T$7)*1.2,0)</f>
        <v>427</v>
      </c>
      <c r="W62" s="442">
        <v>365</v>
      </c>
      <c r="X62" s="78">
        <f t="shared" ref="X62:X63" si="27">V62/W62*100-100</f>
        <v>16.986301369863014</v>
      </c>
    </row>
    <row r="63" spans="1:24" ht="55.5" hidden="1" customHeight="1" x14ac:dyDescent="0.25">
      <c r="A63" s="590"/>
      <c r="B63" s="453" t="s">
        <v>170</v>
      </c>
      <c r="C63" s="453"/>
      <c r="D63" s="453"/>
      <c r="E63" s="461" t="s">
        <v>559</v>
      </c>
      <c r="F63" s="448" t="s">
        <v>26</v>
      </c>
      <c r="G63" s="454" t="s">
        <v>162</v>
      </c>
      <c r="H63" s="443">
        <f>VLOOKUP(G63,'условия, ФОТ'!$A$14:$I$32,9, FALSE)</f>
        <v>164.09</v>
      </c>
      <c r="I63" s="457">
        <v>0.25</v>
      </c>
      <c r="J63" s="443">
        <f t="shared" si="24"/>
        <v>41.02</v>
      </c>
      <c r="K63" s="443">
        <f>ROUND(J63*$K$7,2)</f>
        <v>12.39</v>
      </c>
      <c r="L63" s="443">
        <f t="shared" si="14"/>
        <v>53.410000000000004</v>
      </c>
      <c r="M63" s="456"/>
      <c r="N63" s="443"/>
      <c r="O63" s="443"/>
      <c r="P63" s="443"/>
      <c r="Q63" s="443">
        <f>SUM(Q64:Q66)</f>
        <v>4.03</v>
      </c>
      <c r="R63" s="443">
        <f t="shared" si="21"/>
        <v>57.440000000000005</v>
      </c>
      <c r="S63" s="443">
        <f>ROUND(R63*$S$7,2)</f>
        <v>70.13</v>
      </c>
      <c r="T63" s="442">
        <f>ROUND(V63/1.2,2)</f>
        <v>140</v>
      </c>
      <c r="U63" s="442">
        <f>ROUND(T63*$U$7,2)</f>
        <v>28</v>
      </c>
      <c r="V63" s="442">
        <f>ROUND((R63+S63)*(1+$T$7)*1.2,0)</f>
        <v>168</v>
      </c>
      <c r="W63" s="442">
        <v>113</v>
      </c>
      <c r="X63" s="78">
        <f t="shared" si="27"/>
        <v>48.672566371681427</v>
      </c>
    </row>
    <row r="64" spans="1:24" ht="31.7" hidden="1" customHeight="1" x14ac:dyDescent="0.25">
      <c r="A64" s="588" t="s">
        <v>577</v>
      </c>
      <c r="B64" s="588"/>
      <c r="C64" s="588"/>
      <c r="D64" s="588"/>
      <c r="E64" s="588"/>
      <c r="F64" s="588"/>
      <c r="G64" s="588"/>
      <c r="H64" s="588"/>
      <c r="I64" s="588"/>
      <c r="J64" s="588"/>
      <c r="K64" s="588"/>
      <c r="L64" s="96" t="s">
        <v>366</v>
      </c>
      <c r="M64" s="104" t="s">
        <v>335</v>
      </c>
      <c r="N64" s="98" t="str">
        <f>VLOOKUP(M64,материалы!$A$5:$G$31,5, FALSE)</f>
        <v>кг</v>
      </c>
      <c r="O64" s="443">
        <f>VLOOKUP(M64,материалы!$A$5:$G$31,7, FALSE)</f>
        <v>712.76</v>
      </c>
      <c r="P64" s="443">
        <v>5.0000000000000001E-3</v>
      </c>
      <c r="Q64" s="443">
        <f t="shared" ref="Q64:Q66" si="28">ROUND(O64*P64,2)</f>
        <v>3.56</v>
      </c>
      <c r="R64" s="443"/>
      <c r="S64" s="443"/>
      <c r="T64" s="442"/>
      <c r="U64" s="442"/>
      <c r="V64" s="442"/>
      <c r="W64" s="442"/>
      <c r="X64" s="78"/>
    </row>
    <row r="65" spans="1:24" ht="14.25" hidden="1" customHeight="1" x14ac:dyDescent="0.25">
      <c r="A65" s="588"/>
      <c r="B65" s="588"/>
      <c r="C65" s="588"/>
      <c r="D65" s="588"/>
      <c r="E65" s="588"/>
      <c r="F65" s="588"/>
      <c r="G65" s="588"/>
      <c r="H65" s="588"/>
      <c r="I65" s="588"/>
      <c r="J65" s="588"/>
      <c r="K65" s="588"/>
      <c r="L65" s="443"/>
      <c r="M65" s="97" t="s">
        <v>329</v>
      </c>
      <c r="N65" s="98" t="str">
        <f>VLOOKUP(M65,материалы!$A$5:$G$31,5, FALSE)</f>
        <v>кг</v>
      </c>
      <c r="O65" s="443">
        <f>VLOOKUP(M65,материалы!$A$5:$G$31,7, FALSE)</f>
        <v>65.599999999999994</v>
      </c>
      <c r="P65" s="100">
        <f>0.001</f>
        <v>1E-3</v>
      </c>
      <c r="Q65" s="443">
        <f t="shared" si="28"/>
        <v>7.0000000000000007E-2</v>
      </c>
      <c r="R65" s="443"/>
      <c r="S65" s="443"/>
      <c r="T65" s="442"/>
      <c r="U65" s="442"/>
      <c r="V65" s="442"/>
      <c r="W65" s="442"/>
      <c r="X65" s="78"/>
    </row>
    <row r="66" spans="1:24" ht="18.95" hidden="1" customHeight="1" x14ac:dyDescent="0.25">
      <c r="A66" s="588"/>
      <c r="B66" s="588"/>
      <c r="C66" s="588"/>
      <c r="D66" s="588"/>
      <c r="E66" s="588"/>
      <c r="F66" s="588"/>
      <c r="G66" s="588"/>
      <c r="H66" s="588"/>
      <c r="I66" s="588"/>
      <c r="J66" s="588"/>
      <c r="K66" s="588"/>
      <c r="L66" s="443"/>
      <c r="M66" s="97" t="s">
        <v>330</v>
      </c>
      <c r="N66" s="98" t="str">
        <f>VLOOKUP(M66,материалы!$A$5:$G$31,5, FALSE)</f>
        <v>кг</v>
      </c>
      <c r="O66" s="443">
        <f>VLOOKUP(M66,материалы!$A$5:$G$31,7, FALSE)</f>
        <v>39.82</v>
      </c>
      <c r="P66" s="98">
        <f>0.01</f>
        <v>0.01</v>
      </c>
      <c r="Q66" s="443">
        <f t="shared" si="28"/>
        <v>0.4</v>
      </c>
      <c r="R66" s="443"/>
      <c r="S66" s="443"/>
      <c r="T66" s="442"/>
      <c r="U66" s="442"/>
      <c r="V66" s="442"/>
      <c r="W66" s="442"/>
      <c r="X66" s="78"/>
    </row>
    <row r="67" spans="1:24" ht="15" hidden="1" customHeight="1" x14ac:dyDescent="0.25">
      <c r="A67" s="590" t="s">
        <v>430</v>
      </c>
      <c r="B67" s="453" t="s">
        <v>172</v>
      </c>
      <c r="C67" s="453"/>
      <c r="D67" s="453"/>
      <c r="E67" s="589" t="s">
        <v>31</v>
      </c>
      <c r="F67" s="600" t="s">
        <v>30</v>
      </c>
      <c r="G67" s="105" t="s">
        <v>162</v>
      </c>
      <c r="H67" s="443">
        <f>VLOOKUP(G67,'условия, ФОТ'!$A$14:$I$32,9, FALSE)</f>
        <v>164.09</v>
      </c>
      <c r="I67" s="457">
        <f>0.72+0.68</f>
        <v>1.4</v>
      </c>
      <c r="J67" s="592">
        <f>ROUND(H67*I67+H68*I68,2)</f>
        <v>356.07</v>
      </c>
      <c r="K67" s="592">
        <f>ROUND(J67*$K$7,2)</f>
        <v>107.53</v>
      </c>
      <c r="L67" s="592">
        <f t="shared" ref="L67:L171" si="29">J67+K67</f>
        <v>463.6</v>
      </c>
      <c r="M67" s="591"/>
      <c r="N67" s="592"/>
      <c r="O67" s="592"/>
      <c r="P67" s="592"/>
      <c r="Q67" s="592">
        <f>SUM(Q69:Q75)</f>
        <v>78.88</v>
      </c>
      <c r="R67" s="592">
        <f>L67+Q67</f>
        <v>542.48</v>
      </c>
      <c r="S67" s="592">
        <f>ROUND(R67*$S$7,2)</f>
        <v>662.37</v>
      </c>
      <c r="T67" s="596">
        <f>ROUND(V67/1.2,2)</f>
        <v>1325</v>
      </c>
      <c r="U67" s="596">
        <f>ROUND(T67*$U$7,2)</f>
        <v>265</v>
      </c>
      <c r="V67" s="596">
        <f>ROUND((R67+S67)*(1+$T$7)*1.2,0)</f>
        <v>1590</v>
      </c>
      <c r="W67" s="594">
        <v>1190</v>
      </c>
      <c r="X67" s="78">
        <f t="shared" si="0"/>
        <v>33.613445378151255</v>
      </c>
    </row>
    <row r="68" spans="1:24" ht="14.25" hidden="1" customHeight="1" x14ac:dyDescent="0.25">
      <c r="A68" s="590"/>
      <c r="B68" s="453" t="s">
        <v>169</v>
      </c>
      <c r="C68" s="453"/>
      <c r="D68" s="453"/>
      <c r="E68" s="589"/>
      <c r="F68" s="600"/>
      <c r="G68" s="454" t="s">
        <v>166</v>
      </c>
      <c r="H68" s="443">
        <f>VLOOKUP(G68,'условия, ФОТ'!$A$14:$I$32,9, FALSE)</f>
        <v>185.8</v>
      </c>
      <c r="I68" s="457">
        <v>0.68</v>
      </c>
      <c r="J68" s="592"/>
      <c r="K68" s="592"/>
      <c r="L68" s="592"/>
      <c r="M68" s="591"/>
      <c r="N68" s="592"/>
      <c r="O68" s="592"/>
      <c r="P68" s="592"/>
      <c r="Q68" s="592"/>
      <c r="R68" s="592"/>
      <c r="S68" s="592"/>
      <c r="T68" s="596"/>
      <c r="U68" s="596"/>
      <c r="V68" s="596"/>
      <c r="W68" s="595"/>
      <c r="X68" s="78"/>
    </row>
    <row r="69" spans="1:24" ht="18.95" hidden="1" customHeight="1" outlineLevel="1" x14ac:dyDescent="0.25">
      <c r="A69" s="446"/>
      <c r="B69" s="453"/>
      <c r="C69" s="453"/>
      <c r="D69" s="453"/>
      <c r="E69" s="444"/>
      <c r="F69" s="448"/>
      <c r="G69" s="454"/>
      <c r="H69" s="443"/>
      <c r="I69" s="457"/>
      <c r="J69" s="443"/>
      <c r="K69" s="443"/>
      <c r="L69" s="96" t="s">
        <v>366</v>
      </c>
      <c r="M69" s="104" t="s">
        <v>324</v>
      </c>
      <c r="N69" s="98" t="str">
        <f>VLOOKUP(M69,материалы!$A$5:$G$31,5, FALSE)</f>
        <v>м3</v>
      </c>
      <c r="O69" s="443">
        <f>VLOOKUP(M69,материалы!$A$5:$G$31,7, FALSE)</f>
        <v>54.61</v>
      </c>
      <c r="P69" s="443">
        <v>0.15</v>
      </c>
      <c r="Q69" s="443">
        <f t="shared" ref="Q69:Q75" si="30">ROUND(O69*P69,2)</f>
        <v>8.19</v>
      </c>
      <c r="R69" s="443"/>
      <c r="S69" s="443"/>
      <c r="T69" s="442"/>
      <c r="U69" s="442"/>
      <c r="V69" s="442"/>
      <c r="W69" s="442"/>
      <c r="X69" s="78"/>
    </row>
    <row r="70" spans="1:24" ht="18.95" hidden="1" customHeight="1" outlineLevel="1" x14ac:dyDescent="0.25">
      <c r="A70" s="446"/>
      <c r="B70" s="453"/>
      <c r="C70" s="453"/>
      <c r="D70" s="453"/>
      <c r="E70" s="444"/>
      <c r="F70" s="448"/>
      <c r="G70" s="454"/>
      <c r="H70" s="443"/>
      <c r="I70" s="457"/>
      <c r="J70" s="443"/>
      <c r="K70" s="443"/>
      <c r="L70" s="443"/>
      <c r="M70" s="104" t="s">
        <v>323</v>
      </c>
      <c r="N70" s="98" t="str">
        <f>VLOOKUP(M70,материалы!$A$5:$G$31,5, FALSE)</f>
        <v>м3</v>
      </c>
      <c r="O70" s="443">
        <f>VLOOKUP(M70,материалы!$A$5:$G$31,7, FALSE)</f>
        <v>379.24</v>
      </c>
      <c r="P70" s="457">
        <v>8.7499999999999994E-2</v>
      </c>
      <c r="Q70" s="443">
        <f t="shared" si="30"/>
        <v>33.18</v>
      </c>
      <c r="R70" s="443"/>
      <c r="S70" s="443"/>
      <c r="T70" s="442"/>
      <c r="U70" s="442"/>
      <c r="V70" s="442"/>
      <c r="W70" s="442"/>
      <c r="X70" s="78"/>
    </row>
    <row r="71" spans="1:24" ht="41.25" hidden="1" customHeight="1" outlineLevel="1" x14ac:dyDescent="0.25">
      <c r="A71" s="446"/>
      <c r="B71" s="453"/>
      <c r="C71" s="453"/>
      <c r="D71" s="453"/>
      <c r="E71" s="444"/>
      <c r="F71" s="448"/>
      <c r="G71" s="454"/>
      <c r="H71" s="443"/>
      <c r="I71" s="457"/>
      <c r="J71" s="443"/>
      <c r="K71" s="443"/>
      <c r="L71" s="443"/>
      <c r="M71" s="104" t="s">
        <v>341</v>
      </c>
      <c r="N71" s="98" t="str">
        <f>VLOOKUP(M71,материалы!$A$5:$G$31,5, FALSE)</f>
        <v>кг</v>
      </c>
      <c r="O71" s="443">
        <f>VLOOKUP(M71,материалы!$A$5:$G$31,7, FALSE)</f>
        <v>44.94</v>
      </c>
      <c r="P71" s="443">
        <v>0.1</v>
      </c>
      <c r="Q71" s="443">
        <f t="shared" si="30"/>
        <v>4.49</v>
      </c>
      <c r="R71" s="443"/>
      <c r="S71" s="443"/>
      <c r="T71" s="442"/>
      <c r="U71" s="442"/>
      <c r="V71" s="442"/>
      <c r="W71" s="442"/>
      <c r="X71" s="78"/>
    </row>
    <row r="72" spans="1:24" ht="29.25" hidden="1" customHeight="1" outlineLevel="1" x14ac:dyDescent="0.25">
      <c r="A72" s="446"/>
      <c r="B72" s="453"/>
      <c r="C72" s="453"/>
      <c r="D72" s="453"/>
      <c r="E72" s="444"/>
      <c r="F72" s="448"/>
      <c r="G72" s="454"/>
      <c r="H72" s="443"/>
      <c r="I72" s="457"/>
      <c r="J72" s="443"/>
      <c r="K72" s="443"/>
      <c r="L72" s="443"/>
      <c r="M72" s="104" t="s">
        <v>342</v>
      </c>
      <c r="N72" s="98" t="str">
        <f>VLOOKUP(M72,материалы!$A$5:$G$31,5, FALSE)</f>
        <v>шт.</v>
      </c>
      <c r="O72" s="443">
        <f>VLOOKUP(M72,материалы!$A$5:$G$31,7, FALSE)</f>
        <v>30.94</v>
      </c>
      <c r="P72" s="443">
        <v>0.25</v>
      </c>
      <c r="Q72" s="443">
        <f t="shared" si="30"/>
        <v>7.74</v>
      </c>
      <c r="R72" s="443"/>
      <c r="S72" s="443"/>
      <c r="T72" s="442"/>
      <c r="U72" s="442"/>
      <c r="V72" s="442"/>
      <c r="W72" s="442"/>
      <c r="X72" s="78"/>
    </row>
    <row r="73" spans="1:24" ht="29.25" hidden="1" customHeight="1" outlineLevel="1" x14ac:dyDescent="0.25">
      <c r="A73" s="446"/>
      <c r="B73" s="453"/>
      <c r="C73" s="453"/>
      <c r="D73" s="453"/>
      <c r="E73" s="444"/>
      <c r="F73" s="448"/>
      <c r="G73" s="454"/>
      <c r="H73" s="443"/>
      <c r="I73" s="457"/>
      <c r="J73" s="443"/>
      <c r="K73" s="443"/>
      <c r="L73" s="443"/>
      <c r="M73" s="121" t="s">
        <v>346</v>
      </c>
      <c r="N73" s="98" t="str">
        <f>VLOOKUP(M73,материалы!$A$5:$G$31,5, FALSE)</f>
        <v>шт.</v>
      </c>
      <c r="O73" s="443">
        <f>VLOOKUP(M73,материалы!$A$5:$G$31,7, FALSE)</f>
        <v>24.810000000000002</v>
      </c>
      <c r="P73" s="443">
        <v>1</v>
      </c>
      <c r="Q73" s="443">
        <f t="shared" si="30"/>
        <v>24.81</v>
      </c>
      <c r="R73" s="443"/>
      <c r="S73" s="443"/>
      <c r="T73" s="442"/>
      <c r="U73" s="442"/>
      <c r="V73" s="442"/>
      <c r="W73" s="442"/>
      <c r="X73" s="78"/>
    </row>
    <row r="74" spans="1:24" ht="21" hidden="1" customHeight="1" outlineLevel="1" x14ac:dyDescent="0.25">
      <c r="A74" s="446"/>
      <c r="B74" s="453"/>
      <c r="C74" s="453"/>
      <c r="D74" s="453"/>
      <c r="E74" s="444"/>
      <c r="F74" s="448"/>
      <c r="G74" s="454"/>
      <c r="H74" s="443"/>
      <c r="I74" s="457"/>
      <c r="J74" s="443"/>
      <c r="K74" s="443"/>
      <c r="L74" s="443"/>
      <c r="M74" s="97" t="s">
        <v>329</v>
      </c>
      <c r="N74" s="98" t="str">
        <f>VLOOKUP(M74,материалы!$A$5:$G$31,5, FALSE)</f>
        <v>кг</v>
      </c>
      <c r="O74" s="443">
        <f>VLOOKUP(M74,материалы!$A$5:$G$31,7, FALSE)</f>
        <v>65.599999999999994</v>
      </c>
      <c r="P74" s="443">
        <v>1E-3</v>
      </c>
      <c r="Q74" s="443">
        <f t="shared" si="30"/>
        <v>7.0000000000000007E-2</v>
      </c>
      <c r="R74" s="443"/>
      <c r="S74" s="443"/>
      <c r="T74" s="442"/>
      <c r="U74" s="442"/>
      <c r="V74" s="442"/>
      <c r="W74" s="442"/>
      <c r="X74" s="78"/>
    </row>
    <row r="75" spans="1:24" ht="20.25" hidden="1" customHeight="1" outlineLevel="1" x14ac:dyDescent="0.25">
      <c r="A75" s="446"/>
      <c r="B75" s="453"/>
      <c r="C75" s="453"/>
      <c r="D75" s="453"/>
      <c r="E75" s="444"/>
      <c r="F75" s="448"/>
      <c r="G75" s="454"/>
      <c r="H75" s="443"/>
      <c r="I75" s="457"/>
      <c r="J75" s="443"/>
      <c r="K75" s="443"/>
      <c r="L75" s="443"/>
      <c r="M75" s="97" t="s">
        <v>330</v>
      </c>
      <c r="N75" s="98" t="str">
        <f>VLOOKUP(M75,материалы!$A$5:$G$31,5, FALSE)</f>
        <v>кг</v>
      </c>
      <c r="O75" s="443">
        <f>VLOOKUP(M75,материалы!$A$5:$G$31,7, FALSE)</f>
        <v>39.82</v>
      </c>
      <c r="P75" s="443">
        <v>0.01</v>
      </c>
      <c r="Q75" s="443">
        <f t="shared" si="30"/>
        <v>0.4</v>
      </c>
      <c r="R75" s="443"/>
      <c r="S75" s="443"/>
      <c r="T75" s="442"/>
      <c r="U75" s="442"/>
      <c r="V75" s="442"/>
      <c r="W75" s="442"/>
      <c r="X75" s="78"/>
    </row>
    <row r="76" spans="1:24" ht="51" hidden="1" x14ac:dyDescent="0.25">
      <c r="A76" s="446" t="s">
        <v>431</v>
      </c>
      <c r="B76" s="446" t="s">
        <v>173</v>
      </c>
      <c r="C76" s="446"/>
      <c r="D76" s="446"/>
      <c r="E76" s="444" t="s">
        <v>407</v>
      </c>
      <c r="F76" s="448" t="s">
        <v>30</v>
      </c>
      <c r="G76" s="454" t="s">
        <v>161</v>
      </c>
      <c r="H76" s="443">
        <f>VLOOKUP(G76,'условия, ФОТ'!$A$14:$I$32,9, FALSE)</f>
        <v>111.79</v>
      </c>
      <c r="I76" s="457">
        <v>1.3</v>
      </c>
      <c r="J76" s="443">
        <f t="shared" ref="J76:J171" si="31">ROUND(H76*I76,2)</f>
        <v>145.33000000000001</v>
      </c>
      <c r="K76" s="443">
        <f>ROUND(J76*$K$7,2)</f>
        <v>43.89</v>
      </c>
      <c r="L76" s="443">
        <f t="shared" si="29"/>
        <v>189.22000000000003</v>
      </c>
      <c r="M76" s="456"/>
      <c r="N76" s="443"/>
      <c r="O76" s="443"/>
      <c r="P76" s="443"/>
      <c r="Q76" s="443">
        <f>SUM(Q77:Q79)</f>
        <v>4.03</v>
      </c>
      <c r="R76" s="443">
        <f>L76+Q76</f>
        <v>193.25000000000003</v>
      </c>
      <c r="S76" s="443">
        <f>ROUND(R76*$S$7,2)</f>
        <v>235.96</v>
      </c>
      <c r="T76" s="442">
        <f>ROUND(V76/1.2,2)</f>
        <v>472.5</v>
      </c>
      <c r="U76" s="442">
        <f>ROUND(T76*$U$7,2)</f>
        <v>94.5</v>
      </c>
      <c r="V76" s="442">
        <f>ROUND((R76+S76)*(1+$T$7)*1.2,0)</f>
        <v>567</v>
      </c>
      <c r="W76" s="442">
        <v>485</v>
      </c>
      <c r="X76" s="78">
        <f t="shared" si="0"/>
        <v>16.907216494845372</v>
      </c>
    </row>
    <row r="77" spans="1:24" ht="25.5" hidden="1" outlineLevel="1" x14ac:dyDescent="0.25">
      <c r="A77" s="446"/>
      <c r="B77" s="446"/>
      <c r="C77" s="446"/>
      <c r="D77" s="446"/>
      <c r="E77" s="444"/>
      <c r="F77" s="448"/>
      <c r="G77" s="454"/>
      <c r="H77" s="443"/>
      <c r="I77" s="457"/>
      <c r="J77" s="443"/>
      <c r="K77" s="443"/>
      <c r="L77" s="96" t="s">
        <v>366</v>
      </c>
      <c r="M77" s="104" t="s">
        <v>335</v>
      </c>
      <c r="N77" s="98" t="str">
        <f>VLOOKUP(M77,материалы!$A$5:$G$31,5, FALSE)</f>
        <v>кг</v>
      </c>
      <c r="O77" s="443">
        <f>VLOOKUP(M77,материалы!$A$5:$G$31,7, FALSE)</f>
        <v>712.76</v>
      </c>
      <c r="P77" s="443">
        <v>5.0000000000000001E-3</v>
      </c>
      <c r="Q77" s="443">
        <f t="shared" ref="Q77:Q79" si="32">ROUND(O77*P77,2)</f>
        <v>3.56</v>
      </c>
      <c r="R77" s="443"/>
      <c r="S77" s="443"/>
      <c r="T77" s="442"/>
      <c r="U77" s="442"/>
      <c r="V77" s="442"/>
      <c r="W77" s="442"/>
      <c r="X77" s="78"/>
    </row>
    <row r="78" spans="1:24" hidden="1" outlineLevel="1" x14ac:dyDescent="0.25">
      <c r="A78" s="446"/>
      <c r="B78" s="446"/>
      <c r="C78" s="446"/>
      <c r="D78" s="446"/>
      <c r="E78" s="444"/>
      <c r="F78" s="448"/>
      <c r="G78" s="454"/>
      <c r="H78" s="443"/>
      <c r="I78" s="457"/>
      <c r="J78" s="443"/>
      <c r="K78" s="443"/>
      <c r="L78" s="443"/>
      <c r="M78" s="97" t="s">
        <v>329</v>
      </c>
      <c r="N78" s="98" t="str">
        <f>VLOOKUP(M78,материалы!$A$5:$G$31,5, FALSE)</f>
        <v>кг</v>
      </c>
      <c r="O78" s="443">
        <f>VLOOKUP(M78,материалы!$A$5:$G$31,7, FALSE)</f>
        <v>65.599999999999994</v>
      </c>
      <c r="P78" s="443">
        <v>1E-3</v>
      </c>
      <c r="Q78" s="443">
        <f t="shared" si="32"/>
        <v>7.0000000000000007E-2</v>
      </c>
      <c r="R78" s="443"/>
      <c r="S78" s="443"/>
      <c r="T78" s="442"/>
      <c r="U78" s="442"/>
      <c r="V78" s="442"/>
      <c r="W78" s="442"/>
      <c r="X78" s="78"/>
    </row>
    <row r="79" spans="1:24" hidden="1" outlineLevel="1" x14ac:dyDescent="0.25">
      <c r="A79" s="446"/>
      <c r="B79" s="446"/>
      <c r="C79" s="446"/>
      <c r="D79" s="446"/>
      <c r="E79" s="444"/>
      <c r="F79" s="448"/>
      <c r="G79" s="454"/>
      <c r="H79" s="443"/>
      <c r="I79" s="457"/>
      <c r="J79" s="443"/>
      <c r="K79" s="443"/>
      <c r="L79" s="443"/>
      <c r="M79" s="97" t="s">
        <v>330</v>
      </c>
      <c r="N79" s="98" t="str">
        <f>VLOOKUP(M79,материалы!$A$5:$G$31,5, FALSE)</f>
        <v>кг</v>
      </c>
      <c r="O79" s="443">
        <f>VLOOKUP(M79,материалы!$A$5:$G$31,7, FALSE)</f>
        <v>39.82</v>
      </c>
      <c r="P79" s="443">
        <v>0.01</v>
      </c>
      <c r="Q79" s="443">
        <f t="shared" si="32"/>
        <v>0.4</v>
      </c>
      <c r="R79" s="443"/>
      <c r="S79" s="443"/>
      <c r="T79" s="442"/>
      <c r="U79" s="442"/>
      <c r="V79" s="442"/>
      <c r="W79" s="442"/>
      <c r="X79" s="78"/>
    </row>
    <row r="80" spans="1:24" ht="45.95" hidden="1" customHeight="1" x14ac:dyDescent="0.25">
      <c r="A80" s="446" t="s">
        <v>432</v>
      </c>
      <c r="B80" s="446" t="s">
        <v>27</v>
      </c>
      <c r="C80" s="446"/>
      <c r="D80" s="446"/>
      <c r="E80" s="444" t="s">
        <v>408</v>
      </c>
      <c r="F80" s="448" t="s">
        <v>30</v>
      </c>
      <c r="G80" s="454" t="s">
        <v>161</v>
      </c>
      <c r="H80" s="443">
        <f>VLOOKUP(G80,'условия, ФОТ'!$A$14:$I$32,9, FALSE)</f>
        <v>111.79</v>
      </c>
      <c r="I80" s="457">
        <v>1.4</v>
      </c>
      <c r="J80" s="443">
        <f t="shared" si="31"/>
        <v>156.51</v>
      </c>
      <c r="K80" s="443">
        <f>ROUND(J80*$K$7,2)</f>
        <v>47.27</v>
      </c>
      <c r="L80" s="443">
        <f t="shared" si="29"/>
        <v>203.78</v>
      </c>
      <c r="M80" s="456"/>
      <c r="N80" s="443"/>
      <c r="O80" s="443"/>
      <c r="P80" s="443"/>
      <c r="Q80" s="443">
        <f>SUM(Q81:Q83)</f>
        <v>4.03</v>
      </c>
      <c r="R80" s="443">
        <f t="shared" ref="R80:R171" si="33">L80+Q80</f>
        <v>207.81</v>
      </c>
      <c r="S80" s="443">
        <f>ROUND(R80*$S$7,2)</f>
        <v>253.74</v>
      </c>
      <c r="T80" s="442">
        <f>ROUND(V80/1.2,2)</f>
        <v>507.5</v>
      </c>
      <c r="U80" s="442">
        <f>ROUND(T80*$U$7,2)</f>
        <v>101.5</v>
      </c>
      <c r="V80" s="442">
        <f>ROUND((R80+S80)*(1+$T$7)*1.2,0)</f>
        <v>609</v>
      </c>
      <c r="W80" s="442">
        <v>522</v>
      </c>
      <c r="X80" s="78">
        <f t="shared" si="0"/>
        <v>16.666666666666671</v>
      </c>
    </row>
    <row r="81" spans="1:24" ht="25.5" hidden="1" outlineLevel="1" x14ac:dyDescent="0.25">
      <c r="A81" s="446"/>
      <c r="B81" s="446"/>
      <c r="C81" s="446"/>
      <c r="D81" s="446"/>
      <c r="E81" s="444"/>
      <c r="F81" s="448"/>
      <c r="G81" s="454"/>
      <c r="H81" s="443"/>
      <c r="I81" s="457"/>
      <c r="J81" s="443"/>
      <c r="K81" s="443"/>
      <c r="L81" s="96" t="s">
        <v>366</v>
      </c>
      <c r="M81" s="104" t="s">
        <v>335</v>
      </c>
      <c r="N81" s="98" t="str">
        <f>VLOOKUP(M81,материалы!$A$5:$G$31,5, FALSE)</f>
        <v>кг</v>
      </c>
      <c r="O81" s="443">
        <f>VLOOKUP(M81,материалы!$A$5:$G$31,7, FALSE)</f>
        <v>712.76</v>
      </c>
      <c r="P81" s="443">
        <v>5.0000000000000001E-3</v>
      </c>
      <c r="Q81" s="443">
        <f t="shared" ref="Q81:Q87" si="34">ROUND(O81*P81,2)</f>
        <v>3.56</v>
      </c>
      <c r="R81" s="443"/>
      <c r="S81" s="443"/>
      <c r="T81" s="442"/>
      <c r="U81" s="442"/>
      <c r="V81" s="442"/>
      <c r="W81" s="442"/>
      <c r="X81" s="78"/>
    </row>
    <row r="82" spans="1:24" hidden="1" outlineLevel="1" x14ac:dyDescent="0.25">
      <c r="A82" s="446"/>
      <c r="B82" s="446"/>
      <c r="C82" s="446"/>
      <c r="D82" s="446"/>
      <c r="E82" s="444"/>
      <c r="F82" s="448"/>
      <c r="G82" s="454"/>
      <c r="H82" s="443"/>
      <c r="I82" s="457"/>
      <c r="J82" s="443"/>
      <c r="K82" s="443"/>
      <c r="L82" s="443"/>
      <c r="M82" s="97" t="s">
        <v>329</v>
      </c>
      <c r="N82" s="98" t="str">
        <f>VLOOKUP(M82,материалы!$A$5:$G$31,5, FALSE)</f>
        <v>кг</v>
      </c>
      <c r="O82" s="443">
        <f>VLOOKUP(M82,материалы!$A$5:$G$31,7, FALSE)</f>
        <v>65.599999999999994</v>
      </c>
      <c r="P82" s="443">
        <v>1E-3</v>
      </c>
      <c r="Q82" s="443">
        <f t="shared" si="34"/>
        <v>7.0000000000000007E-2</v>
      </c>
      <c r="R82" s="443"/>
      <c r="S82" s="443"/>
      <c r="T82" s="442"/>
      <c r="U82" s="442"/>
      <c r="V82" s="442"/>
      <c r="W82" s="442"/>
      <c r="X82" s="78"/>
    </row>
    <row r="83" spans="1:24" hidden="1" outlineLevel="1" x14ac:dyDescent="0.25">
      <c r="A83" s="446"/>
      <c r="B83" s="446"/>
      <c r="C83" s="446"/>
      <c r="D83" s="446"/>
      <c r="E83" s="444"/>
      <c r="F83" s="448"/>
      <c r="G83" s="454"/>
      <c r="H83" s="443"/>
      <c r="I83" s="457"/>
      <c r="J83" s="443"/>
      <c r="K83" s="443"/>
      <c r="L83" s="443"/>
      <c r="M83" s="97" t="s">
        <v>330</v>
      </c>
      <c r="N83" s="98" t="str">
        <f>VLOOKUP(M83,материалы!$A$5:$G$31,5, FALSE)</f>
        <v>кг</v>
      </c>
      <c r="O83" s="443">
        <f>VLOOKUP(M83,материалы!$A$5:$G$31,7, FALSE)</f>
        <v>39.82</v>
      </c>
      <c r="P83" s="443">
        <v>0.01</v>
      </c>
      <c r="Q83" s="443">
        <f t="shared" si="34"/>
        <v>0.4</v>
      </c>
      <c r="R83" s="443"/>
      <c r="S83" s="443"/>
      <c r="T83" s="442"/>
      <c r="U83" s="442"/>
      <c r="V83" s="442"/>
      <c r="W83" s="442"/>
      <c r="X83" s="78"/>
    </row>
    <row r="84" spans="1:24" ht="39.75" hidden="1" customHeight="1" x14ac:dyDescent="0.25">
      <c r="A84" s="446" t="s">
        <v>433</v>
      </c>
      <c r="B84" s="446" t="s">
        <v>27</v>
      </c>
      <c r="C84" s="446"/>
      <c r="D84" s="446"/>
      <c r="E84" s="444" t="s">
        <v>409</v>
      </c>
      <c r="F84" s="448" t="s">
        <v>30</v>
      </c>
      <c r="G84" s="454" t="s">
        <v>161</v>
      </c>
      <c r="H84" s="443">
        <f>VLOOKUP(G84,'условия, ФОТ'!$A$14:$I$32,9, FALSE)</f>
        <v>111.79</v>
      </c>
      <c r="I84" s="457">
        <v>0.9</v>
      </c>
      <c r="J84" s="443">
        <f t="shared" si="31"/>
        <v>100.61</v>
      </c>
      <c r="K84" s="443">
        <f>ROUND(J84*$K$7,2)</f>
        <v>30.38</v>
      </c>
      <c r="L84" s="443">
        <f t="shared" si="29"/>
        <v>130.99</v>
      </c>
      <c r="M84" s="456"/>
      <c r="N84" s="443"/>
      <c r="O84" s="443"/>
      <c r="P84" s="443"/>
      <c r="Q84" s="443">
        <f>SUM(Q85:Q87)</f>
        <v>4.03</v>
      </c>
      <c r="R84" s="443">
        <f>L84+Q84</f>
        <v>135.02000000000001</v>
      </c>
      <c r="S84" s="443">
        <f>ROUND(R84*$S$7,2)</f>
        <v>164.86</v>
      </c>
      <c r="T84" s="442">
        <f>ROUND(V84/1.2,2)</f>
        <v>330</v>
      </c>
      <c r="U84" s="442">
        <f>ROUND(T84*$U$7,2)</f>
        <v>66</v>
      </c>
      <c r="V84" s="442">
        <f>ROUND((R84+S84)*(1+$T$7)*1.2,0)</f>
        <v>396</v>
      </c>
      <c r="W84" s="442">
        <v>339</v>
      </c>
      <c r="X84" s="78">
        <f t="shared" si="0"/>
        <v>16.814159292035399</v>
      </c>
    </row>
    <row r="85" spans="1:24" ht="25.5" hidden="1" outlineLevel="1" x14ac:dyDescent="0.25">
      <c r="A85" s="446"/>
      <c r="B85" s="446"/>
      <c r="C85" s="446"/>
      <c r="D85" s="446"/>
      <c r="E85" s="444"/>
      <c r="F85" s="448"/>
      <c r="G85" s="454"/>
      <c r="H85" s="443"/>
      <c r="I85" s="457"/>
      <c r="J85" s="443"/>
      <c r="K85" s="443"/>
      <c r="L85" s="96" t="s">
        <v>366</v>
      </c>
      <c r="M85" s="104" t="s">
        <v>335</v>
      </c>
      <c r="N85" s="98" t="str">
        <f>VLOOKUP(M85,материалы!$A$5:$G$31,5, FALSE)</f>
        <v>кг</v>
      </c>
      <c r="O85" s="443">
        <f>VLOOKUP(M85,материалы!$A$5:$G$31,7, FALSE)</f>
        <v>712.76</v>
      </c>
      <c r="P85" s="443">
        <v>5.0000000000000001E-3</v>
      </c>
      <c r="Q85" s="443">
        <f t="shared" si="34"/>
        <v>3.56</v>
      </c>
      <c r="R85" s="443"/>
      <c r="S85" s="443"/>
      <c r="T85" s="442"/>
      <c r="U85" s="442"/>
      <c r="V85" s="442"/>
      <c r="W85" s="442"/>
      <c r="X85" s="78"/>
    </row>
    <row r="86" spans="1:24" hidden="1" outlineLevel="1" x14ac:dyDescent="0.25">
      <c r="A86" s="446"/>
      <c r="B86" s="446"/>
      <c r="C86" s="446"/>
      <c r="D86" s="446"/>
      <c r="E86" s="444"/>
      <c r="F86" s="448"/>
      <c r="G86" s="454"/>
      <c r="H86" s="443"/>
      <c r="I86" s="457"/>
      <c r="J86" s="443"/>
      <c r="K86" s="443"/>
      <c r="L86" s="443"/>
      <c r="M86" s="97" t="s">
        <v>329</v>
      </c>
      <c r="N86" s="98" t="str">
        <f>VLOOKUP(M86,материалы!$A$5:$G$31,5, FALSE)</f>
        <v>кг</v>
      </c>
      <c r="O86" s="443">
        <f>VLOOKUP(M86,материалы!$A$5:$G$31,7, FALSE)</f>
        <v>65.599999999999994</v>
      </c>
      <c r="P86" s="443">
        <v>1E-3</v>
      </c>
      <c r="Q86" s="443">
        <f t="shared" si="34"/>
        <v>7.0000000000000007E-2</v>
      </c>
      <c r="R86" s="443"/>
      <c r="S86" s="443"/>
      <c r="T86" s="442"/>
      <c r="U86" s="442"/>
      <c r="V86" s="442"/>
      <c r="W86" s="442"/>
      <c r="X86" s="78"/>
    </row>
    <row r="87" spans="1:24" hidden="1" outlineLevel="1" x14ac:dyDescent="0.25">
      <c r="A87" s="446"/>
      <c r="B87" s="446"/>
      <c r="C87" s="446"/>
      <c r="D87" s="446"/>
      <c r="E87" s="444"/>
      <c r="F87" s="448"/>
      <c r="G87" s="454"/>
      <c r="H87" s="443"/>
      <c r="I87" s="457"/>
      <c r="J87" s="443"/>
      <c r="K87" s="443"/>
      <c r="L87" s="443"/>
      <c r="M87" s="97" t="s">
        <v>330</v>
      </c>
      <c r="N87" s="98" t="str">
        <f>VLOOKUP(M87,материалы!$A$5:$G$31,5, FALSE)</f>
        <v>кг</v>
      </c>
      <c r="O87" s="443">
        <f>VLOOKUP(M87,материалы!$A$5:$G$31,7, FALSE)</f>
        <v>39.82</v>
      </c>
      <c r="P87" s="443">
        <v>0.01</v>
      </c>
      <c r="Q87" s="443">
        <f t="shared" si="34"/>
        <v>0.4</v>
      </c>
      <c r="R87" s="443"/>
      <c r="S87" s="443"/>
      <c r="T87" s="442"/>
      <c r="U87" s="442"/>
      <c r="V87" s="442"/>
      <c r="W87" s="442"/>
      <c r="X87" s="78"/>
    </row>
    <row r="88" spans="1:24" hidden="1" x14ac:dyDescent="0.25">
      <c r="A88" s="446" t="s">
        <v>434</v>
      </c>
      <c r="B88" s="446" t="s">
        <v>174</v>
      </c>
      <c r="C88" s="446"/>
      <c r="D88" s="446"/>
      <c r="E88" s="444" t="s">
        <v>32</v>
      </c>
      <c r="F88" s="443" t="s">
        <v>175</v>
      </c>
      <c r="G88" s="454" t="s">
        <v>161</v>
      </c>
      <c r="H88" s="443">
        <f>VLOOKUP(G88,'условия, ФОТ'!$A$14:$I$32,9, FALSE)</f>
        <v>111.79</v>
      </c>
      <c r="I88" s="457">
        <v>0.28999999999999998</v>
      </c>
      <c r="J88" s="443">
        <f t="shared" si="31"/>
        <v>32.42</v>
      </c>
      <c r="K88" s="443">
        <f t="shared" ref="K88:K107" si="35">ROUND(J88*$K$7,2)</f>
        <v>9.7899999999999991</v>
      </c>
      <c r="L88" s="443">
        <f t="shared" si="29"/>
        <v>42.21</v>
      </c>
      <c r="M88" s="456"/>
      <c r="N88" s="443"/>
      <c r="O88" s="443"/>
      <c r="P88" s="443"/>
      <c r="Q88" s="443"/>
      <c r="R88" s="443">
        <f t="shared" si="33"/>
        <v>42.21</v>
      </c>
      <c r="S88" s="443">
        <f t="shared" ref="S88:S107" si="36">ROUND(R88*$S$7,2)</f>
        <v>51.54</v>
      </c>
      <c r="T88" s="442">
        <f>ROUND(V88/1.2,2)</f>
        <v>103.33</v>
      </c>
      <c r="U88" s="442">
        <f t="shared" ref="U88:U107" si="37">ROUND(T88*$U$7,2)</f>
        <v>20.67</v>
      </c>
      <c r="V88" s="442">
        <f t="shared" ref="V88:V107" si="38">ROUND((R88+S88)*(1+$T$7)*1.2,0)</f>
        <v>124</v>
      </c>
      <c r="W88" s="442">
        <v>106</v>
      </c>
      <c r="X88" s="78">
        <f t="shared" si="0"/>
        <v>16.981132075471692</v>
      </c>
    </row>
    <row r="89" spans="1:24" hidden="1" x14ac:dyDescent="0.25">
      <c r="A89" s="446" t="s">
        <v>436</v>
      </c>
      <c r="B89" s="446" t="s">
        <v>176</v>
      </c>
      <c r="C89" s="446"/>
      <c r="D89" s="446"/>
      <c r="E89" s="444" t="s">
        <v>33</v>
      </c>
      <c r="F89" s="443" t="s">
        <v>177</v>
      </c>
      <c r="G89" s="454" t="s">
        <v>161</v>
      </c>
      <c r="H89" s="443">
        <f>VLOOKUP(G89,'условия, ФОТ'!$A$14:$I$32,9, FALSE)</f>
        <v>111.79</v>
      </c>
      <c r="I89" s="457">
        <v>0.28999999999999998</v>
      </c>
      <c r="J89" s="443">
        <f t="shared" si="31"/>
        <v>32.42</v>
      </c>
      <c r="K89" s="443">
        <f t="shared" si="35"/>
        <v>9.7899999999999991</v>
      </c>
      <c r="L89" s="443">
        <f t="shared" si="29"/>
        <v>42.21</v>
      </c>
      <c r="M89" s="456"/>
      <c r="N89" s="443"/>
      <c r="O89" s="443"/>
      <c r="P89" s="443"/>
      <c r="Q89" s="443"/>
      <c r="R89" s="443">
        <f t="shared" si="33"/>
        <v>42.21</v>
      </c>
      <c r="S89" s="443">
        <f t="shared" si="36"/>
        <v>51.54</v>
      </c>
      <c r="T89" s="442">
        <f t="shared" ref="T89:T107" si="39">ROUND(V89/1.2,2)</f>
        <v>103.33</v>
      </c>
      <c r="U89" s="442">
        <f t="shared" si="37"/>
        <v>20.67</v>
      </c>
      <c r="V89" s="442">
        <f t="shared" si="38"/>
        <v>124</v>
      </c>
      <c r="W89" s="442">
        <v>106</v>
      </c>
      <c r="X89" s="78">
        <f t="shared" si="0"/>
        <v>16.981132075471692</v>
      </c>
    </row>
    <row r="90" spans="1:24" hidden="1" x14ac:dyDescent="0.25">
      <c r="A90" s="446" t="s">
        <v>437</v>
      </c>
      <c r="B90" s="446" t="s">
        <v>178</v>
      </c>
      <c r="C90" s="446"/>
      <c r="D90" s="446"/>
      <c r="E90" s="444" t="s">
        <v>34</v>
      </c>
      <c r="F90" s="443" t="s">
        <v>177</v>
      </c>
      <c r="G90" s="454" t="s">
        <v>161</v>
      </c>
      <c r="H90" s="443">
        <f>VLOOKUP(G90,'условия, ФОТ'!$A$14:$I$32,9, FALSE)</f>
        <v>111.79</v>
      </c>
      <c r="I90" s="457">
        <v>0.36</v>
      </c>
      <c r="J90" s="443">
        <f t="shared" si="31"/>
        <v>40.24</v>
      </c>
      <c r="K90" s="443">
        <f t="shared" si="35"/>
        <v>12.15</v>
      </c>
      <c r="L90" s="443">
        <f t="shared" si="29"/>
        <v>52.39</v>
      </c>
      <c r="M90" s="456"/>
      <c r="N90" s="443"/>
      <c r="O90" s="443"/>
      <c r="P90" s="443"/>
      <c r="Q90" s="443"/>
      <c r="R90" s="443">
        <f t="shared" si="33"/>
        <v>52.39</v>
      </c>
      <c r="S90" s="443">
        <f t="shared" si="36"/>
        <v>63.97</v>
      </c>
      <c r="T90" s="442">
        <f t="shared" si="39"/>
        <v>128.33000000000001</v>
      </c>
      <c r="U90" s="442">
        <f t="shared" si="37"/>
        <v>25.67</v>
      </c>
      <c r="V90" s="442">
        <f t="shared" si="38"/>
        <v>154</v>
      </c>
      <c r="W90" s="442">
        <v>132</v>
      </c>
      <c r="X90" s="78">
        <f t="shared" si="0"/>
        <v>16.666666666666671</v>
      </c>
    </row>
    <row r="91" spans="1:24" hidden="1" x14ac:dyDescent="0.25">
      <c r="A91" s="446" t="s">
        <v>438</v>
      </c>
      <c r="B91" s="446" t="s">
        <v>179</v>
      </c>
      <c r="C91" s="446"/>
      <c r="D91" s="446"/>
      <c r="E91" s="444" t="s">
        <v>35</v>
      </c>
      <c r="F91" s="443" t="s">
        <v>180</v>
      </c>
      <c r="G91" s="454" t="s">
        <v>161</v>
      </c>
      <c r="H91" s="443">
        <f>VLOOKUP(G91,'условия, ФОТ'!$A$14:$I$32,9, FALSE)</f>
        <v>111.79</v>
      </c>
      <c r="I91" s="457">
        <v>0.15</v>
      </c>
      <c r="J91" s="443">
        <f t="shared" si="31"/>
        <v>16.77</v>
      </c>
      <c r="K91" s="443">
        <f t="shared" si="35"/>
        <v>5.0599999999999996</v>
      </c>
      <c r="L91" s="443">
        <f t="shared" si="29"/>
        <v>21.83</v>
      </c>
      <c r="M91" s="456"/>
      <c r="N91" s="443"/>
      <c r="O91" s="443"/>
      <c r="P91" s="443"/>
      <c r="Q91" s="443"/>
      <c r="R91" s="443">
        <f t="shared" si="33"/>
        <v>21.83</v>
      </c>
      <c r="S91" s="443">
        <f t="shared" si="36"/>
        <v>26.65</v>
      </c>
      <c r="T91" s="442">
        <f t="shared" si="39"/>
        <v>53.33</v>
      </c>
      <c r="U91" s="442">
        <f t="shared" si="37"/>
        <v>10.67</v>
      </c>
      <c r="V91" s="442">
        <f t="shared" si="38"/>
        <v>64</v>
      </c>
      <c r="W91" s="442">
        <v>55</v>
      </c>
      <c r="X91" s="78">
        <f t="shared" si="0"/>
        <v>16.36363636363636</v>
      </c>
    </row>
    <row r="92" spans="1:24" hidden="1" x14ac:dyDescent="0.25">
      <c r="A92" s="446" t="s">
        <v>439</v>
      </c>
      <c r="B92" s="446" t="s">
        <v>181</v>
      </c>
      <c r="C92" s="446"/>
      <c r="D92" s="446"/>
      <c r="E92" s="444" t="s">
        <v>36</v>
      </c>
      <c r="F92" s="443" t="s">
        <v>182</v>
      </c>
      <c r="G92" s="454" t="s">
        <v>161</v>
      </c>
      <c r="H92" s="443">
        <f>VLOOKUP(G92,'условия, ФОТ'!$A$14:$I$32,9, FALSE)</f>
        <v>111.79</v>
      </c>
      <c r="I92" s="457">
        <v>0.2</v>
      </c>
      <c r="J92" s="443">
        <f t="shared" si="31"/>
        <v>22.36</v>
      </c>
      <c r="K92" s="443">
        <f t="shared" si="35"/>
        <v>6.75</v>
      </c>
      <c r="L92" s="443">
        <f t="shared" si="29"/>
        <v>29.11</v>
      </c>
      <c r="M92" s="456"/>
      <c r="N92" s="443"/>
      <c r="O92" s="443"/>
      <c r="P92" s="443"/>
      <c r="Q92" s="443"/>
      <c r="R92" s="443">
        <f t="shared" si="33"/>
        <v>29.11</v>
      </c>
      <c r="S92" s="443">
        <f t="shared" si="36"/>
        <v>35.54</v>
      </c>
      <c r="T92" s="442">
        <f t="shared" si="39"/>
        <v>70.83</v>
      </c>
      <c r="U92" s="442">
        <f t="shared" si="37"/>
        <v>14.17</v>
      </c>
      <c r="V92" s="442">
        <f t="shared" si="38"/>
        <v>85</v>
      </c>
      <c r="W92" s="442">
        <v>73</v>
      </c>
      <c r="X92" s="78">
        <f t="shared" si="0"/>
        <v>16.438356164383563</v>
      </c>
    </row>
    <row r="93" spans="1:24" ht="25.5" hidden="1" x14ac:dyDescent="0.25">
      <c r="A93" s="446" t="s">
        <v>440</v>
      </c>
      <c r="B93" s="446" t="s">
        <v>183</v>
      </c>
      <c r="C93" s="446"/>
      <c r="D93" s="446"/>
      <c r="E93" s="444" t="s">
        <v>37</v>
      </c>
      <c r="F93" s="443" t="s">
        <v>184</v>
      </c>
      <c r="G93" s="454" t="s">
        <v>161</v>
      </c>
      <c r="H93" s="443">
        <f>VLOOKUP(G93,'условия, ФОТ'!$A$14:$I$32,9, FALSE)</f>
        <v>111.79</v>
      </c>
      <c r="I93" s="457">
        <v>0.25</v>
      </c>
      <c r="J93" s="443">
        <f t="shared" si="31"/>
        <v>27.95</v>
      </c>
      <c r="K93" s="443">
        <f t="shared" si="35"/>
        <v>8.44</v>
      </c>
      <c r="L93" s="443">
        <f t="shared" si="29"/>
        <v>36.39</v>
      </c>
      <c r="M93" s="456"/>
      <c r="N93" s="443"/>
      <c r="O93" s="443"/>
      <c r="P93" s="443"/>
      <c r="Q93" s="443"/>
      <c r="R93" s="443">
        <f t="shared" si="33"/>
        <v>36.39</v>
      </c>
      <c r="S93" s="443">
        <f t="shared" si="36"/>
        <v>44.43</v>
      </c>
      <c r="T93" s="442">
        <f t="shared" si="39"/>
        <v>89.17</v>
      </c>
      <c r="U93" s="442">
        <f t="shared" si="37"/>
        <v>17.829999999999998</v>
      </c>
      <c r="V93" s="442">
        <f t="shared" si="38"/>
        <v>107</v>
      </c>
      <c r="W93" s="442">
        <v>91</v>
      </c>
      <c r="X93" s="78">
        <f t="shared" si="0"/>
        <v>17.582417582417591</v>
      </c>
    </row>
    <row r="94" spans="1:24" ht="29.25" hidden="1" customHeight="1" x14ac:dyDescent="0.25">
      <c r="A94" s="446" t="s">
        <v>441</v>
      </c>
      <c r="B94" s="446" t="s">
        <v>185</v>
      </c>
      <c r="C94" s="446"/>
      <c r="D94" s="446"/>
      <c r="E94" s="444" t="s">
        <v>38</v>
      </c>
      <c r="F94" s="443" t="s">
        <v>186</v>
      </c>
      <c r="G94" s="454" t="s">
        <v>161</v>
      </c>
      <c r="H94" s="443">
        <f>VLOOKUP(G94,'условия, ФОТ'!$A$14:$I$32,9, FALSE)</f>
        <v>111.79</v>
      </c>
      <c r="I94" s="457">
        <v>0.15</v>
      </c>
      <c r="J94" s="443">
        <f t="shared" si="31"/>
        <v>16.77</v>
      </c>
      <c r="K94" s="443">
        <f t="shared" si="35"/>
        <v>5.0599999999999996</v>
      </c>
      <c r="L94" s="443">
        <f t="shared" si="29"/>
        <v>21.83</v>
      </c>
      <c r="M94" s="456"/>
      <c r="N94" s="443"/>
      <c r="O94" s="443"/>
      <c r="P94" s="443"/>
      <c r="Q94" s="443"/>
      <c r="R94" s="443">
        <f t="shared" si="33"/>
        <v>21.83</v>
      </c>
      <c r="S94" s="443">
        <f t="shared" si="36"/>
        <v>26.65</v>
      </c>
      <c r="T94" s="442">
        <f t="shared" si="39"/>
        <v>53.33</v>
      </c>
      <c r="U94" s="442">
        <f t="shared" si="37"/>
        <v>10.67</v>
      </c>
      <c r="V94" s="442">
        <f t="shared" si="38"/>
        <v>64</v>
      </c>
      <c r="W94" s="442">
        <v>55</v>
      </c>
      <c r="X94" s="78">
        <f t="shared" si="0"/>
        <v>16.36363636363636</v>
      </c>
    </row>
    <row r="95" spans="1:24" ht="32.25" hidden="1" customHeight="1" x14ac:dyDescent="0.25">
      <c r="A95" s="446" t="s">
        <v>442</v>
      </c>
      <c r="B95" s="446" t="s">
        <v>187</v>
      </c>
      <c r="C95" s="446"/>
      <c r="D95" s="446"/>
      <c r="E95" s="444" t="s">
        <v>39</v>
      </c>
      <c r="F95" s="443" t="s">
        <v>188</v>
      </c>
      <c r="G95" s="454" t="s">
        <v>161</v>
      </c>
      <c r="H95" s="443">
        <f>VLOOKUP(G95,'условия, ФОТ'!$A$14:$I$32,9, FALSE)</f>
        <v>111.79</v>
      </c>
      <c r="I95" s="457">
        <v>1.24</v>
      </c>
      <c r="J95" s="443">
        <f t="shared" si="31"/>
        <v>138.62</v>
      </c>
      <c r="K95" s="443">
        <f t="shared" si="35"/>
        <v>41.86</v>
      </c>
      <c r="L95" s="443">
        <f t="shared" si="29"/>
        <v>180.48000000000002</v>
      </c>
      <c r="M95" s="456"/>
      <c r="N95" s="443"/>
      <c r="O95" s="443"/>
      <c r="P95" s="443"/>
      <c r="Q95" s="443"/>
      <c r="R95" s="443">
        <f t="shared" si="33"/>
        <v>180.48000000000002</v>
      </c>
      <c r="S95" s="443">
        <f t="shared" si="36"/>
        <v>220.37</v>
      </c>
      <c r="T95" s="442">
        <f t="shared" si="39"/>
        <v>440.83</v>
      </c>
      <c r="U95" s="442">
        <f t="shared" si="37"/>
        <v>88.17</v>
      </c>
      <c r="V95" s="442">
        <f t="shared" si="38"/>
        <v>529</v>
      </c>
      <c r="W95" s="442">
        <v>453</v>
      </c>
      <c r="X95" s="78">
        <f t="shared" si="0"/>
        <v>16.777041942604853</v>
      </c>
    </row>
    <row r="96" spans="1:24" ht="30.75" hidden="1" customHeight="1" x14ac:dyDescent="0.25">
      <c r="A96" s="446" t="s">
        <v>443</v>
      </c>
      <c r="B96" s="446" t="s">
        <v>189</v>
      </c>
      <c r="C96" s="446"/>
      <c r="D96" s="446"/>
      <c r="E96" s="444" t="s">
        <v>40</v>
      </c>
      <c r="F96" s="443" t="s">
        <v>190</v>
      </c>
      <c r="G96" s="454" t="s">
        <v>161</v>
      </c>
      <c r="H96" s="443">
        <f>VLOOKUP(G96,'условия, ФОТ'!$A$14:$I$32,9, FALSE)</f>
        <v>111.79</v>
      </c>
      <c r="I96" s="457">
        <v>0.81</v>
      </c>
      <c r="J96" s="443">
        <f t="shared" si="31"/>
        <v>90.55</v>
      </c>
      <c r="K96" s="443">
        <f t="shared" si="35"/>
        <v>27.35</v>
      </c>
      <c r="L96" s="443">
        <f t="shared" si="29"/>
        <v>117.9</v>
      </c>
      <c r="M96" s="456"/>
      <c r="N96" s="443"/>
      <c r="O96" s="443"/>
      <c r="P96" s="443"/>
      <c r="Q96" s="443"/>
      <c r="R96" s="443">
        <f t="shared" si="33"/>
        <v>117.9</v>
      </c>
      <c r="S96" s="443">
        <f t="shared" si="36"/>
        <v>143.96</v>
      </c>
      <c r="T96" s="442">
        <f t="shared" si="39"/>
        <v>288.33</v>
      </c>
      <c r="U96" s="442">
        <f t="shared" si="37"/>
        <v>57.67</v>
      </c>
      <c r="V96" s="442">
        <f t="shared" si="38"/>
        <v>346</v>
      </c>
      <c r="W96" s="442">
        <v>296</v>
      </c>
      <c r="X96" s="78">
        <f t="shared" si="0"/>
        <v>16.891891891891888</v>
      </c>
    </row>
    <row r="97" spans="1:24" hidden="1" x14ac:dyDescent="0.25">
      <c r="A97" s="446" t="s">
        <v>444</v>
      </c>
      <c r="B97" s="446" t="s">
        <v>191</v>
      </c>
      <c r="C97" s="446"/>
      <c r="D97" s="446"/>
      <c r="E97" s="444" t="s">
        <v>41</v>
      </c>
      <c r="F97" s="443" t="s">
        <v>192</v>
      </c>
      <c r="G97" s="454" t="s">
        <v>161</v>
      </c>
      <c r="H97" s="443">
        <f>VLOOKUP(G97,'условия, ФОТ'!$A$14:$I$32,9, FALSE)</f>
        <v>111.79</v>
      </c>
      <c r="I97" s="457">
        <v>0.69</v>
      </c>
      <c r="J97" s="443">
        <f t="shared" si="31"/>
        <v>77.14</v>
      </c>
      <c r="K97" s="443">
        <f t="shared" si="35"/>
        <v>23.3</v>
      </c>
      <c r="L97" s="443">
        <f t="shared" si="29"/>
        <v>100.44</v>
      </c>
      <c r="M97" s="456"/>
      <c r="N97" s="443"/>
      <c r="O97" s="443"/>
      <c r="P97" s="443"/>
      <c r="Q97" s="443"/>
      <c r="R97" s="443">
        <f t="shared" si="33"/>
        <v>100.44</v>
      </c>
      <c r="S97" s="443">
        <f t="shared" si="36"/>
        <v>122.64</v>
      </c>
      <c r="T97" s="442">
        <f t="shared" si="39"/>
        <v>245</v>
      </c>
      <c r="U97" s="442">
        <f t="shared" si="37"/>
        <v>49</v>
      </c>
      <c r="V97" s="442">
        <f t="shared" si="38"/>
        <v>294</v>
      </c>
      <c r="W97" s="442">
        <v>252</v>
      </c>
      <c r="X97" s="78">
        <f t="shared" si="0"/>
        <v>16.666666666666671</v>
      </c>
    </row>
    <row r="98" spans="1:24" hidden="1" x14ac:dyDescent="0.25">
      <c r="A98" s="446" t="s">
        <v>445</v>
      </c>
      <c r="B98" s="446" t="s">
        <v>193</v>
      </c>
      <c r="C98" s="446"/>
      <c r="D98" s="446"/>
      <c r="E98" s="444" t="s">
        <v>42</v>
      </c>
      <c r="F98" s="443" t="s">
        <v>194</v>
      </c>
      <c r="G98" s="454" t="s">
        <v>161</v>
      </c>
      <c r="H98" s="443">
        <f>VLOOKUP(G98,'условия, ФОТ'!$A$14:$I$32,9, FALSE)</f>
        <v>111.79</v>
      </c>
      <c r="I98" s="457">
        <v>0.43</v>
      </c>
      <c r="J98" s="443">
        <f t="shared" si="31"/>
        <v>48.07</v>
      </c>
      <c r="K98" s="443">
        <f t="shared" si="35"/>
        <v>14.52</v>
      </c>
      <c r="L98" s="443">
        <f t="shared" si="29"/>
        <v>62.59</v>
      </c>
      <c r="M98" s="456"/>
      <c r="N98" s="443"/>
      <c r="O98" s="443"/>
      <c r="P98" s="443"/>
      <c r="Q98" s="443"/>
      <c r="R98" s="443">
        <f t="shared" si="33"/>
        <v>62.59</v>
      </c>
      <c r="S98" s="443">
        <f t="shared" si="36"/>
        <v>76.42</v>
      </c>
      <c r="T98" s="442">
        <f t="shared" si="39"/>
        <v>152.5</v>
      </c>
      <c r="U98" s="442">
        <f t="shared" si="37"/>
        <v>30.5</v>
      </c>
      <c r="V98" s="442">
        <f t="shared" si="38"/>
        <v>183</v>
      </c>
      <c r="W98" s="442">
        <v>157</v>
      </c>
      <c r="X98" s="78">
        <f t="shared" si="0"/>
        <v>16.560509554140125</v>
      </c>
    </row>
    <row r="99" spans="1:24" hidden="1" x14ac:dyDescent="0.25">
      <c r="A99" s="446" t="s">
        <v>446</v>
      </c>
      <c r="B99" s="446" t="s">
        <v>195</v>
      </c>
      <c r="C99" s="446"/>
      <c r="D99" s="446"/>
      <c r="E99" s="444" t="s">
        <v>43</v>
      </c>
      <c r="F99" s="443" t="s">
        <v>190</v>
      </c>
      <c r="G99" s="454" t="s">
        <v>161</v>
      </c>
      <c r="H99" s="443">
        <f>VLOOKUP(G99,'условия, ФОТ'!$A$14:$I$32,9, FALSE)</f>
        <v>111.79</v>
      </c>
      <c r="I99" s="457">
        <v>0.3</v>
      </c>
      <c r="J99" s="443">
        <f t="shared" si="31"/>
        <v>33.54</v>
      </c>
      <c r="K99" s="443">
        <f t="shared" si="35"/>
        <v>10.130000000000001</v>
      </c>
      <c r="L99" s="443">
        <f t="shared" si="29"/>
        <v>43.67</v>
      </c>
      <c r="M99" s="456"/>
      <c r="N99" s="443"/>
      <c r="O99" s="443"/>
      <c r="P99" s="443"/>
      <c r="Q99" s="443"/>
      <c r="R99" s="443">
        <f t="shared" si="33"/>
        <v>43.67</v>
      </c>
      <c r="S99" s="443">
        <f t="shared" si="36"/>
        <v>53.32</v>
      </c>
      <c r="T99" s="442">
        <f t="shared" si="39"/>
        <v>106.67</v>
      </c>
      <c r="U99" s="442">
        <f t="shared" si="37"/>
        <v>21.33</v>
      </c>
      <c r="V99" s="442">
        <f t="shared" si="38"/>
        <v>128</v>
      </c>
      <c r="W99" s="442">
        <v>110</v>
      </c>
      <c r="X99" s="78">
        <f t="shared" si="0"/>
        <v>16.36363636363636</v>
      </c>
    </row>
    <row r="100" spans="1:24" hidden="1" x14ac:dyDescent="0.25">
      <c r="A100" s="446" t="s">
        <v>447</v>
      </c>
      <c r="B100" s="446" t="s">
        <v>196</v>
      </c>
      <c r="C100" s="446"/>
      <c r="D100" s="446"/>
      <c r="E100" s="444" t="s">
        <v>44</v>
      </c>
      <c r="F100" s="443" t="s">
        <v>190</v>
      </c>
      <c r="G100" s="454" t="s">
        <v>161</v>
      </c>
      <c r="H100" s="443">
        <f>VLOOKUP(G100,'условия, ФОТ'!$A$14:$I$32,9, FALSE)</f>
        <v>111.79</v>
      </c>
      <c r="I100" s="457">
        <v>0.4</v>
      </c>
      <c r="J100" s="443">
        <f t="shared" si="31"/>
        <v>44.72</v>
      </c>
      <c r="K100" s="443">
        <f t="shared" si="35"/>
        <v>13.51</v>
      </c>
      <c r="L100" s="443">
        <f t="shared" si="29"/>
        <v>58.23</v>
      </c>
      <c r="M100" s="456"/>
      <c r="N100" s="443"/>
      <c r="O100" s="443"/>
      <c r="P100" s="443"/>
      <c r="Q100" s="443"/>
      <c r="R100" s="443">
        <f t="shared" si="33"/>
        <v>58.23</v>
      </c>
      <c r="S100" s="443">
        <f t="shared" si="36"/>
        <v>71.099999999999994</v>
      </c>
      <c r="T100" s="442">
        <f t="shared" si="39"/>
        <v>142.5</v>
      </c>
      <c r="U100" s="442">
        <f t="shared" si="37"/>
        <v>28.5</v>
      </c>
      <c r="V100" s="442">
        <f t="shared" si="38"/>
        <v>171</v>
      </c>
      <c r="W100" s="442">
        <v>146</v>
      </c>
      <c r="X100" s="78">
        <f t="shared" si="0"/>
        <v>17.123287671232873</v>
      </c>
    </row>
    <row r="101" spans="1:24" hidden="1" x14ac:dyDescent="0.25">
      <c r="A101" s="446" t="s">
        <v>448</v>
      </c>
      <c r="B101" s="446" t="s">
        <v>197</v>
      </c>
      <c r="C101" s="446"/>
      <c r="D101" s="446"/>
      <c r="E101" s="444" t="s">
        <v>45</v>
      </c>
      <c r="F101" s="443" t="s">
        <v>198</v>
      </c>
      <c r="G101" s="454" t="s">
        <v>161</v>
      </c>
      <c r="H101" s="443">
        <f>VLOOKUP(G101,'условия, ФОТ'!$A$14:$I$32,9, FALSE)</f>
        <v>111.79</v>
      </c>
      <c r="I101" s="457">
        <v>0.6</v>
      </c>
      <c r="J101" s="443">
        <f t="shared" si="31"/>
        <v>67.069999999999993</v>
      </c>
      <c r="K101" s="443">
        <f t="shared" si="35"/>
        <v>20.260000000000002</v>
      </c>
      <c r="L101" s="443">
        <f t="shared" si="29"/>
        <v>87.33</v>
      </c>
      <c r="M101" s="456"/>
      <c r="N101" s="443"/>
      <c r="O101" s="443"/>
      <c r="P101" s="443"/>
      <c r="Q101" s="443"/>
      <c r="R101" s="443">
        <f t="shared" si="33"/>
        <v>87.33</v>
      </c>
      <c r="S101" s="443">
        <f t="shared" si="36"/>
        <v>106.63</v>
      </c>
      <c r="T101" s="442">
        <f t="shared" si="39"/>
        <v>213.33</v>
      </c>
      <c r="U101" s="442">
        <f t="shared" si="37"/>
        <v>42.67</v>
      </c>
      <c r="V101" s="442">
        <f t="shared" si="38"/>
        <v>256</v>
      </c>
      <c r="W101" s="442">
        <v>219</v>
      </c>
      <c r="X101" s="78">
        <f t="shared" si="0"/>
        <v>16.894977168949765</v>
      </c>
    </row>
    <row r="102" spans="1:24" ht="30.75" hidden="1" customHeight="1" x14ac:dyDescent="0.25">
      <c r="A102" s="446" t="s">
        <v>449</v>
      </c>
      <c r="B102" s="446" t="s">
        <v>199</v>
      </c>
      <c r="C102" s="446"/>
      <c r="D102" s="446"/>
      <c r="E102" s="444" t="s">
        <v>46</v>
      </c>
      <c r="F102" s="443" t="s">
        <v>198</v>
      </c>
      <c r="G102" s="454" t="s">
        <v>161</v>
      </c>
      <c r="H102" s="443">
        <f>VLOOKUP(G102,'условия, ФОТ'!$A$14:$I$32,9, FALSE)</f>
        <v>111.79</v>
      </c>
      <c r="I102" s="457">
        <v>0.9</v>
      </c>
      <c r="J102" s="443">
        <f t="shared" si="31"/>
        <v>100.61</v>
      </c>
      <c r="K102" s="443">
        <f t="shared" si="35"/>
        <v>30.38</v>
      </c>
      <c r="L102" s="443">
        <f t="shared" si="29"/>
        <v>130.99</v>
      </c>
      <c r="M102" s="456"/>
      <c r="N102" s="443"/>
      <c r="O102" s="443"/>
      <c r="P102" s="443"/>
      <c r="Q102" s="443"/>
      <c r="R102" s="443">
        <f t="shared" si="33"/>
        <v>130.99</v>
      </c>
      <c r="S102" s="443">
        <f t="shared" si="36"/>
        <v>159.94</v>
      </c>
      <c r="T102" s="442">
        <f t="shared" si="39"/>
        <v>320</v>
      </c>
      <c r="U102" s="442">
        <f t="shared" si="37"/>
        <v>64</v>
      </c>
      <c r="V102" s="442">
        <f t="shared" si="38"/>
        <v>384</v>
      </c>
      <c r="W102" s="442">
        <v>329</v>
      </c>
      <c r="X102" s="78">
        <f t="shared" si="0"/>
        <v>16.717325227963514</v>
      </c>
    </row>
    <row r="103" spans="1:24" hidden="1" x14ac:dyDescent="0.25">
      <c r="A103" s="446" t="s">
        <v>450</v>
      </c>
      <c r="B103" s="446" t="s">
        <v>200</v>
      </c>
      <c r="C103" s="446"/>
      <c r="D103" s="446"/>
      <c r="E103" s="444" t="s">
        <v>47</v>
      </c>
      <c r="F103" s="443" t="s">
        <v>26</v>
      </c>
      <c r="G103" s="454" t="s">
        <v>161</v>
      </c>
      <c r="H103" s="443">
        <f>VLOOKUP(G103,'условия, ФОТ'!$A$14:$I$32,9, FALSE)</f>
        <v>111.79</v>
      </c>
      <c r="I103" s="457">
        <v>0.82</v>
      </c>
      <c r="J103" s="443">
        <f t="shared" si="31"/>
        <v>91.67</v>
      </c>
      <c r="K103" s="443">
        <f t="shared" si="35"/>
        <v>27.68</v>
      </c>
      <c r="L103" s="443">
        <f t="shared" si="29"/>
        <v>119.35</v>
      </c>
      <c r="M103" s="456"/>
      <c r="N103" s="443"/>
      <c r="O103" s="443"/>
      <c r="P103" s="443"/>
      <c r="Q103" s="443"/>
      <c r="R103" s="443">
        <f t="shared" si="33"/>
        <v>119.35</v>
      </c>
      <c r="S103" s="443">
        <f t="shared" si="36"/>
        <v>145.72999999999999</v>
      </c>
      <c r="T103" s="442">
        <f t="shared" si="39"/>
        <v>291.67</v>
      </c>
      <c r="U103" s="442">
        <f t="shared" si="37"/>
        <v>58.33</v>
      </c>
      <c r="V103" s="442">
        <f t="shared" si="38"/>
        <v>350</v>
      </c>
      <c r="W103" s="442">
        <v>300</v>
      </c>
      <c r="X103" s="78">
        <f t="shared" si="0"/>
        <v>16.666666666666671</v>
      </c>
    </row>
    <row r="104" spans="1:24" ht="25.5" hidden="1" x14ac:dyDescent="0.25">
      <c r="A104" s="446" t="s">
        <v>451</v>
      </c>
      <c r="B104" s="446" t="s">
        <v>201</v>
      </c>
      <c r="C104" s="446"/>
      <c r="D104" s="446"/>
      <c r="E104" s="444" t="s">
        <v>48</v>
      </c>
      <c r="F104" s="443" t="s">
        <v>190</v>
      </c>
      <c r="G104" s="454" t="s">
        <v>161</v>
      </c>
      <c r="H104" s="443">
        <f>VLOOKUP(G104,'условия, ФОТ'!$A$14:$I$32,9, FALSE)</f>
        <v>111.79</v>
      </c>
      <c r="I104" s="457">
        <v>0.5</v>
      </c>
      <c r="J104" s="443">
        <f t="shared" si="31"/>
        <v>55.9</v>
      </c>
      <c r="K104" s="443">
        <f t="shared" si="35"/>
        <v>16.88</v>
      </c>
      <c r="L104" s="443">
        <f t="shared" si="29"/>
        <v>72.78</v>
      </c>
      <c r="M104" s="456"/>
      <c r="N104" s="443"/>
      <c r="O104" s="443"/>
      <c r="P104" s="443"/>
      <c r="Q104" s="443"/>
      <c r="R104" s="443">
        <f t="shared" si="33"/>
        <v>72.78</v>
      </c>
      <c r="S104" s="443">
        <f t="shared" si="36"/>
        <v>88.86</v>
      </c>
      <c r="T104" s="442">
        <f t="shared" si="39"/>
        <v>177.5</v>
      </c>
      <c r="U104" s="442">
        <f t="shared" si="37"/>
        <v>35.5</v>
      </c>
      <c r="V104" s="442">
        <f t="shared" si="38"/>
        <v>213</v>
      </c>
      <c r="W104" s="442">
        <v>183</v>
      </c>
      <c r="X104" s="78">
        <f t="shared" si="0"/>
        <v>16.393442622950815</v>
      </c>
    </row>
    <row r="105" spans="1:24" ht="25.5" hidden="1" x14ac:dyDescent="0.25">
      <c r="A105" s="446" t="s">
        <v>452</v>
      </c>
      <c r="B105" s="446" t="s">
        <v>202</v>
      </c>
      <c r="C105" s="446"/>
      <c r="D105" s="446"/>
      <c r="E105" s="444" t="s">
        <v>49</v>
      </c>
      <c r="F105" s="443" t="s">
        <v>190</v>
      </c>
      <c r="G105" s="454" t="s">
        <v>161</v>
      </c>
      <c r="H105" s="443">
        <f>VLOOKUP(G105,'условия, ФОТ'!$A$14:$I$32,9, FALSE)</f>
        <v>111.79</v>
      </c>
      <c r="I105" s="457">
        <v>1</v>
      </c>
      <c r="J105" s="443">
        <f t="shared" si="31"/>
        <v>111.79</v>
      </c>
      <c r="K105" s="443">
        <f t="shared" si="35"/>
        <v>33.76</v>
      </c>
      <c r="L105" s="443">
        <f t="shared" si="29"/>
        <v>145.55000000000001</v>
      </c>
      <c r="M105" s="456"/>
      <c r="N105" s="443"/>
      <c r="O105" s="443"/>
      <c r="P105" s="443"/>
      <c r="Q105" s="443"/>
      <c r="R105" s="443">
        <f t="shared" si="33"/>
        <v>145.55000000000001</v>
      </c>
      <c r="S105" s="443">
        <f t="shared" si="36"/>
        <v>177.72</v>
      </c>
      <c r="T105" s="442">
        <f t="shared" si="39"/>
        <v>355.83</v>
      </c>
      <c r="U105" s="442">
        <f t="shared" si="37"/>
        <v>71.17</v>
      </c>
      <c r="V105" s="442">
        <f t="shared" si="38"/>
        <v>427</v>
      </c>
      <c r="W105" s="442">
        <v>365</v>
      </c>
      <c r="X105" s="78">
        <f t="shared" si="0"/>
        <v>16.986301369863014</v>
      </c>
    </row>
    <row r="106" spans="1:24" ht="18" hidden="1" customHeight="1" x14ac:dyDescent="0.25">
      <c r="A106" s="446" t="s">
        <v>453</v>
      </c>
      <c r="B106" s="446" t="s">
        <v>203</v>
      </c>
      <c r="C106" s="446"/>
      <c r="D106" s="446"/>
      <c r="E106" s="444" t="s">
        <v>50</v>
      </c>
      <c r="F106" s="443" t="s">
        <v>190</v>
      </c>
      <c r="G106" s="454" t="s">
        <v>161</v>
      </c>
      <c r="H106" s="443">
        <f>VLOOKUP(G106,'условия, ФОТ'!$A$14:$I$32,9, FALSE)</f>
        <v>111.79</v>
      </c>
      <c r="I106" s="457">
        <v>0.1</v>
      </c>
      <c r="J106" s="443">
        <f t="shared" si="31"/>
        <v>11.18</v>
      </c>
      <c r="K106" s="443">
        <f t="shared" si="35"/>
        <v>3.38</v>
      </c>
      <c r="L106" s="443">
        <f t="shared" si="29"/>
        <v>14.559999999999999</v>
      </c>
      <c r="M106" s="456"/>
      <c r="N106" s="443"/>
      <c r="O106" s="443"/>
      <c r="P106" s="443"/>
      <c r="Q106" s="443"/>
      <c r="R106" s="443">
        <f t="shared" si="33"/>
        <v>14.559999999999999</v>
      </c>
      <c r="S106" s="443">
        <f t="shared" si="36"/>
        <v>17.78</v>
      </c>
      <c r="T106" s="442">
        <f t="shared" si="39"/>
        <v>35.83</v>
      </c>
      <c r="U106" s="442">
        <f t="shared" si="37"/>
        <v>7.17</v>
      </c>
      <c r="V106" s="442">
        <f t="shared" si="38"/>
        <v>43</v>
      </c>
      <c r="W106" s="442">
        <v>37</v>
      </c>
      <c r="X106" s="78">
        <f t="shared" si="0"/>
        <v>16.21621621621621</v>
      </c>
    </row>
    <row r="107" spans="1:24" ht="25.5" hidden="1" x14ac:dyDescent="0.25">
      <c r="A107" s="446" t="s">
        <v>454</v>
      </c>
      <c r="B107" s="446" t="s">
        <v>205</v>
      </c>
      <c r="C107" s="446"/>
      <c r="D107" s="446"/>
      <c r="E107" s="444" t="s">
        <v>362</v>
      </c>
      <c r="F107" s="443" t="s">
        <v>204</v>
      </c>
      <c r="G107" s="454" t="s">
        <v>161</v>
      </c>
      <c r="H107" s="443">
        <f>VLOOKUP(G107,'условия, ФОТ'!$A$14:$I$32,9, FALSE)</f>
        <v>111.79</v>
      </c>
      <c r="I107" s="457">
        <v>0.5</v>
      </c>
      <c r="J107" s="443">
        <f t="shared" si="31"/>
        <v>55.9</v>
      </c>
      <c r="K107" s="443">
        <f t="shared" si="35"/>
        <v>16.88</v>
      </c>
      <c r="L107" s="443">
        <f t="shared" si="29"/>
        <v>72.78</v>
      </c>
      <c r="M107" s="456"/>
      <c r="N107" s="443"/>
      <c r="O107" s="443"/>
      <c r="P107" s="443"/>
      <c r="Q107" s="443">
        <f>SUM(Q108:Q110)</f>
        <v>4.03</v>
      </c>
      <c r="R107" s="443">
        <f>L107+Q107</f>
        <v>76.81</v>
      </c>
      <c r="S107" s="443">
        <f t="shared" si="36"/>
        <v>93.79</v>
      </c>
      <c r="T107" s="442">
        <f t="shared" si="39"/>
        <v>187.5</v>
      </c>
      <c r="U107" s="442">
        <f t="shared" si="37"/>
        <v>37.5</v>
      </c>
      <c r="V107" s="442">
        <f t="shared" si="38"/>
        <v>225</v>
      </c>
      <c r="W107" s="442">
        <v>193</v>
      </c>
      <c r="X107" s="78">
        <f t="shared" si="0"/>
        <v>16.580310880829003</v>
      </c>
    </row>
    <row r="108" spans="1:24" ht="23.25" hidden="1" customHeight="1" outlineLevel="1" x14ac:dyDescent="0.25">
      <c r="A108" s="446"/>
      <c r="B108" s="446"/>
      <c r="C108" s="446"/>
      <c r="D108" s="446"/>
      <c r="E108" s="444"/>
      <c r="F108" s="443"/>
      <c r="G108" s="454"/>
      <c r="H108" s="443"/>
      <c r="I108" s="457"/>
      <c r="J108" s="443"/>
      <c r="K108" s="443"/>
      <c r="L108" s="96" t="s">
        <v>366</v>
      </c>
      <c r="M108" s="104" t="s">
        <v>335</v>
      </c>
      <c r="N108" s="98" t="str">
        <f>VLOOKUP(M108,материалы!$A$5:$G$31,5, FALSE)</f>
        <v>кг</v>
      </c>
      <c r="O108" s="443">
        <f>VLOOKUP(M108,материалы!$A$5:$G$31,7, FALSE)</f>
        <v>712.76</v>
      </c>
      <c r="P108" s="443">
        <v>5.0000000000000001E-3</v>
      </c>
      <c r="Q108" s="443">
        <f t="shared" ref="Q108:Q110" si="40">ROUND(O108*P108,2)</f>
        <v>3.56</v>
      </c>
      <c r="R108" s="443"/>
      <c r="S108" s="443"/>
      <c r="T108" s="442"/>
      <c r="U108" s="442"/>
      <c r="V108" s="442"/>
      <c r="W108" s="442"/>
      <c r="X108" s="78"/>
    </row>
    <row r="109" spans="1:24" ht="16.5" hidden="1" customHeight="1" outlineLevel="1" x14ac:dyDescent="0.25">
      <c r="A109" s="446"/>
      <c r="B109" s="446"/>
      <c r="C109" s="446"/>
      <c r="D109" s="446"/>
      <c r="E109" s="444"/>
      <c r="F109" s="443"/>
      <c r="G109" s="454"/>
      <c r="H109" s="443"/>
      <c r="I109" s="457"/>
      <c r="J109" s="443"/>
      <c r="K109" s="443"/>
      <c r="L109" s="443"/>
      <c r="M109" s="97" t="s">
        <v>329</v>
      </c>
      <c r="N109" s="98" t="str">
        <f>VLOOKUP(M109,материалы!$A$5:$G$31,5, FALSE)</f>
        <v>кг</v>
      </c>
      <c r="O109" s="443">
        <f>VLOOKUP(M109,материалы!$A$5:$G$31,7, FALSE)</f>
        <v>65.599999999999994</v>
      </c>
      <c r="P109" s="443">
        <v>1E-3</v>
      </c>
      <c r="Q109" s="443">
        <f t="shared" si="40"/>
        <v>7.0000000000000007E-2</v>
      </c>
      <c r="R109" s="443"/>
      <c r="S109" s="443"/>
      <c r="T109" s="442"/>
      <c r="U109" s="442"/>
      <c r="V109" s="442"/>
      <c r="W109" s="442"/>
      <c r="X109" s="78"/>
    </row>
    <row r="110" spans="1:24" ht="15.75" hidden="1" customHeight="1" outlineLevel="1" x14ac:dyDescent="0.25">
      <c r="A110" s="446"/>
      <c r="B110" s="446"/>
      <c r="C110" s="446"/>
      <c r="D110" s="446"/>
      <c r="E110" s="444"/>
      <c r="F110" s="443"/>
      <c r="G110" s="454"/>
      <c r="H110" s="443"/>
      <c r="I110" s="457"/>
      <c r="J110" s="443"/>
      <c r="K110" s="443"/>
      <c r="L110" s="443"/>
      <c r="M110" s="97" t="s">
        <v>330</v>
      </c>
      <c r="N110" s="98" t="str">
        <f>VLOOKUP(M110,материалы!$A$5:$G$31,5, FALSE)</f>
        <v>кг</v>
      </c>
      <c r="O110" s="443">
        <f>VLOOKUP(M110,материалы!$A$5:$G$31,7, FALSE)</f>
        <v>39.82</v>
      </c>
      <c r="P110" s="443">
        <v>0.01</v>
      </c>
      <c r="Q110" s="443">
        <f t="shared" si="40"/>
        <v>0.4</v>
      </c>
      <c r="R110" s="443"/>
      <c r="S110" s="443"/>
      <c r="T110" s="442"/>
      <c r="U110" s="442"/>
      <c r="V110" s="442"/>
      <c r="W110" s="442"/>
      <c r="X110" s="78"/>
    </row>
    <row r="111" spans="1:24" ht="31.7" hidden="1" customHeight="1" x14ac:dyDescent="0.25">
      <c r="A111" s="446" t="s">
        <v>455</v>
      </c>
      <c r="B111" s="446" t="s">
        <v>206</v>
      </c>
      <c r="C111" s="446"/>
      <c r="D111" s="446"/>
      <c r="E111" s="444" t="s">
        <v>51</v>
      </c>
      <c r="F111" s="443" t="s">
        <v>198</v>
      </c>
      <c r="G111" s="454" t="s">
        <v>161</v>
      </c>
      <c r="H111" s="443">
        <f>VLOOKUP(G111,'условия, ФОТ'!$A$14:$I$32,9, FALSE)</f>
        <v>111.79</v>
      </c>
      <c r="I111" s="457">
        <v>0.5</v>
      </c>
      <c r="J111" s="443">
        <f t="shared" si="31"/>
        <v>55.9</v>
      </c>
      <c r="K111" s="443">
        <f t="shared" ref="K111:K119" si="41">ROUND(J111*$K$7,2)</f>
        <v>16.88</v>
      </c>
      <c r="L111" s="443">
        <f t="shared" si="29"/>
        <v>72.78</v>
      </c>
      <c r="M111" s="456"/>
      <c r="N111" s="443"/>
      <c r="O111" s="443"/>
      <c r="P111" s="443"/>
      <c r="Q111" s="443"/>
      <c r="R111" s="443">
        <f t="shared" si="33"/>
        <v>72.78</v>
      </c>
      <c r="S111" s="443">
        <f t="shared" ref="S111:S119" si="42">ROUND(R111*$S$7,2)</f>
        <v>88.86</v>
      </c>
      <c r="T111" s="442">
        <f>ROUND(V111/1.2,2)</f>
        <v>177.5</v>
      </c>
      <c r="U111" s="442">
        <f t="shared" ref="U111:U119" si="43">ROUND(T111*$U$7,2)</f>
        <v>35.5</v>
      </c>
      <c r="V111" s="442">
        <f t="shared" ref="V111:V119" si="44">ROUND((R111+S111)*(1+$T$7)*1.2,0)</f>
        <v>213</v>
      </c>
      <c r="W111" s="442">
        <v>183</v>
      </c>
      <c r="X111" s="78">
        <f t="shared" si="0"/>
        <v>16.393442622950815</v>
      </c>
    </row>
    <row r="112" spans="1:24" ht="23.25" hidden="1" customHeight="1" x14ac:dyDescent="0.25">
      <c r="A112" s="446" t="s">
        <v>456</v>
      </c>
      <c r="B112" s="446" t="s">
        <v>207</v>
      </c>
      <c r="C112" s="446"/>
      <c r="D112" s="446"/>
      <c r="E112" s="444" t="s">
        <v>52</v>
      </c>
      <c r="F112" s="443" t="s">
        <v>180</v>
      </c>
      <c r="G112" s="454" t="s">
        <v>161</v>
      </c>
      <c r="H112" s="443">
        <f>VLOOKUP(G112,'условия, ФОТ'!$A$14:$I$32,9, FALSE)</f>
        <v>111.79</v>
      </c>
      <c r="I112" s="457">
        <v>0.3</v>
      </c>
      <c r="J112" s="443">
        <f t="shared" si="31"/>
        <v>33.54</v>
      </c>
      <c r="K112" s="443">
        <f t="shared" si="41"/>
        <v>10.130000000000001</v>
      </c>
      <c r="L112" s="443">
        <f t="shared" si="29"/>
        <v>43.67</v>
      </c>
      <c r="M112" s="456"/>
      <c r="N112" s="443"/>
      <c r="O112" s="443"/>
      <c r="P112" s="443"/>
      <c r="Q112" s="443"/>
      <c r="R112" s="443">
        <f t="shared" si="33"/>
        <v>43.67</v>
      </c>
      <c r="S112" s="443">
        <f t="shared" si="42"/>
        <v>53.32</v>
      </c>
      <c r="T112" s="442">
        <f t="shared" ref="T112:T119" si="45">ROUND(V112/1.2,2)</f>
        <v>106.67</v>
      </c>
      <c r="U112" s="442">
        <f t="shared" si="43"/>
        <v>21.33</v>
      </c>
      <c r="V112" s="442">
        <f t="shared" si="44"/>
        <v>128</v>
      </c>
      <c r="W112" s="442">
        <v>110</v>
      </c>
      <c r="X112" s="78">
        <f t="shared" si="0"/>
        <v>16.36363636363636</v>
      </c>
    </row>
    <row r="113" spans="1:24" ht="28.5" hidden="1" customHeight="1" x14ac:dyDescent="0.25">
      <c r="A113" s="446" t="s">
        <v>457</v>
      </c>
      <c r="B113" s="446" t="s">
        <v>208</v>
      </c>
      <c r="C113" s="446"/>
      <c r="D113" s="446"/>
      <c r="E113" s="444" t="s">
        <v>53</v>
      </c>
      <c r="F113" s="443" t="s">
        <v>209</v>
      </c>
      <c r="G113" s="454" t="s">
        <v>161</v>
      </c>
      <c r="H113" s="443">
        <f>VLOOKUP(G113,'условия, ФОТ'!$A$14:$I$32,9, FALSE)</f>
        <v>111.79</v>
      </c>
      <c r="I113" s="457">
        <v>0.67</v>
      </c>
      <c r="J113" s="443">
        <f t="shared" si="31"/>
        <v>74.900000000000006</v>
      </c>
      <c r="K113" s="443">
        <f t="shared" si="41"/>
        <v>22.62</v>
      </c>
      <c r="L113" s="443">
        <f t="shared" si="29"/>
        <v>97.52000000000001</v>
      </c>
      <c r="M113" s="456"/>
      <c r="N113" s="443"/>
      <c r="O113" s="443"/>
      <c r="P113" s="443"/>
      <c r="Q113" s="443"/>
      <c r="R113" s="443">
        <f t="shared" si="33"/>
        <v>97.52000000000001</v>
      </c>
      <c r="S113" s="443">
        <f t="shared" si="42"/>
        <v>119.07</v>
      </c>
      <c r="T113" s="442">
        <f t="shared" si="45"/>
        <v>238.33</v>
      </c>
      <c r="U113" s="442">
        <f t="shared" si="43"/>
        <v>47.67</v>
      </c>
      <c r="V113" s="442">
        <f t="shared" si="44"/>
        <v>286</v>
      </c>
      <c r="W113" s="442">
        <v>245</v>
      </c>
      <c r="X113" s="78">
        <f t="shared" si="0"/>
        <v>16.734693877551024</v>
      </c>
    </row>
    <row r="114" spans="1:24" hidden="1" x14ac:dyDescent="0.25">
      <c r="A114" s="446" t="s">
        <v>458</v>
      </c>
      <c r="B114" s="446" t="s">
        <v>210</v>
      </c>
      <c r="C114" s="446"/>
      <c r="D114" s="446"/>
      <c r="E114" s="444" t="s">
        <v>54</v>
      </c>
      <c r="F114" s="443" t="s">
        <v>211</v>
      </c>
      <c r="G114" s="454" t="s">
        <v>161</v>
      </c>
      <c r="H114" s="443">
        <f>VLOOKUP(G114,'условия, ФОТ'!$A$14:$I$32,9, FALSE)</f>
        <v>111.79</v>
      </c>
      <c r="I114" s="457">
        <v>0.17</v>
      </c>
      <c r="J114" s="443">
        <f t="shared" si="31"/>
        <v>19</v>
      </c>
      <c r="K114" s="443">
        <f t="shared" si="41"/>
        <v>5.74</v>
      </c>
      <c r="L114" s="443">
        <f t="shared" si="29"/>
        <v>24.740000000000002</v>
      </c>
      <c r="M114" s="456"/>
      <c r="N114" s="443"/>
      <c r="O114" s="443"/>
      <c r="P114" s="443"/>
      <c r="Q114" s="443"/>
      <c r="R114" s="443">
        <f t="shared" si="33"/>
        <v>24.740000000000002</v>
      </c>
      <c r="S114" s="443">
        <f t="shared" si="42"/>
        <v>30.21</v>
      </c>
      <c r="T114" s="442">
        <f t="shared" si="45"/>
        <v>60.83</v>
      </c>
      <c r="U114" s="442">
        <f t="shared" si="43"/>
        <v>12.17</v>
      </c>
      <c r="V114" s="442">
        <f t="shared" si="44"/>
        <v>73</v>
      </c>
      <c r="W114" s="442">
        <v>62</v>
      </c>
      <c r="X114" s="78">
        <f t="shared" si="0"/>
        <v>17.741935483870975</v>
      </c>
    </row>
    <row r="115" spans="1:24" hidden="1" x14ac:dyDescent="0.25">
      <c r="A115" s="446" t="s">
        <v>459</v>
      </c>
      <c r="B115" s="446" t="s">
        <v>212</v>
      </c>
      <c r="C115" s="446"/>
      <c r="D115" s="446"/>
      <c r="E115" s="444" t="s">
        <v>55</v>
      </c>
      <c r="F115" s="443" t="s">
        <v>198</v>
      </c>
      <c r="G115" s="454" t="s">
        <v>161</v>
      </c>
      <c r="H115" s="443">
        <f>VLOOKUP(G115,'условия, ФОТ'!$A$14:$I$32,9, FALSE)</f>
        <v>111.79</v>
      </c>
      <c r="I115" s="457">
        <v>0.5</v>
      </c>
      <c r="J115" s="443">
        <f t="shared" si="31"/>
        <v>55.9</v>
      </c>
      <c r="K115" s="443">
        <f t="shared" si="41"/>
        <v>16.88</v>
      </c>
      <c r="L115" s="443">
        <f t="shared" si="29"/>
        <v>72.78</v>
      </c>
      <c r="M115" s="456"/>
      <c r="N115" s="443"/>
      <c r="O115" s="443"/>
      <c r="P115" s="443"/>
      <c r="Q115" s="443"/>
      <c r="R115" s="443">
        <f t="shared" si="33"/>
        <v>72.78</v>
      </c>
      <c r="S115" s="443">
        <f t="shared" si="42"/>
        <v>88.86</v>
      </c>
      <c r="T115" s="442">
        <f t="shared" si="45"/>
        <v>177.5</v>
      </c>
      <c r="U115" s="442">
        <f t="shared" si="43"/>
        <v>35.5</v>
      </c>
      <c r="V115" s="442">
        <f t="shared" si="44"/>
        <v>213</v>
      </c>
      <c r="W115" s="442">
        <v>183</v>
      </c>
      <c r="X115" s="78">
        <f t="shared" si="0"/>
        <v>16.393442622950815</v>
      </c>
    </row>
    <row r="116" spans="1:24" hidden="1" x14ac:dyDescent="0.25">
      <c r="A116" s="446" t="s">
        <v>460</v>
      </c>
      <c r="B116" s="446" t="s">
        <v>213</v>
      </c>
      <c r="C116" s="446"/>
      <c r="D116" s="446"/>
      <c r="E116" s="444" t="s">
        <v>56</v>
      </c>
      <c r="F116" s="443" t="s">
        <v>177</v>
      </c>
      <c r="G116" s="454" t="s">
        <v>161</v>
      </c>
      <c r="H116" s="443">
        <f>VLOOKUP(G116,'условия, ФОТ'!$A$14:$I$32,9, FALSE)</f>
        <v>111.79</v>
      </c>
      <c r="I116" s="457">
        <v>0.67</v>
      </c>
      <c r="J116" s="443">
        <f t="shared" si="31"/>
        <v>74.900000000000006</v>
      </c>
      <c r="K116" s="443">
        <f t="shared" si="41"/>
        <v>22.62</v>
      </c>
      <c r="L116" s="443">
        <f t="shared" si="29"/>
        <v>97.52000000000001</v>
      </c>
      <c r="M116" s="456"/>
      <c r="N116" s="443"/>
      <c r="O116" s="443"/>
      <c r="P116" s="443"/>
      <c r="Q116" s="443"/>
      <c r="R116" s="443">
        <f t="shared" si="33"/>
        <v>97.52000000000001</v>
      </c>
      <c r="S116" s="443">
        <f t="shared" si="42"/>
        <v>119.07</v>
      </c>
      <c r="T116" s="442">
        <f t="shared" si="45"/>
        <v>238.33</v>
      </c>
      <c r="U116" s="442">
        <f t="shared" si="43"/>
        <v>47.67</v>
      </c>
      <c r="V116" s="442">
        <f t="shared" si="44"/>
        <v>286</v>
      </c>
      <c r="W116" s="442">
        <v>245</v>
      </c>
      <c r="X116" s="78">
        <f t="shared" si="0"/>
        <v>16.734693877551024</v>
      </c>
    </row>
    <row r="117" spans="1:24" hidden="1" x14ac:dyDescent="0.25">
      <c r="A117" s="446" t="s">
        <v>461</v>
      </c>
      <c r="B117" s="446" t="s">
        <v>214</v>
      </c>
      <c r="C117" s="446"/>
      <c r="D117" s="446"/>
      <c r="E117" s="444" t="s">
        <v>57</v>
      </c>
      <c r="F117" s="443" t="s">
        <v>215</v>
      </c>
      <c r="G117" s="454" t="s">
        <v>161</v>
      </c>
      <c r="H117" s="443">
        <f>VLOOKUP(G117,'условия, ФОТ'!$A$14:$I$32,9, FALSE)</f>
        <v>111.79</v>
      </c>
      <c r="I117" s="457">
        <v>0.3</v>
      </c>
      <c r="J117" s="443">
        <f t="shared" si="31"/>
        <v>33.54</v>
      </c>
      <c r="K117" s="443">
        <f t="shared" si="41"/>
        <v>10.130000000000001</v>
      </c>
      <c r="L117" s="443">
        <f t="shared" si="29"/>
        <v>43.67</v>
      </c>
      <c r="M117" s="456"/>
      <c r="N117" s="443"/>
      <c r="O117" s="443"/>
      <c r="P117" s="443"/>
      <c r="Q117" s="443"/>
      <c r="R117" s="443">
        <f t="shared" si="33"/>
        <v>43.67</v>
      </c>
      <c r="S117" s="443">
        <f t="shared" si="42"/>
        <v>53.32</v>
      </c>
      <c r="T117" s="442">
        <f t="shared" si="45"/>
        <v>106.67</v>
      </c>
      <c r="U117" s="442">
        <f t="shared" si="43"/>
        <v>21.33</v>
      </c>
      <c r="V117" s="442">
        <f t="shared" si="44"/>
        <v>128</v>
      </c>
      <c r="W117" s="442">
        <v>110</v>
      </c>
      <c r="X117" s="78">
        <f t="shared" si="0"/>
        <v>16.36363636363636</v>
      </c>
    </row>
    <row r="118" spans="1:24" hidden="1" x14ac:dyDescent="0.25">
      <c r="A118" s="446" t="s">
        <v>462</v>
      </c>
      <c r="B118" s="446" t="s">
        <v>216</v>
      </c>
      <c r="C118" s="446"/>
      <c r="D118" s="446"/>
      <c r="E118" s="444" t="s">
        <v>58</v>
      </c>
      <c r="F118" s="443" t="s">
        <v>215</v>
      </c>
      <c r="G118" s="454" t="s">
        <v>161</v>
      </c>
      <c r="H118" s="443">
        <f>VLOOKUP(G118,'условия, ФОТ'!$A$14:$I$32,9, FALSE)</f>
        <v>111.79</v>
      </c>
      <c r="I118" s="457">
        <v>0.25</v>
      </c>
      <c r="J118" s="443">
        <f t="shared" si="31"/>
        <v>27.95</v>
      </c>
      <c r="K118" s="443">
        <f t="shared" si="41"/>
        <v>8.44</v>
      </c>
      <c r="L118" s="443">
        <f t="shared" si="29"/>
        <v>36.39</v>
      </c>
      <c r="M118" s="456"/>
      <c r="N118" s="443"/>
      <c r="O118" s="443"/>
      <c r="P118" s="443"/>
      <c r="Q118" s="443"/>
      <c r="R118" s="443">
        <f t="shared" si="33"/>
        <v>36.39</v>
      </c>
      <c r="S118" s="443">
        <f t="shared" si="42"/>
        <v>44.43</v>
      </c>
      <c r="T118" s="442">
        <f t="shared" si="45"/>
        <v>89.17</v>
      </c>
      <c r="U118" s="442">
        <f t="shared" si="43"/>
        <v>17.829999999999998</v>
      </c>
      <c r="V118" s="442">
        <f t="shared" si="44"/>
        <v>107</v>
      </c>
      <c r="W118" s="442">
        <v>91</v>
      </c>
      <c r="X118" s="78">
        <f t="shared" si="0"/>
        <v>17.582417582417591</v>
      </c>
    </row>
    <row r="119" spans="1:24" ht="15.75" hidden="1" customHeight="1" x14ac:dyDescent="0.25">
      <c r="A119" s="446" t="s">
        <v>463</v>
      </c>
      <c r="B119" s="446" t="s">
        <v>217</v>
      </c>
      <c r="C119" s="446"/>
      <c r="D119" s="446"/>
      <c r="E119" s="459" t="s">
        <v>59</v>
      </c>
      <c r="F119" s="443" t="s">
        <v>204</v>
      </c>
      <c r="G119" s="454" t="s">
        <v>161</v>
      </c>
      <c r="H119" s="443">
        <f>VLOOKUP(G119,'условия, ФОТ'!$A$14:$I$32,9, FALSE)</f>
        <v>111.79</v>
      </c>
      <c r="I119" s="457">
        <v>0.6</v>
      </c>
      <c r="J119" s="443">
        <f t="shared" si="31"/>
        <v>67.069999999999993</v>
      </c>
      <c r="K119" s="443">
        <f t="shared" si="41"/>
        <v>20.260000000000002</v>
      </c>
      <c r="L119" s="443">
        <f t="shared" si="29"/>
        <v>87.33</v>
      </c>
      <c r="M119" s="456"/>
      <c r="N119" s="443"/>
      <c r="O119" s="443"/>
      <c r="P119" s="443"/>
      <c r="Q119" s="443">
        <f>SUM(Q120:Q123)</f>
        <v>13.469999999999999</v>
      </c>
      <c r="R119" s="443">
        <f t="shared" si="33"/>
        <v>100.8</v>
      </c>
      <c r="S119" s="443">
        <f t="shared" si="42"/>
        <v>123.08</v>
      </c>
      <c r="T119" s="442">
        <f t="shared" si="45"/>
        <v>246.67</v>
      </c>
      <c r="U119" s="442">
        <f t="shared" si="43"/>
        <v>49.33</v>
      </c>
      <c r="V119" s="442">
        <f t="shared" si="44"/>
        <v>296</v>
      </c>
      <c r="W119" s="442">
        <v>248</v>
      </c>
      <c r="X119" s="78">
        <f t="shared" si="0"/>
        <v>19.354838709677423</v>
      </c>
    </row>
    <row r="120" spans="1:24" ht="25.5" hidden="1" outlineLevel="1" x14ac:dyDescent="0.25">
      <c r="A120" s="446"/>
      <c r="B120" s="446"/>
      <c r="C120" s="446"/>
      <c r="D120" s="446"/>
      <c r="E120" s="444"/>
      <c r="F120" s="443"/>
      <c r="G120" s="454"/>
      <c r="H120" s="443"/>
      <c r="I120" s="457"/>
      <c r="J120" s="443"/>
      <c r="K120" s="443"/>
      <c r="L120" s="96" t="s">
        <v>366</v>
      </c>
      <c r="M120" s="104" t="s">
        <v>335</v>
      </c>
      <c r="N120" s="98" t="str">
        <f>VLOOKUP(M120,материалы!$A$5:$G$31,5, FALSE)</f>
        <v>кг</v>
      </c>
      <c r="O120" s="443">
        <f>VLOOKUP(M120,материалы!$A$5:$G$31,7, FALSE)</f>
        <v>712.76</v>
      </c>
      <c r="P120" s="443">
        <v>5.0000000000000001E-3</v>
      </c>
      <c r="Q120" s="443">
        <f>ROUND(O120*P120,2)</f>
        <v>3.56</v>
      </c>
      <c r="R120" s="443"/>
      <c r="S120" s="443"/>
      <c r="T120" s="442"/>
      <c r="U120" s="442"/>
      <c r="V120" s="442"/>
      <c r="W120" s="442"/>
      <c r="X120" s="78"/>
    </row>
    <row r="121" spans="1:24" hidden="1" outlineLevel="1" x14ac:dyDescent="0.25">
      <c r="A121" s="446"/>
      <c r="B121" s="446"/>
      <c r="C121" s="446"/>
      <c r="D121" s="446"/>
      <c r="E121" s="444"/>
      <c r="F121" s="443"/>
      <c r="G121" s="454"/>
      <c r="H121" s="443"/>
      <c r="I121" s="457"/>
      <c r="J121" s="443"/>
      <c r="K121" s="443"/>
      <c r="L121" s="443"/>
      <c r="M121" s="97" t="s">
        <v>329</v>
      </c>
      <c r="N121" s="98" t="str">
        <f>VLOOKUP(M121,материалы!$A$5:$G$31,5, FALSE)</f>
        <v>кг</v>
      </c>
      <c r="O121" s="443">
        <f>VLOOKUP(M121,материалы!$A$5:$G$31,7, FALSE)</f>
        <v>65.599999999999994</v>
      </c>
      <c r="P121" s="443">
        <v>1E-3</v>
      </c>
      <c r="Q121" s="443">
        <f t="shared" ref="Q121:Q123" si="46">ROUND(O121*P121,2)</f>
        <v>7.0000000000000007E-2</v>
      </c>
      <c r="R121" s="443"/>
      <c r="S121" s="443"/>
      <c r="T121" s="442"/>
      <c r="U121" s="442"/>
      <c r="V121" s="442"/>
      <c r="W121" s="442"/>
      <c r="X121" s="78"/>
    </row>
    <row r="122" spans="1:24" hidden="1" outlineLevel="1" x14ac:dyDescent="0.25">
      <c r="A122" s="446"/>
      <c r="B122" s="446"/>
      <c r="C122" s="446"/>
      <c r="D122" s="446"/>
      <c r="E122" s="444"/>
      <c r="F122" s="443"/>
      <c r="G122" s="454"/>
      <c r="H122" s="443"/>
      <c r="I122" s="457"/>
      <c r="J122" s="443"/>
      <c r="K122" s="443"/>
      <c r="L122" s="443"/>
      <c r="M122" s="97" t="s">
        <v>330</v>
      </c>
      <c r="N122" s="98" t="str">
        <f>VLOOKUP(M122,материалы!$A$5:$G$31,5, FALSE)</f>
        <v>кг</v>
      </c>
      <c r="O122" s="443">
        <f>VLOOKUP(M122,материалы!$A$5:$G$31,7, FALSE)</f>
        <v>39.82</v>
      </c>
      <c r="P122" s="443">
        <v>0.01</v>
      </c>
      <c r="Q122" s="443">
        <f t="shared" si="46"/>
        <v>0.4</v>
      </c>
      <c r="R122" s="443"/>
      <c r="S122" s="443"/>
      <c r="T122" s="442"/>
      <c r="U122" s="442"/>
      <c r="V122" s="442"/>
      <c r="W122" s="442"/>
      <c r="X122" s="78"/>
    </row>
    <row r="123" spans="1:24" ht="25.5" hidden="1" outlineLevel="1" x14ac:dyDescent="0.25">
      <c r="A123" s="446"/>
      <c r="B123" s="446"/>
      <c r="C123" s="446"/>
      <c r="D123" s="446"/>
      <c r="E123" s="444"/>
      <c r="F123" s="443"/>
      <c r="G123" s="454"/>
      <c r="H123" s="443"/>
      <c r="I123" s="457"/>
      <c r="J123" s="443"/>
      <c r="K123" s="443"/>
      <c r="L123" s="443"/>
      <c r="M123" s="97" t="s">
        <v>332</v>
      </c>
      <c r="N123" s="98" t="str">
        <f>VLOOKUP(M123,материалы!$A$5:$G$31,5, FALSE)</f>
        <v>шт.</v>
      </c>
      <c r="O123" s="443">
        <f>VLOOKUP(M123,материалы!$A$5:$G$31,7, FALSE)</f>
        <v>9.44</v>
      </c>
      <c r="P123" s="443">
        <v>1</v>
      </c>
      <c r="Q123" s="443">
        <f t="shared" si="46"/>
        <v>9.44</v>
      </c>
      <c r="R123" s="443"/>
      <c r="S123" s="443"/>
      <c r="T123" s="442"/>
      <c r="U123" s="442"/>
      <c r="V123" s="442"/>
      <c r="W123" s="442"/>
      <c r="X123" s="78"/>
    </row>
    <row r="124" spans="1:24" ht="22.7" hidden="1" customHeight="1" x14ac:dyDescent="0.25">
      <c r="A124" s="597" t="s">
        <v>226</v>
      </c>
      <c r="B124" s="597"/>
      <c r="C124" s="597"/>
      <c r="D124" s="597"/>
      <c r="E124" s="597"/>
      <c r="F124" s="597"/>
      <c r="G124" s="597"/>
      <c r="H124" s="597"/>
      <c r="I124" s="597"/>
      <c r="J124" s="597"/>
      <c r="K124" s="597"/>
      <c r="L124" s="597"/>
      <c r="M124" s="597"/>
      <c r="N124" s="597"/>
      <c r="O124" s="597"/>
      <c r="P124" s="597"/>
      <c r="Q124" s="597"/>
      <c r="R124" s="597"/>
      <c r="S124" s="597"/>
      <c r="T124" s="597"/>
      <c r="U124" s="597"/>
      <c r="V124" s="597"/>
      <c r="W124" s="597"/>
      <c r="X124" s="78"/>
    </row>
    <row r="125" spans="1:24" ht="49.7" hidden="1" customHeight="1" x14ac:dyDescent="0.25">
      <c r="A125" s="446" t="s">
        <v>464</v>
      </c>
      <c r="B125" s="446" t="s">
        <v>218</v>
      </c>
      <c r="C125" s="446"/>
      <c r="D125" s="446"/>
      <c r="E125" s="444" t="s">
        <v>372</v>
      </c>
      <c r="F125" s="447" t="s">
        <v>230</v>
      </c>
      <c r="G125" s="454" t="s">
        <v>162</v>
      </c>
      <c r="H125" s="443">
        <f>VLOOKUP(G125,'условия, ФОТ'!$A$14:$I$32,9, FALSE)</f>
        <v>164.09</v>
      </c>
      <c r="I125" s="457">
        <v>3</v>
      </c>
      <c r="J125" s="443">
        <f t="shared" si="31"/>
        <v>492.27</v>
      </c>
      <c r="K125" s="443">
        <f>ROUND(J125*$K$7,2)</f>
        <v>148.66999999999999</v>
      </c>
      <c r="L125" s="443">
        <f t="shared" si="29"/>
        <v>640.93999999999994</v>
      </c>
      <c r="M125" s="456"/>
      <c r="N125" s="443"/>
      <c r="O125" s="443"/>
      <c r="P125" s="443"/>
      <c r="Q125" s="443">
        <f>SUM(Q126:Q130)</f>
        <v>26.89</v>
      </c>
      <c r="R125" s="443">
        <f>L125+Q125</f>
        <v>667.82999999999993</v>
      </c>
      <c r="S125" s="443">
        <f>ROUND(R125*$S$7,2)</f>
        <v>815.42</v>
      </c>
      <c r="T125" s="442">
        <f>ROUND(V125/1.2,2)</f>
        <v>1631.67</v>
      </c>
      <c r="U125" s="442">
        <f>ROUND(T125*$U$7,2)</f>
        <v>326.33</v>
      </c>
      <c r="V125" s="442">
        <f>ROUND((R125+S125)*(1+$T$7)*1.2,0)</f>
        <v>1958</v>
      </c>
      <c r="W125" s="442">
        <v>1307</v>
      </c>
      <c r="X125" s="78">
        <f t="shared" si="0"/>
        <v>49.808722264728402</v>
      </c>
    </row>
    <row r="126" spans="1:24" ht="29.25" hidden="1" customHeight="1" outlineLevel="1" x14ac:dyDescent="0.25">
      <c r="A126" s="446"/>
      <c r="B126" s="446"/>
      <c r="C126" s="446"/>
      <c r="D126" s="446"/>
      <c r="E126" s="444"/>
      <c r="F126" s="447"/>
      <c r="G126" s="454"/>
      <c r="H126" s="443"/>
      <c r="I126" s="457"/>
      <c r="J126" s="443"/>
      <c r="K126" s="443"/>
      <c r="L126" s="96" t="s">
        <v>366</v>
      </c>
      <c r="M126" s="104" t="s">
        <v>333</v>
      </c>
      <c r="N126" s="98" t="str">
        <f>VLOOKUP(M126,материалы!$A$5:$G$31,5, FALSE)</f>
        <v>кг</v>
      </c>
      <c r="O126" s="443">
        <f>VLOOKUP(M126,материалы!$A$5:$G$31,7, FALSE)</f>
        <v>302.41000000000003</v>
      </c>
      <c r="P126" s="443">
        <v>0.05</v>
      </c>
      <c r="Q126" s="443">
        <f>ROUND(O126*P126,2)</f>
        <v>15.12</v>
      </c>
      <c r="R126" s="443"/>
      <c r="S126" s="443"/>
      <c r="T126" s="442"/>
      <c r="U126" s="442"/>
      <c r="V126" s="442"/>
      <c r="W126" s="442"/>
      <c r="X126" s="78"/>
    </row>
    <row r="127" spans="1:24" ht="24" hidden="1" customHeight="1" outlineLevel="1" x14ac:dyDescent="0.25">
      <c r="A127" s="446"/>
      <c r="B127" s="446"/>
      <c r="C127" s="446"/>
      <c r="D127" s="446"/>
      <c r="E127" s="444"/>
      <c r="F127" s="447"/>
      <c r="G127" s="454"/>
      <c r="H127" s="443"/>
      <c r="I127" s="457"/>
      <c r="J127" s="443"/>
      <c r="K127" s="443"/>
      <c r="L127" s="95"/>
      <c r="M127" s="104" t="s">
        <v>335</v>
      </c>
      <c r="N127" s="98" t="str">
        <f>VLOOKUP(M127,материалы!$A$5:$G$31,5, FALSE)</f>
        <v>кг</v>
      </c>
      <c r="O127" s="443">
        <f>VLOOKUP(M127,материалы!$A$5:$G$31,7, FALSE)</f>
        <v>712.76</v>
      </c>
      <c r="P127" s="443">
        <v>5.0000000000000001E-3</v>
      </c>
      <c r="Q127" s="443">
        <f>ROUND(O127*P127,2)</f>
        <v>3.56</v>
      </c>
      <c r="R127" s="443"/>
      <c r="S127" s="443"/>
      <c r="T127" s="442"/>
      <c r="U127" s="442"/>
      <c r="V127" s="442"/>
      <c r="W127" s="442"/>
      <c r="X127" s="78"/>
    </row>
    <row r="128" spans="1:24" ht="24.75" hidden="1" customHeight="1" outlineLevel="1" x14ac:dyDescent="0.25">
      <c r="A128" s="446"/>
      <c r="B128" s="446"/>
      <c r="C128" s="446"/>
      <c r="D128" s="446"/>
      <c r="E128" s="444"/>
      <c r="F128" s="447"/>
      <c r="G128" s="454"/>
      <c r="H128" s="443"/>
      <c r="I128" s="457"/>
      <c r="J128" s="443"/>
      <c r="K128" s="443"/>
      <c r="L128" s="443"/>
      <c r="M128" s="104" t="s">
        <v>342</v>
      </c>
      <c r="N128" s="98" t="str">
        <f>VLOOKUP(M128,материалы!$A$5:$G$31,5, FALSE)</f>
        <v>шт.</v>
      </c>
      <c r="O128" s="443">
        <f>VLOOKUP(M128,материалы!$A$5:$G$31,7, FALSE)</f>
        <v>30.94</v>
      </c>
      <c r="P128" s="443">
        <v>0.25</v>
      </c>
      <c r="Q128" s="443">
        <f>ROUND(O128*P128,2)</f>
        <v>7.74</v>
      </c>
      <c r="R128" s="443"/>
      <c r="S128" s="443"/>
      <c r="T128" s="442"/>
      <c r="U128" s="442"/>
      <c r="V128" s="442"/>
      <c r="W128" s="442"/>
      <c r="X128" s="78"/>
    </row>
    <row r="129" spans="1:24" hidden="1" outlineLevel="1" x14ac:dyDescent="0.25">
      <c r="A129" s="446"/>
      <c r="B129" s="446"/>
      <c r="C129" s="446"/>
      <c r="D129" s="446"/>
      <c r="E129" s="444"/>
      <c r="F129" s="447"/>
      <c r="G129" s="454"/>
      <c r="H129" s="443"/>
      <c r="I129" s="457"/>
      <c r="J129" s="443"/>
      <c r="K129" s="443"/>
      <c r="L129" s="443"/>
      <c r="M129" s="97" t="s">
        <v>329</v>
      </c>
      <c r="N129" s="98" t="str">
        <f>VLOOKUP(M129,материалы!$A$5:$G$31,5, FALSE)</f>
        <v>кг</v>
      </c>
      <c r="O129" s="443">
        <f>VLOOKUP(M129,материалы!$A$5:$G$31,7, FALSE)</f>
        <v>65.599999999999994</v>
      </c>
      <c r="P129" s="443">
        <v>1E-3</v>
      </c>
      <c r="Q129" s="443">
        <f t="shared" ref="Q129:Q130" si="47">ROUND(O129*P129,2)</f>
        <v>7.0000000000000007E-2</v>
      </c>
      <c r="R129" s="443"/>
      <c r="S129" s="443"/>
      <c r="T129" s="442"/>
      <c r="U129" s="442"/>
      <c r="V129" s="442"/>
      <c r="W129" s="442"/>
      <c r="X129" s="78"/>
    </row>
    <row r="130" spans="1:24" hidden="1" outlineLevel="1" x14ac:dyDescent="0.25">
      <c r="A130" s="446"/>
      <c r="B130" s="446"/>
      <c r="C130" s="446"/>
      <c r="D130" s="446"/>
      <c r="E130" s="444"/>
      <c r="F130" s="447"/>
      <c r="G130" s="454"/>
      <c r="H130" s="443"/>
      <c r="I130" s="457"/>
      <c r="J130" s="443"/>
      <c r="K130" s="443"/>
      <c r="L130" s="443"/>
      <c r="M130" s="97" t="s">
        <v>330</v>
      </c>
      <c r="N130" s="98" t="str">
        <f>VLOOKUP(M130,материалы!$A$5:$G$31,5, FALSE)</f>
        <v>кг</v>
      </c>
      <c r="O130" s="443">
        <f>VLOOKUP(M130,материалы!$A$5:$G$31,7, FALSE)</f>
        <v>39.82</v>
      </c>
      <c r="P130" s="443">
        <v>0.01</v>
      </c>
      <c r="Q130" s="443">
        <f t="shared" si="47"/>
        <v>0.4</v>
      </c>
      <c r="R130" s="443"/>
      <c r="S130" s="443"/>
      <c r="T130" s="442"/>
      <c r="U130" s="442"/>
      <c r="V130" s="442"/>
      <c r="W130" s="442"/>
      <c r="X130" s="78"/>
    </row>
    <row r="131" spans="1:24" ht="42" hidden="1" customHeight="1" x14ac:dyDescent="0.25">
      <c r="A131" s="446" t="s">
        <v>465</v>
      </c>
      <c r="B131" s="446" t="s">
        <v>218</v>
      </c>
      <c r="C131" s="446"/>
      <c r="D131" s="446"/>
      <c r="E131" s="444" t="s">
        <v>227</v>
      </c>
      <c r="F131" s="447" t="s">
        <v>230</v>
      </c>
      <c r="G131" s="454" t="s">
        <v>162</v>
      </c>
      <c r="H131" s="443">
        <f>VLOOKUP(G131,'условия, ФОТ'!$A$14:$I$32,9, FALSE)</f>
        <v>164.09</v>
      </c>
      <c r="I131" s="457">
        <v>2.5</v>
      </c>
      <c r="J131" s="443">
        <f t="shared" si="31"/>
        <v>410.23</v>
      </c>
      <c r="K131" s="443">
        <f>ROUND(J131*$K$7,2)</f>
        <v>123.89</v>
      </c>
      <c r="L131" s="443">
        <f t="shared" si="29"/>
        <v>534.12</v>
      </c>
      <c r="M131" s="456"/>
      <c r="N131" s="443"/>
      <c r="O131" s="443"/>
      <c r="P131" s="443"/>
      <c r="Q131" s="443">
        <f>SUM(Q132:Q136)</f>
        <v>26.89</v>
      </c>
      <c r="R131" s="443">
        <f t="shared" si="33"/>
        <v>561.01</v>
      </c>
      <c r="S131" s="443">
        <f>ROUND(R131*$S$7,2)</f>
        <v>684.99</v>
      </c>
      <c r="T131" s="442">
        <f>ROUND(V131/1.2,2)</f>
        <v>1370.83</v>
      </c>
      <c r="U131" s="442">
        <f>ROUND(T131*$U$7,2)</f>
        <v>274.17</v>
      </c>
      <c r="V131" s="442">
        <f>ROUND((R131+S131)*(1+$T$7)*1.2,0)</f>
        <v>1645</v>
      </c>
      <c r="W131" s="442">
        <v>1101</v>
      </c>
      <c r="X131" s="78">
        <f t="shared" si="0"/>
        <v>49.409627611262493</v>
      </c>
    </row>
    <row r="132" spans="1:24" ht="24.75" hidden="1" customHeight="1" outlineLevel="1" x14ac:dyDescent="0.25">
      <c r="A132" s="446"/>
      <c r="B132" s="446"/>
      <c r="C132" s="446"/>
      <c r="D132" s="446"/>
      <c r="E132" s="444"/>
      <c r="F132" s="447"/>
      <c r="G132" s="454"/>
      <c r="H132" s="443"/>
      <c r="I132" s="457"/>
      <c r="J132" s="443"/>
      <c r="K132" s="443"/>
      <c r="L132" s="96" t="s">
        <v>366</v>
      </c>
      <c r="M132" s="104" t="s">
        <v>335</v>
      </c>
      <c r="N132" s="98" t="str">
        <f>VLOOKUP(M132,материалы!$A$5:$G$31,5, FALSE)</f>
        <v>кг</v>
      </c>
      <c r="O132" s="443">
        <f>VLOOKUP(M132,материалы!$A$5:$G$31,7, FALSE)</f>
        <v>712.76</v>
      </c>
      <c r="P132" s="443">
        <v>5.0000000000000001E-3</v>
      </c>
      <c r="Q132" s="443">
        <f>ROUND(O132*P132,2)</f>
        <v>3.56</v>
      </c>
      <c r="R132" s="443"/>
      <c r="S132" s="443"/>
      <c r="T132" s="442"/>
      <c r="U132" s="442"/>
      <c r="V132" s="442"/>
      <c r="W132" s="442"/>
      <c r="X132" s="78"/>
    </row>
    <row r="133" spans="1:24" ht="24.75" hidden="1" customHeight="1" outlineLevel="1" x14ac:dyDescent="0.25">
      <c r="A133" s="446"/>
      <c r="B133" s="446"/>
      <c r="C133" s="446"/>
      <c r="D133" s="446"/>
      <c r="E133" s="444"/>
      <c r="F133" s="447"/>
      <c r="G133" s="454"/>
      <c r="H133" s="443"/>
      <c r="I133" s="457"/>
      <c r="J133" s="443"/>
      <c r="K133" s="443"/>
      <c r="L133" s="96"/>
      <c r="M133" s="104" t="s">
        <v>333</v>
      </c>
      <c r="N133" s="98" t="str">
        <f>VLOOKUP(M133,материалы!$A$5:$G$31,5, FALSE)</f>
        <v>кг</v>
      </c>
      <c r="O133" s="443">
        <f>VLOOKUP(M133,материалы!$A$5:$G$31,7, FALSE)</f>
        <v>302.41000000000003</v>
      </c>
      <c r="P133" s="443">
        <v>0.05</v>
      </c>
      <c r="Q133" s="443">
        <f>ROUND(O133*P133,2)</f>
        <v>15.12</v>
      </c>
      <c r="R133" s="443"/>
      <c r="S133" s="443"/>
      <c r="T133" s="442"/>
      <c r="U133" s="442"/>
      <c r="V133" s="442"/>
      <c r="W133" s="442"/>
      <c r="X133" s="78"/>
    </row>
    <row r="134" spans="1:24" ht="29.25" hidden="1" customHeight="1" outlineLevel="1" x14ac:dyDescent="0.25">
      <c r="A134" s="446"/>
      <c r="B134" s="446"/>
      <c r="C134" s="446"/>
      <c r="D134" s="446"/>
      <c r="E134" s="444"/>
      <c r="F134" s="447"/>
      <c r="G134" s="454"/>
      <c r="H134" s="443"/>
      <c r="I134" s="457"/>
      <c r="J134" s="443"/>
      <c r="K134" s="443"/>
      <c r="L134" s="443"/>
      <c r="M134" s="104" t="s">
        <v>342</v>
      </c>
      <c r="N134" s="98" t="str">
        <f>VLOOKUP(M134,материалы!$A$5:$G$31,5, FALSE)</f>
        <v>шт.</v>
      </c>
      <c r="O134" s="443">
        <f>VLOOKUP(M134,материалы!$A$5:$G$31,7, FALSE)</f>
        <v>30.94</v>
      </c>
      <c r="P134" s="443">
        <v>0.25</v>
      </c>
      <c r="Q134" s="443">
        <f>ROUND(O134*P134,2)</f>
        <v>7.74</v>
      </c>
      <c r="R134" s="443"/>
      <c r="S134" s="443"/>
      <c r="T134" s="442"/>
      <c r="U134" s="442"/>
      <c r="V134" s="442"/>
      <c r="W134" s="442"/>
      <c r="X134" s="78"/>
    </row>
    <row r="135" spans="1:24" hidden="1" outlineLevel="1" x14ac:dyDescent="0.25">
      <c r="A135" s="446"/>
      <c r="B135" s="446"/>
      <c r="C135" s="446"/>
      <c r="D135" s="446"/>
      <c r="E135" s="444"/>
      <c r="F135" s="447"/>
      <c r="G135" s="454"/>
      <c r="H135" s="443"/>
      <c r="I135" s="457"/>
      <c r="J135" s="443"/>
      <c r="K135" s="443"/>
      <c r="L135" s="443"/>
      <c r="M135" s="97" t="s">
        <v>329</v>
      </c>
      <c r="N135" s="98" t="str">
        <f>VLOOKUP(M135,материалы!$A$5:$G$31,5, FALSE)</f>
        <v>кг</v>
      </c>
      <c r="O135" s="443">
        <f>VLOOKUP(M135,материалы!$A$5:$G$31,7, FALSE)</f>
        <v>65.599999999999994</v>
      </c>
      <c r="P135" s="443">
        <v>1E-3</v>
      </c>
      <c r="Q135" s="443">
        <f t="shared" ref="Q135:Q136" si="48">ROUND(O135*P135,2)</f>
        <v>7.0000000000000007E-2</v>
      </c>
      <c r="R135" s="443"/>
      <c r="S135" s="443"/>
      <c r="T135" s="442"/>
      <c r="U135" s="442"/>
      <c r="V135" s="442"/>
      <c r="W135" s="442"/>
      <c r="X135" s="78"/>
    </row>
    <row r="136" spans="1:24" hidden="1" outlineLevel="1" x14ac:dyDescent="0.25">
      <c r="A136" s="446"/>
      <c r="B136" s="446"/>
      <c r="C136" s="446"/>
      <c r="D136" s="446"/>
      <c r="E136" s="444"/>
      <c r="F136" s="447"/>
      <c r="G136" s="454"/>
      <c r="H136" s="443"/>
      <c r="I136" s="457"/>
      <c r="J136" s="443"/>
      <c r="K136" s="443"/>
      <c r="L136" s="443"/>
      <c r="M136" s="97" t="s">
        <v>330</v>
      </c>
      <c r="N136" s="98" t="str">
        <f>VLOOKUP(M136,материалы!$A$5:$G$31,5, FALSE)</f>
        <v>кг</v>
      </c>
      <c r="O136" s="443">
        <f>VLOOKUP(M136,материалы!$A$5:$G$31,7, FALSE)</f>
        <v>39.82</v>
      </c>
      <c r="P136" s="443">
        <v>0.01</v>
      </c>
      <c r="Q136" s="443">
        <f t="shared" si="48"/>
        <v>0.4</v>
      </c>
      <c r="R136" s="443"/>
      <c r="S136" s="443"/>
      <c r="T136" s="442"/>
      <c r="U136" s="442"/>
      <c r="V136" s="442"/>
      <c r="W136" s="442"/>
      <c r="X136" s="78"/>
    </row>
    <row r="137" spans="1:24" ht="21.75" hidden="1" customHeight="1" x14ac:dyDescent="0.25">
      <c r="A137" s="446" t="s">
        <v>466</v>
      </c>
      <c r="B137" s="446" t="s">
        <v>219</v>
      </c>
      <c r="C137" s="446"/>
      <c r="D137" s="446"/>
      <c r="E137" s="459" t="s">
        <v>228</v>
      </c>
      <c r="F137" s="443" t="s">
        <v>230</v>
      </c>
      <c r="G137" s="454" t="s">
        <v>162</v>
      </c>
      <c r="H137" s="443">
        <f>VLOOKUP(G137,'условия, ФОТ'!$A$14:$I$32,9, FALSE)</f>
        <v>164.09</v>
      </c>
      <c r="I137" s="457">
        <v>1.2</v>
      </c>
      <c r="J137" s="443">
        <f t="shared" si="31"/>
        <v>196.91</v>
      </c>
      <c r="K137" s="443">
        <f>ROUND(J137*$K$7,2)</f>
        <v>59.47</v>
      </c>
      <c r="L137" s="443">
        <f t="shared" si="29"/>
        <v>256.38</v>
      </c>
      <c r="M137" s="456"/>
      <c r="N137" s="443"/>
      <c r="O137" s="443"/>
      <c r="P137" s="443"/>
      <c r="Q137" s="443"/>
      <c r="R137" s="443">
        <f t="shared" si="33"/>
        <v>256.38</v>
      </c>
      <c r="S137" s="443">
        <f>ROUND(R137*$S$7,2)</f>
        <v>313.04000000000002</v>
      </c>
      <c r="T137" s="442">
        <f>ROUND(V137/1.2,2)</f>
        <v>626.66999999999996</v>
      </c>
      <c r="U137" s="442">
        <f>ROUND(T137*$U$7,2)</f>
        <v>125.33</v>
      </c>
      <c r="V137" s="442">
        <f>ROUND((R137+S137)*(1+$T$7)*1.2,0)</f>
        <v>752</v>
      </c>
      <c r="W137" s="442">
        <v>496</v>
      </c>
      <c r="X137" s="78">
        <f t="shared" si="0"/>
        <v>51.612903225806463</v>
      </c>
    </row>
    <row r="138" spans="1:24" ht="14.25" hidden="1" customHeight="1" x14ac:dyDescent="0.25">
      <c r="A138" s="590" t="s">
        <v>467</v>
      </c>
      <c r="B138" s="593" t="s">
        <v>221</v>
      </c>
      <c r="C138" s="458"/>
      <c r="D138" s="458"/>
      <c r="E138" s="589" t="s">
        <v>229</v>
      </c>
      <c r="F138" s="609" t="s">
        <v>230</v>
      </c>
      <c r="G138" s="454" t="s">
        <v>162</v>
      </c>
      <c r="H138" s="443">
        <f>VLOOKUP(G138,'условия, ФОТ'!$A$14:$I$32,9, FALSE)</f>
        <v>164.09</v>
      </c>
      <c r="I138" s="457">
        <f>1.2+0.68</f>
        <v>1.88</v>
      </c>
      <c r="J138" s="592">
        <f>ROUND((H138*I138+H139*I139),2)</f>
        <v>434.83</v>
      </c>
      <c r="K138" s="592">
        <f>ROUND(J138*$K$7,2)</f>
        <v>131.32</v>
      </c>
      <c r="L138" s="592">
        <f>J138+K138</f>
        <v>566.15</v>
      </c>
      <c r="M138" s="591"/>
      <c r="N138" s="592"/>
      <c r="O138" s="592"/>
      <c r="P138" s="592"/>
      <c r="Q138" s="592">
        <f>SUM(Q140:Q146)</f>
        <v>78.88</v>
      </c>
      <c r="R138" s="592">
        <f>L138+Q138</f>
        <v>645.03</v>
      </c>
      <c r="S138" s="592">
        <f>ROUND(R138*$S$7,2)</f>
        <v>787.58</v>
      </c>
      <c r="T138" s="594">
        <f>ROUND(V138/1.2,2)</f>
        <v>1575.83</v>
      </c>
      <c r="U138" s="596">
        <f>ROUND(T138*$U$7,2)</f>
        <v>315.17</v>
      </c>
      <c r="V138" s="596">
        <f>ROUND((R138+S138)*(1+$T$7)*1.2,0)</f>
        <v>1891</v>
      </c>
      <c r="W138" s="594">
        <v>1388</v>
      </c>
      <c r="X138" s="601">
        <f t="shared" si="0"/>
        <v>36.239193083573497</v>
      </c>
    </row>
    <row r="139" spans="1:24" ht="15.75" hidden="1" customHeight="1" x14ac:dyDescent="0.25">
      <c r="A139" s="590"/>
      <c r="B139" s="593"/>
      <c r="C139" s="458"/>
      <c r="D139" s="458"/>
      <c r="E139" s="589"/>
      <c r="F139" s="609"/>
      <c r="G139" s="454" t="s">
        <v>166</v>
      </c>
      <c r="H139" s="443">
        <f>VLOOKUP(G139,'условия, ФОТ'!$A$14:$I$32,9, FALSE)</f>
        <v>185.8</v>
      </c>
      <c r="I139" s="457">
        <v>0.68</v>
      </c>
      <c r="J139" s="592">
        <f t="shared" ref="J139:J148" si="49">ROUND(H139*I139,2)</f>
        <v>126.34</v>
      </c>
      <c r="K139" s="592">
        <f>ROUND(J139*$K$7,2)</f>
        <v>38.15</v>
      </c>
      <c r="L139" s="592">
        <f t="shared" ref="L139" si="50">J139+K139</f>
        <v>164.49</v>
      </c>
      <c r="M139" s="591"/>
      <c r="N139" s="592"/>
      <c r="O139" s="592"/>
      <c r="P139" s="592"/>
      <c r="Q139" s="592"/>
      <c r="R139" s="592"/>
      <c r="S139" s="592">
        <f>ROUND(R139*$S$7,2)</f>
        <v>0</v>
      </c>
      <c r="T139" s="595"/>
      <c r="U139" s="596">
        <f>ROUND(T139*$U$7,2)</f>
        <v>0</v>
      </c>
      <c r="V139" s="596">
        <f>ROUND((R139+S139)*(1+$T$7)*1.18,0)</f>
        <v>0</v>
      </c>
      <c r="W139" s="595"/>
      <c r="X139" s="601"/>
    </row>
    <row r="140" spans="1:24" ht="15.75" hidden="1" customHeight="1" outlineLevel="1" x14ac:dyDescent="0.25">
      <c r="A140" s="446"/>
      <c r="B140" s="458"/>
      <c r="C140" s="458"/>
      <c r="D140" s="458"/>
      <c r="E140" s="444"/>
      <c r="F140" s="447"/>
      <c r="G140" s="454"/>
      <c r="H140" s="443"/>
      <c r="I140" s="457"/>
      <c r="J140" s="443"/>
      <c r="K140" s="443"/>
      <c r="L140" s="96" t="s">
        <v>366</v>
      </c>
      <c r="M140" s="104" t="s">
        <v>324</v>
      </c>
      <c r="N140" s="98" t="str">
        <f>VLOOKUP(M140,материалы!$A$5:$G$31,5, FALSE)</f>
        <v>м3</v>
      </c>
      <c r="O140" s="443">
        <f>VLOOKUP(M140,материалы!$A$5:$G$31,7, FALSE)</f>
        <v>54.61</v>
      </c>
      <c r="P140" s="443">
        <v>0.15</v>
      </c>
      <c r="Q140" s="443">
        <f t="shared" ref="Q140:Q146" si="51">ROUND(O140*P140,2)</f>
        <v>8.19</v>
      </c>
      <c r="R140" s="443"/>
      <c r="S140" s="443"/>
      <c r="T140" s="442"/>
      <c r="U140" s="442"/>
      <c r="V140" s="442"/>
      <c r="W140" s="442"/>
      <c r="X140" s="78"/>
    </row>
    <row r="141" spans="1:24" ht="12" hidden="1" customHeight="1" outlineLevel="1" x14ac:dyDescent="0.25">
      <c r="A141" s="446"/>
      <c r="B141" s="458"/>
      <c r="C141" s="458"/>
      <c r="D141" s="458"/>
      <c r="E141" s="444"/>
      <c r="F141" s="447"/>
      <c r="G141" s="454"/>
      <c r="H141" s="443"/>
      <c r="I141" s="457"/>
      <c r="J141" s="443"/>
      <c r="K141" s="443"/>
      <c r="L141" s="443"/>
      <c r="M141" s="104" t="s">
        <v>323</v>
      </c>
      <c r="N141" s="98" t="str">
        <f>VLOOKUP(M141,материалы!$A$5:$G$31,5, FALSE)</f>
        <v>м3</v>
      </c>
      <c r="O141" s="443">
        <f>VLOOKUP(M141,материалы!$A$5:$G$31,7, FALSE)</f>
        <v>379.24</v>
      </c>
      <c r="P141" s="457">
        <v>8.7499999999999994E-2</v>
      </c>
      <c r="Q141" s="443">
        <f t="shared" si="51"/>
        <v>33.18</v>
      </c>
      <c r="R141" s="443"/>
      <c r="S141" s="443"/>
      <c r="T141" s="442"/>
      <c r="U141" s="442"/>
      <c r="V141" s="442"/>
      <c r="W141" s="442"/>
      <c r="X141" s="78"/>
    </row>
    <row r="142" spans="1:24" ht="35.25" hidden="1" customHeight="1" outlineLevel="1" x14ac:dyDescent="0.25">
      <c r="A142" s="446"/>
      <c r="B142" s="458"/>
      <c r="C142" s="458"/>
      <c r="D142" s="458"/>
      <c r="E142" s="444"/>
      <c r="F142" s="447"/>
      <c r="G142" s="454"/>
      <c r="H142" s="443"/>
      <c r="I142" s="457"/>
      <c r="J142" s="443"/>
      <c r="K142" s="443"/>
      <c r="L142" s="443"/>
      <c r="M142" s="104" t="s">
        <v>341</v>
      </c>
      <c r="N142" s="98" t="str">
        <f>VLOOKUP(M142,материалы!$A$5:$G$31,5, FALSE)</f>
        <v>кг</v>
      </c>
      <c r="O142" s="443">
        <f>VLOOKUP(M142,материалы!$A$5:$G$31,7, FALSE)</f>
        <v>44.94</v>
      </c>
      <c r="P142" s="443">
        <v>0.1</v>
      </c>
      <c r="Q142" s="443">
        <f t="shared" si="51"/>
        <v>4.49</v>
      </c>
      <c r="R142" s="443"/>
      <c r="S142" s="443"/>
      <c r="T142" s="442"/>
      <c r="U142" s="442"/>
      <c r="V142" s="442"/>
      <c r="W142" s="442"/>
      <c r="X142" s="78"/>
    </row>
    <row r="143" spans="1:24" ht="26.25" hidden="1" customHeight="1" outlineLevel="1" x14ac:dyDescent="0.25">
      <c r="A143" s="446"/>
      <c r="B143" s="458"/>
      <c r="C143" s="458"/>
      <c r="D143" s="458"/>
      <c r="E143" s="444"/>
      <c r="F143" s="447"/>
      <c r="G143" s="454"/>
      <c r="H143" s="443"/>
      <c r="I143" s="457"/>
      <c r="J143" s="443"/>
      <c r="K143" s="443"/>
      <c r="L143" s="443"/>
      <c r="M143" s="104" t="s">
        <v>342</v>
      </c>
      <c r="N143" s="98" t="str">
        <f>VLOOKUP(M143,материалы!$A$5:$G$31,5, FALSE)</f>
        <v>шт.</v>
      </c>
      <c r="O143" s="443">
        <f>VLOOKUP(M143,материалы!$A$5:$G$31,7, FALSE)</f>
        <v>30.94</v>
      </c>
      <c r="P143" s="443">
        <v>0.25</v>
      </c>
      <c r="Q143" s="443">
        <f t="shared" si="51"/>
        <v>7.74</v>
      </c>
      <c r="R143" s="443"/>
      <c r="S143" s="443"/>
      <c r="T143" s="442"/>
      <c r="U143" s="442"/>
      <c r="V143" s="442"/>
      <c r="W143" s="442"/>
      <c r="X143" s="78"/>
    </row>
    <row r="144" spans="1:24" ht="24.75" hidden="1" customHeight="1" outlineLevel="1" x14ac:dyDescent="0.25">
      <c r="A144" s="446"/>
      <c r="B144" s="458"/>
      <c r="C144" s="458"/>
      <c r="D144" s="458"/>
      <c r="E144" s="444"/>
      <c r="F144" s="447"/>
      <c r="G144" s="454"/>
      <c r="H144" s="443"/>
      <c r="I144" s="457"/>
      <c r="J144" s="443"/>
      <c r="K144" s="443"/>
      <c r="L144" s="443"/>
      <c r="M144" s="121" t="s">
        <v>346</v>
      </c>
      <c r="N144" s="98" t="str">
        <f>VLOOKUP(M144,материалы!$A$5:$G$31,5, FALSE)</f>
        <v>шт.</v>
      </c>
      <c r="O144" s="443">
        <f>VLOOKUP(M144,материалы!$A$5:$G$31,7, FALSE)</f>
        <v>24.810000000000002</v>
      </c>
      <c r="P144" s="443">
        <v>1</v>
      </c>
      <c r="Q144" s="443">
        <f t="shared" si="51"/>
        <v>24.81</v>
      </c>
      <c r="R144" s="443"/>
      <c r="S144" s="443"/>
      <c r="T144" s="442"/>
      <c r="U144" s="442"/>
      <c r="V144" s="442"/>
      <c r="W144" s="442"/>
      <c r="X144" s="78"/>
    </row>
    <row r="145" spans="1:24" ht="15.75" hidden="1" customHeight="1" outlineLevel="1" x14ac:dyDescent="0.25">
      <c r="A145" s="446"/>
      <c r="B145" s="458"/>
      <c r="C145" s="458"/>
      <c r="D145" s="458"/>
      <c r="E145" s="444"/>
      <c r="F145" s="447"/>
      <c r="G145" s="454"/>
      <c r="H145" s="443"/>
      <c r="I145" s="457"/>
      <c r="J145" s="443"/>
      <c r="K145" s="443"/>
      <c r="L145" s="443"/>
      <c r="M145" s="97" t="s">
        <v>329</v>
      </c>
      <c r="N145" s="98" t="str">
        <f>VLOOKUP(M145,материалы!$A$5:$G$31,5, FALSE)</f>
        <v>кг</v>
      </c>
      <c r="O145" s="443">
        <f>VLOOKUP(M145,материалы!$A$5:$G$31,7, FALSE)</f>
        <v>65.599999999999994</v>
      </c>
      <c r="P145" s="443">
        <v>1E-3</v>
      </c>
      <c r="Q145" s="443">
        <f t="shared" si="51"/>
        <v>7.0000000000000007E-2</v>
      </c>
      <c r="R145" s="443"/>
      <c r="S145" s="443"/>
      <c r="T145" s="442"/>
      <c r="U145" s="442"/>
      <c r="V145" s="442"/>
      <c r="W145" s="442"/>
      <c r="X145" s="78"/>
    </row>
    <row r="146" spans="1:24" ht="15.75" hidden="1" customHeight="1" outlineLevel="1" x14ac:dyDescent="0.25">
      <c r="A146" s="446"/>
      <c r="B146" s="458"/>
      <c r="C146" s="458"/>
      <c r="D146" s="458"/>
      <c r="E146" s="444"/>
      <c r="F146" s="447"/>
      <c r="G146" s="454"/>
      <c r="H146" s="443"/>
      <c r="I146" s="457"/>
      <c r="J146" s="443"/>
      <c r="K146" s="443"/>
      <c r="L146" s="443"/>
      <c r="M146" s="97" t="s">
        <v>330</v>
      </c>
      <c r="N146" s="98" t="str">
        <f>VLOOKUP(M146,материалы!$A$5:$G$31,5, FALSE)</f>
        <v>кг</v>
      </c>
      <c r="O146" s="443">
        <f>VLOOKUP(M146,материалы!$A$5:$G$31,7, FALSE)</f>
        <v>39.82</v>
      </c>
      <c r="P146" s="443">
        <v>0.01</v>
      </c>
      <c r="Q146" s="443">
        <f t="shared" si="51"/>
        <v>0.4</v>
      </c>
      <c r="R146" s="443"/>
      <c r="S146" s="443"/>
      <c r="T146" s="442"/>
      <c r="U146" s="442"/>
      <c r="V146" s="442"/>
      <c r="W146" s="442"/>
      <c r="X146" s="78"/>
    </row>
    <row r="147" spans="1:24" ht="17.25" hidden="1" customHeight="1" x14ac:dyDescent="0.25">
      <c r="A147" s="590" t="s">
        <v>468</v>
      </c>
      <c r="B147" s="593" t="s">
        <v>223</v>
      </c>
      <c r="C147" s="458"/>
      <c r="D147" s="458"/>
      <c r="E147" s="589" t="s">
        <v>60</v>
      </c>
      <c r="F147" s="609" t="s">
        <v>222</v>
      </c>
      <c r="G147" s="454" t="s">
        <v>162</v>
      </c>
      <c r="H147" s="443">
        <f>VLOOKUP(G147,'условия, ФОТ'!$A$14:$I$32,9, FALSE)</f>
        <v>164.09</v>
      </c>
      <c r="I147" s="457">
        <f>0.72+1.2</f>
        <v>1.92</v>
      </c>
      <c r="J147" s="592">
        <f>ROUND((H147*I147+H148*I148),2)</f>
        <v>441.4</v>
      </c>
      <c r="K147" s="592">
        <f>ROUND(J147*$K$7,2)</f>
        <v>133.30000000000001</v>
      </c>
      <c r="L147" s="592">
        <f t="shared" si="29"/>
        <v>574.70000000000005</v>
      </c>
      <c r="M147" s="591"/>
      <c r="N147" s="592"/>
      <c r="O147" s="592"/>
      <c r="P147" s="592"/>
      <c r="Q147" s="592">
        <f>SUM(Q149:Q155)</f>
        <v>78.88</v>
      </c>
      <c r="R147" s="592">
        <f t="shared" si="33"/>
        <v>653.58000000000004</v>
      </c>
      <c r="S147" s="592">
        <f>ROUND(R147*$S$7,2)</f>
        <v>798.02</v>
      </c>
      <c r="T147" s="596">
        <f>ROUND(V147/1.2,2)</f>
        <v>1596.67</v>
      </c>
      <c r="U147" s="596">
        <f>ROUND(T147*$U$7,2)</f>
        <v>319.33</v>
      </c>
      <c r="V147" s="596">
        <f>ROUND((R147+S147)*(1+$T$7)*1.2,0)</f>
        <v>1916</v>
      </c>
      <c r="W147" s="596">
        <v>1405</v>
      </c>
      <c r="X147" s="601">
        <f t="shared" si="0"/>
        <v>36.370106761565836</v>
      </c>
    </row>
    <row r="148" spans="1:24" ht="26.25" hidden="1" customHeight="1" x14ac:dyDescent="0.25">
      <c r="A148" s="590"/>
      <c r="B148" s="593"/>
      <c r="C148" s="458"/>
      <c r="D148" s="458"/>
      <c r="E148" s="589"/>
      <c r="F148" s="609"/>
      <c r="G148" s="454" t="s">
        <v>166</v>
      </c>
      <c r="H148" s="443">
        <f>VLOOKUP(G148,'условия, ФОТ'!$A$14:$I$32,9, FALSE)</f>
        <v>185.8</v>
      </c>
      <c r="I148" s="457">
        <v>0.68</v>
      </c>
      <c r="J148" s="592">
        <f t="shared" si="49"/>
        <v>126.34</v>
      </c>
      <c r="K148" s="592">
        <f>ROUND(J148*$K$7,2)</f>
        <v>38.15</v>
      </c>
      <c r="L148" s="592">
        <f t="shared" si="29"/>
        <v>164.49</v>
      </c>
      <c r="M148" s="591"/>
      <c r="N148" s="592"/>
      <c r="O148" s="592"/>
      <c r="P148" s="592"/>
      <c r="Q148" s="592"/>
      <c r="R148" s="592">
        <f t="shared" si="33"/>
        <v>164.49</v>
      </c>
      <c r="S148" s="592">
        <f>ROUND(R148*$S$7,2)</f>
        <v>200.84</v>
      </c>
      <c r="T148" s="596">
        <f t="shared" ref="T148" si="52">ROUND(V148/1.18,2)</f>
        <v>401.69</v>
      </c>
      <c r="U148" s="596">
        <f>ROUND(T148*$U$7,2)</f>
        <v>80.34</v>
      </c>
      <c r="V148" s="596">
        <f>ROUND((R148+S148)*(1+$T$7)*1.18,0)</f>
        <v>474</v>
      </c>
      <c r="W148" s="596"/>
      <c r="X148" s="601"/>
    </row>
    <row r="149" spans="1:24" ht="19.5" hidden="1" customHeight="1" outlineLevel="1" x14ac:dyDescent="0.25">
      <c r="A149" s="446"/>
      <c r="B149" s="458"/>
      <c r="C149" s="458"/>
      <c r="D149" s="458"/>
      <c r="E149" s="444"/>
      <c r="F149" s="447"/>
      <c r="G149" s="454"/>
      <c r="H149" s="443"/>
      <c r="I149" s="457"/>
      <c r="J149" s="443"/>
      <c r="K149" s="443"/>
      <c r="L149" s="96" t="s">
        <v>366</v>
      </c>
      <c r="M149" s="104" t="s">
        <v>324</v>
      </c>
      <c r="N149" s="98" t="str">
        <f>VLOOKUP(M149,материалы!$A$5:$G$31,5, FALSE)</f>
        <v>м3</v>
      </c>
      <c r="O149" s="443">
        <f>VLOOKUP(M149,материалы!$A$5:$G$31,7, FALSE)</f>
        <v>54.61</v>
      </c>
      <c r="P149" s="443">
        <v>0.15</v>
      </c>
      <c r="Q149" s="443">
        <f t="shared" ref="Q149:Q155" si="53">ROUND(O149*P149,2)</f>
        <v>8.19</v>
      </c>
      <c r="R149" s="443"/>
      <c r="S149" s="443"/>
      <c r="T149" s="442"/>
      <c r="U149" s="442"/>
      <c r="V149" s="442"/>
      <c r="W149" s="442"/>
      <c r="X149" s="78"/>
    </row>
    <row r="150" spans="1:24" ht="19.5" hidden="1" customHeight="1" outlineLevel="1" x14ac:dyDescent="0.25">
      <c r="A150" s="446"/>
      <c r="B150" s="458"/>
      <c r="C150" s="458"/>
      <c r="D150" s="458"/>
      <c r="E150" s="444"/>
      <c r="F150" s="447"/>
      <c r="G150" s="454"/>
      <c r="H150" s="443"/>
      <c r="I150" s="457"/>
      <c r="J150" s="443"/>
      <c r="K150" s="443"/>
      <c r="L150" s="443"/>
      <c r="M150" s="104" t="s">
        <v>323</v>
      </c>
      <c r="N150" s="98" t="str">
        <f>VLOOKUP(M150,материалы!$A$5:$G$31,5, FALSE)</f>
        <v>м3</v>
      </c>
      <c r="O150" s="443">
        <f>VLOOKUP(M150,материалы!$A$5:$G$31,7, FALSE)</f>
        <v>379.24</v>
      </c>
      <c r="P150" s="457">
        <v>8.7499999999999994E-2</v>
      </c>
      <c r="Q150" s="443">
        <f t="shared" si="53"/>
        <v>33.18</v>
      </c>
      <c r="R150" s="443"/>
      <c r="S150" s="443"/>
      <c r="T150" s="442"/>
      <c r="U150" s="442"/>
      <c r="V150" s="442"/>
      <c r="W150" s="442"/>
      <c r="X150" s="78"/>
    </row>
    <row r="151" spans="1:24" ht="36" hidden="1" customHeight="1" outlineLevel="1" x14ac:dyDescent="0.25">
      <c r="A151" s="446"/>
      <c r="B151" s="458"/>
      <c r="C151" s="458"/>
      <c r="D151" s="458"/>
      <c r="E151" s="444"/>
      <c r="F151" s="447"/>
      <c r="G151" s="454"/>
      <c r="H151" s="443"/>
      <c r="I151" s="457"/>
      <c r="J151" s="443"/>
      <c r="K151" s="443"/>
      <c r="L151" s="443"/>
      <c r="M151" s="104" t="s">
        <v>341</v>
      </c>
      <c r="N151" s="98" t="str">
        <f>VLOOKUP(M151,материалы!$A$5:$G$31,5, FALSE)</f>
        <v>кг</v>
      </c>
      <c r="O151" s="443">
        <f>VLOOKUP(M151,материалы!$A$5:$G$31,7, FALSE)</f>
        <v>44.94</v>
      </c>
      <c r="P151" s="443">
        <v>0.1</v>
      </c>
      <c r="Q151" s="443">
        <f t="shared" si="53"/>
        <v>4.49</v>
      </c>
      <c r="R151" s="443"/>
      <c r="S151" s="443"/>
      <c r="T151" s="442"/>
      <c r="U151" s="442"/>
      <c r="V151" s="442"/>
      <c r="W151" s="442"/>
      <c r="X151" s="78"/>
    </row>
    <row r="152" spans="1:24" ht="24.75" hidden="1" customHeight="1" outlineLevel="1" x14ac:dyDescent="0.25">
      <c r="A152" s="446"/>
      <c r="B152" s="458"/>
      <c r="C152" s="458"/>
      <c r="D152" s="458"/>
      <c r="E152" s="444"/>
      <c r="F152" s="447"/>
      <c r="G152" s="454"/>
      <c r="H152" s="443"/>
      <c r="I152" s="457"/>
      <c r="J152" s="443"/>
      <c r="K152" s="443"/>
      <c r="L152" s="443"/>
      <c r="M152" s="104" t="s">
        <v>342</v>
      </c>
      <c r="N152" s="98" t="str">
        <f>VLOOKUP(M152,материалы!$A$5:$G$31,5, FALSE)</f>
        <v>шт.</v>
      </c>
      <c r="O152" s="443">
        <f>VLOOKUP(M152,материалы!$A$5:$G$31,7, FALSE)</f>
        <v>30.94</v>
      </c>
      <c r="P152" s="443">
        <v>0.25</v>
      </c>
      <c r="Q152" s="443">
        <f t="shared" si="53"/>
        <v>7.74</v>
      </c>
      <c r="R152" s="443"/>
      <c r="S152" s="443"/>
      <c r="T152" s="442"/>
      <c r="U152" s="442"/>
      <c r="V152" s="442"/>
      <c r="W152" s="442"/>
      <c r="X152" s="78"/>
    </row>
    <row r="153" spans="1:24" ht="28.5" hidden="1" customHeight="1" outlineLevel="1" x14ac:dyDescent="0.25">
      <c r="A153" s="446"/>
      <c r="B153" s="458"/>
      <c r="C153" s="458"/>
      <c r="D153" s="458"/>
      <c r="E153" s="444"/>
      <c r="F153" s="447"/>
      <c r="G153" s="454"/>
      <c r="H153" s="443"/>
      <c r="I153" s="457"/>
      <c r="J153" s="443"/>
      <c r="K153" s="443"/>
      <c r="L153" s="443"/>
      <c r="M153" s="121" t="s">
        <v>346</v>
      </c>
      <c r="N153" s="98" t="str">
        <f>VLOOKUP(M153,материалы!$A$5:$G$31,5, FALSE)</f>
        <v>шт.</v>
      </c>
      <c r="O153" s="443">
        <f>VLOOKUP(M153,материалы!$A$5:$G$31,7, FALSE)</f>
        <v>24.810000000000002</v>
      </c>
      <c r="P153" s="443">
        <v>1</v>
      </c>
      <c r="Q153" s="443">
        <f t="shared" si="53"/>
        <v>24.81</v>
      </c>
      <c r="R153" s="443"/>
      <c r="S153" s="443"/>
      <c r="T153" s="442"/>
      <c r="U153" s="442"/>
      <c r="V153" s="442"/>
      <c r="W153" s="442"/>
      <c r="X153" s="78"/>
    </row>
    <row r="154" spans="1:24" ht="19.5" hidden="1" customHeight="1" outlineLevel="1" x14ac:dyDescent="0.25">
      <c r="A154" s="446"/>
      <c r="B154" s="458"/>
      <c r="C154" s="458"/>
      <c r="D154" s="458"/>
      <c r="E154" s="444"/>
      <c r="F154" s="447"/>
      <c r="G154" s="454"/>
      <c r="H154" s="443"/>
      <c r="I154" s="457"/>
      <c r="J154" s="443"/>
      <c r="K154" s="443"/>
      <c r="L154" s="443"/>
      <c r="M154" s="97" t="s">
        <v>329</v>
      </c>
      <c r="N154" s="98" t="str">
        <f>VLOOKUP(M154,материалы!$A$5:$G$31,5, FALSE)</f>
        <v>кг</v>
      </c>
      <c r="O154" s="443">
        <f>VLOOKUP(M154,материалы!$A$5:$G$31,7, FALSE)</f>
        <v>65.599999999999994</v>
      </c>
      <c r="P154" s="443">
        <v>1E-3</v>
      </c>
      <c r="Q154" s="443">
        <f t="shared" si="53"/>
        <v>7.0000000000000007E-2</v>
      </c>
      <c r="R154" s="443"/>
      <c r="S154" s="443"/>
      <c r="T154" s="442"/>
      <c r="U154" s="442"/>
      <c r="V154" s="442"/>
      <c r="W154" s="442"/>
      <c r="X154" s="78"/>
    </row>
    <row r="155" spans="1:24" ht="19.5" hidden="1" customHeight="1" outlineLevel="1" x14ac:dyDescent="0.25">
      <c r="A155" s="446"/>
      <c r="B155" s="458"/>
      <c r="C155" s="458"/>
      <c r="D155" s="458"/>
      <c r="E155" s="444"/>
      <c r="F155" s="447"/>
      <c r="G155" s="454"/>
      <c r="H155" s="443"/>
      <c r="I155" s="457"/>
      <c r="J155" s="443"/>
      <c r="K155" s="443"/>
      <c r="L155" s="443"/>
      <c r="M155" s="97" t="s">
        <v>330</v>
      </c>
      <c r="N155" s="98" t="str">
        <f>VLOOKUP(M155,материалы!$A$5:$G$31,5, FALSE)</f>
        <v>кг</v>
      </c>
      <c r="O155" s="443">
        <f>VLOOKUP(M155,материалы!$A$5:$G$31,7, FALSE)</f>
        <v>39.82</v>
      </c>
      <c r="P155" s="443">
        <v>0.01</v>
      </c>
      <c r="Q155" s="443">
        <f t="shared" si="53"/>
        <v>0.4</v>
      </c>
      <c r="R155" s="443"/>
      <c r="S155" s="443"/>
      <c r="T155" s="442"/>
      <c r="U155" s="442"/>
      <c r="V155" s="442"/>
      <c r="W155" s="442"/>
      <c r="X155" s="78"/>
    </row>
    <row r="156" spans="1:24" hidden="1" x14ac:dyDescent="0.25">
      <c r="A156" s="446" t="s">
        <v>469</v>
      </c>
      <c r="B156" s="446" t="s">
        <v>224</v>
      </c>
      <c r="C156" s="446"/>
      <c r="D156" s="446"/>
      <c r="E156" s="444" t="s">
        <v>231</v>
      </c>
      <c r="F156" s="443" t="s">
        <v>177</v>
      </c>
      <c r="G156" s="454" t="s">
        <v>162</v>
      </c>
      <c r="H156" s="443">
        <f>VLOOKUP(G156,'условия, ФОТ'!$A$14:$I$32,9, FALSE)</f>
        <v>164.09</v>
      </c>
      <c r="I156" s="457">
        <v>0.5</v>
      </c>
      <c r="J156" s="443">
        <f t="shared" si="31"/>
        <v>82.05</v>
      </c>
      <c r="K156" s="443">
        <f t="shared" ref="K156:K206" si="54">ROUND(J156*$K$7,2)</f>
        <v>24.78</v>
      </c>
      <c r="L156" s="443">
        <f t="shared" si="29"/>
        <v>106.83</v>
      </c>
      <c r="M156" s="456"/>
      <c r="N156" s="443"/>
      <c r="O156" s="443"/>
      <c r="P156" s="443"/>
      <c r="Q156" s="443"/>
      <c r="R156" s="443">
        <f t="shared" si="33"/>
        <v>106.83</v>
      </c>
      <c r="S156" s="443">
        <f t="shared" ref="S156:S206" si="55">ROUND(R156*$S$7,2)</f>
        <v>130.44</v>
      </c>
      <c r="T156" s="442">
        <f>ROUND(V156/1.2,2)</f>
        <v>260.83</v>
      </c>
      <c r="U156" s="442">
        <f t="shared" ref="U156:U206" si="56">ROUND(T156*$U$7,2)</f>
        <v>52.17</v>
      </c>
      <c r="V156" s="442">
        <f t="shared" ref="V156:V206" si="57">ROUND((R156+S156)*(1+$T$7)*1.2,0)</f>
        <v>313</v>
      </c>
      <c r="W156" s="442">
        <v>207</v>
      </c>
      <c r="X156" s="78">
        <f t="shared" si="0"/>
        <v>51.207729468599041</v>
      </c>
    </row>
    <row r="157" spans="1:24" hidden="1" x14ac:dyDescent="0.25">
      <c r="A157" s="446" t="s">
        <v>471</v>
      </c>
      <c r="B157" s="446" t="s">
        <v>225</v>
      </c>
      <c r="C157" s="446"/>
      <c r="D157" s="446"/>
      <c r="E157" s="444" t="s">
        <v>61</v>
      </c>
      <c r="F157" s="443" t="s">
        <v>232</v>
      </c>
      <c r="G157" s="454" t="s">
        <v>162</v>
      </c>
      <c r="H157" s="443">
        <f>VLOOKUP(G157,'условия, ФОТ'!$A$14:$I$32,9, FALSE)</f>
        <v>164.09</v>
      </c>
      <c r="I157" s="457">
        <v>1.1000000000000001</v>
      </c>
      <c r="J157" s="443">
        <f t="shared" si="31"/>
        <v>180.5</v>
      </c>
      <c r="K157" s="443">
        <f t="shared" si="54"/>
        <v>54.51</v>
      </c>
      <c r="L157" s="443">
        <f t="shared" si="29"/>
        <v>235.01</v>
      </c>
      <c r="M157" s="456"/>
      <c r="N157" s="443"/>
      <c r="O157" s="443"/>
      <c r="P157" s="443"/>
      <c r="Q157" s="443"/>
      <c r="R157" s="443">
        <f t="shared" si="33"/>
        <v>235.01</v>
      </c>
      <c r="S157" s="443">
        <f t="shared" si="55"/>
        <v>286.95</v>
      </c>
      <c r="T157" s="442">
        <f t="shared" ref="T157:T205" si="58">ROUND(V157/1.2,2)</f>
        <v>574.16999999999996</v>
      </c>
      <c r="U157" s="442">
        <f t="shared" si="56"/>
        <v>114.83</v>
      </c>
      <c r="V157" s="442">
        <f t="shared" si="57"/>
        <v>689</v>
      </c>
      <c r="W157" s="442">
        <v>455</v>
      </c>
      <c r="X157" s="78">
        <f t="shared" si="0"/>
        <v>51.428571428571416</v>
      </c>
    </row>
    <row r="158" spans="1:24" hidden="1" x14ac:dyDescent="0.25">
      <c r="A158" s="446" t="s">
        <v>470</v>
      </c>
      <c r="B158" s="446" t="s">
        <v>233</v>
      </c>
      <c r="C158" s="446"/>
      <c r="D158" s="446"/>
      <c r="E158" s="444" t="s">
        <v>62</v>
      </c>
      <c r="F158" s="443" t="s">
        <v>190</v>
      </c>
      <c r="G158" s="454" t="s">
        <v>162</v>
      </c>
      <c r="H158" s="443">
        <f>VLOOKUP(G158,'условия, ФОТ'!$A$14:$I$32,9, FALSE)</f>
        <v>164.09</v>
      </c>
      <c r="I158" s="457">
        <v>0.6</v>
      </c>
      <c r="J158" s="443">
        <f t="shared" si="31"/>
        <v>98.45</v>
      </c>
      <c r="K158" s="443">
        <f t="shared" si="54"/>
        <v>29.73</v>
      </c>
      <c r="L158" s="443">
        <f t="shared" si="29"/>
        <v>128.18</v>
      </c>
      <c r="M158" s="456"/>
      <c r="N158" s="443"/>
      <c r="O158" s="443"/>
      <c r="P158" s="443"/>
      <c r="Q158" s="443"/>
      <c r="R158" s="443">
        <f t="shared" si="33"/>
        <v>128.18</v>
      </c>
      <c r="S158" s="443">
        <f t="shared" si="55"/>
        <v>156.51</v>
      </c>
      <c r="T158" s="442">
        <f t="shared" si="58"/>
        <v>313.33</v>
      </c>
      <c r="U158" s="442">
        <f t="shared" si="56"/>
        <v>62.67</v>
      </c>
      <c r="V158" s="442">
        <f t="shared" si="57"/>
        <v>376</v>
      </c>
      <c r="W158" s="442">
        <v>248</v>
      </c>
      <c r="X158" s="78">
        <f t="shared" si="0"/>
        <v>51.612903225806463</v>
      </c>
    </row>
    <row r="159" spans="1:24" hidden="1" x14ac:dyDescent="0.25">
      <c r="A159" s="446" t="s">
        <v>472</v>
      </c>
      <c r="B159" s="446" t="s">
        <v>347</v>
      </c>
      <c r="C159" s="446"/>
      <c r="D159" s="446"/>
      <c r="E159" s="459" t="s">
        <v>63</v>
      </c>
      <c r="F159" s="443" t="s">
        <v>190</v>
      </c>
      <c r="G159" s="454" t="s">
        <v>162</v>
      </c>
      <c r="H159" s="443">
        <f>VLOOKUP(G159,'условия, ФОТ'!$A$14:$I$32,9, FALSE)</f>
        <v>164.09</v>
      </c>
      <c r="I159" s="457">
        <v>1</v>
      </c>
      <c r="J159" s="443">
        <f t="shared" si="31"/>
        <v>164.09</v>
      </c>
      <c r="K159" s="443">
        <f t="shared" si="54"/>
        <v>49.56</v>
      </c>
      <c r="L159" s="443">
        <f t="shared" si="29"/>
        <v>213.65</v>
      </c>
      <c r="M159" s="456"/>
      <c r="N159" s="443"/>
      <c r="O159" s="443"/>
      <c r="P159" s="443"/>
      <c r="Q159" s="443"/>
      <c r="R159" s="443">
        <f t="shared" si="33"/>
        <v>213.65</v>
      </c>
      <c r="S159" s="443">
        <f t="shared" si="55"/>
        <v>260.87</v>
      </c>
      <c r="T159" s="442">
        <f t="shared" si="58"/>
        <v>521.66999999999996</v>
      </c>
      <c r="U159" s="442">
        <f t="shared" si="56"/>
        <v>104.33</v>
      </c>
      <c r="V159" s="442">
        <f t="shared" si="57"/>
        <v>626</v>
      </c>
      <c r="W159" s="442">
        <v>413</v>
      </c>
      <c r="X159" s="78">
        <f t="shared" si="0"/>
        <v>51.573849878934624</v>
      </c>
    </row>
    <row r="160" spans="1:24" hidden="1" x14ac:dyDescent="0.25">
      <c r="A160" s="446" t="s">
        <v>473</v>
      </c>
      <c r="B160" s="446" t="s">
        <v>234</v>
      </c>
      <c r="C160" s="446"/>
      <c r="D160" s="446"/>
      <c r="E160" s="444" t="s">
        <v>64</v>
      </c>
      <c r="F160" s="443" t="s">
        <v>236</v>
      </c>
      <c r="G160" s="454" t="s">
        <v>162</v>
      </c>
      <c r="H160" s="443">
        <f>VLOOKUP(G160,'условия, ФОТ'!$A$14:$I$32,9, FALSE)</f>
        <v>164.09</v>
      </c>
      <c r="I160" s="457">
        <v>0.7</v>
      </c>
      <c r="J160" s="443">
        <f t="shared" si="31"/>
        <v>114.86</v>
      </c>
      <c r="K160" s="443">
        <f t="shared" si="54"/>
        <v>34.69</v>
      </c>
      <c r="L160" s="443">
        <f t="shared" si="29"/>
        <v>149.55000000000001</v>
      </c>
      <c r="M160" s="456"/>
      <c r="N160" s="443"/>
      <c r="O160" s="443"/>
      <c r="P160" s="443"/>
      <c r="Q160" s="443"/>
      <c r="R160" s="443">
        <f t="shared" si="33"/>
        <v>149.55000000000001</v>
      </c>
      <c r="S160" s="443">
        <f t="shared" si="55"/>
        <v>182.6</v>
      </c>
      <c r="T160" s="442">
        <f t="shared" si="58"/>
        <v>365</v>
      </c>
      <c r="U160" s="442">
        <f t="shared" si="56"/>
        <v>73</v>
      </c>
      <c r="V160" s="442">
        <f t="shared" si="57"/>
        <v>438</v>
      </c>
      <c r="W160" s="442">
        <v>289</v>
      </c>
      <c r="X160" s="78">
        <f t="shared" si="0"/>
        <v>51.55709342560553</v>
      </c>
    </row>
    <row r="161" spans="1:24" hidden="1" x14ac:dyDescent="0.25">
      <c r="A161" s="446" t="s">
        <v>474</v>
      </c>
      <c r="B161" s="446" t="s">
        <v>235</v>
      </c>
      <c r="C161" s="446"/>
      <c r="D161" s="446"/>
      <c r="E161" s="444" t="s">
        <v>65</v>
      </c>
      <c r="F161" s="443" t="s">
        <v>236</v>
      </c>
      <c r="G161" s="454" t="s">
        <v>162</v>
      </c>
      <c r="H161" s="443">
        <f>VLOOKUP(G161,'условия, ФОТ'!$A$14:$I$32,9, FALSE)</f>
        <v>164.09</v>
      </c>
      <c r="I161" s="457">
        <v>0.4</v>
      </c>
      <c r="J161" s="443">
        <f t="shared" si="31"/>
        <v>65.64</v>
      </c>
      <c r="K161" s="443">
        <f t="shared" si="54"/>
        <v>19.82</v>
      </c>
      <c r="L161" s="443">
        <f t="shared" si="29"/>
        <v>85.460000000000008</v>
      </c>
      <c r="M161" s="456"/>
      <c r="N161" s="443"/>
      <c r="O161" s="443"/>
      <c r="P161" s="443"/>
      <c r="Q161" s="443"/>
      <c r="R161" s="443">
        <f t="shared" si="33"/>
        <v>85.460000000000008</v>
      </c>
      <c r="S161" s="443">
        <f t="shared" si="55"/>
        <v>104.35</v>
      </c>
      <c r="T161" s="442">
        <f t="shared" si="58"/>
        <v>209.17</v>
      </c>
      <c r="U161" s="442">
        <f t="shared" si="56"/>
        <v>41.83</v>
      </c>
      <c r="V161" s="442">
        <f t="shared" si="57"/>
        <v>251</v>
      </c>
      <c r="W161" s="442">
        <v>165</v>
      </c>
      <c r="X161" s="78">
        <f t="shared" si="0"/>
        <v>52.121212121212125</v>
      </c>
    </row>
    <row r="162" spans="1:24" ht="26.25" hidden="1" customHeight="1" x14ac:dyDescent="0.25">
      <c r="A162" s="446" t="s">
        <v>475</v>
      </c>
      <c r="B162" s="446" t="s">
        <v>237</v>
      </c>
      <c r="C162" s="446"/>
      <c r="D162" s="446"/>
      <c r="E162" s="444" t="s">
        <v>66</v>
      </c>
      <c r="F162" s="443" t="s">
        <v>238</v>
      </c>
      <c r="G162" s="454" t="s">
        <v>162</v>
      </c>
      <c r="H162" s="443">
        <f>VLOOKUP(G162,'условия, ФОТ'!$A$14:$I$32,9, FALSE)</f>
        <v>164.09</v>
      </c>
      <c r="I162" s="457">
        <v>0.4</v>
      </c>
      <c r="J162" s="443">
        <f t="shared" si="31"/>
        <v>65.64</v>
      </c>
      <c r="K162" s="443">
        <f t="shared" si="54"/>
        <v>19.82</v>
      </c>
      <c r="L162" s="443">
        <f t="shared" si="29"/>
        <v>85.460000000000008</v>
      </c>
      <c r="M162" s="456"/>
      <c r="N162" s="443"/>
      <c r="O162" s="443"/>
      <c r="P162" s="443"/>
      <c r="Q162" s="443"/>
      <c r="R162" s="443">
        <f t="shared" si="33"/>
        <v>85.460000000000008</v>
      </c>
      <c r="S162" s="443">
        <f t="shared" si="55"/>
        <v>104.35</v>
      </c>
      <c r="T162" s="442">
        <f t="shared" si="58"/>
        <v>209.17</v>
      </c>
      <c r="U162" s="442">
        <f t="shared" si="56"/>
        <v>41.83</v>
      </c>
      <c r="V162" s="442">
        <f t="shared" si="57"/>
        <v>251</v>
      </c>
      <c r="W162" s="442">
        <v>165</v>
      </c>
      <c r="X162" s="78">
        <f t="shared" si="0"/>
        <v>52.121212121212125</v>
      </c>
    </row>
    <row r="163" spans="1:24" hidden="1" x14ac:dyDescent="0.25">
      <c r="A163" s="446" t="s">
        <v>476</v>
      </c>
      <c r="B163" s="446" t="s">
        <v>239</v>
      </c>
      <c r="C163" s="446"/>
      <c r="D163" s="446"/>
      <c r="E163" s="444" t="s">
        <v>67</v>
      </c>
      <c r="F163" s="443" t="s">
        <v>240</v>
      </c>
      <c r="G163" s="454" t="s">
        <v>162</v>
      </c>
      <c r="H163" s="443">
        <f>VLOOKUP(G163,'условия, ФОТ'!$A$14:$I$32,9, FALSE)</f>
        <v>164.09</v>
      </c>
      <c r="I163" s="457">
        <v>0.24</v>
      </c>
      <c r="J163" s="443">
        <f t="shared" si="31"/>
        <v>39.380000000000003</v>
      </c>
      <c r="K163" s="443">
        <f t="shared" si="54"/>
        <v>11.89</v>
      </c>
      <c r="L163" s="443">
        <f t="shared" si="29"/>
        <v>51.27</v>
      </c>
      <c r="M163" s="456"/>
      <c r="N163" s="443"/>
      <c r="O163" s="443"/>
      <c r="P163" s="443"/>
      <c r="Q163" s="443"/>
      <c r="R163" s="443">
        <f t="shared" si="33"/>
        <v>51.27</v>
      </c>
      <c r="S163" s="443">
        <f t="shared" si="55"/>
        <v>62.6</v>
      </c>
      <c r="T163" s="442">
        <f t="shared" si="58"/>
        <v>125</v>
      </c>
      <c r="U163" s="442">
        <f t="shared" si="56"/>
        <v>25</v>
      </c>
      <c r="V163" s="442">
        <f t="shared" si="57"/>
        <v>150</v>
      </c>
      <c r="W163" s="442">
        <v>99</v>
      </c>
      <c r="X163" s="78">
        <f t="shared" si="0"/>
        <v>51.515151515151501</v>
      </c>
    </row>
    <row r="164" spans="1:24" ht="27" hidden="1" customHeight="1" x14ac:dyDescent="0.25">
      <c r="A164" s="446" t="s">
        <v>477</v>
      </c>
      <c r="B164" s="446" t="s">
        <v>241</v>
      </c>
      <c r="C164" s="446"/>
      <c r="D164" s="446"/>
      <c r="E164" s="444" t="s">
        <v>68</v>
      </c>
      <c r="F164" s="443" t="s">
        <v>190</v>
      </c>
      <c r="G164" s="454" t="s">
        <v>162</v>
      </c>
      <c r="H164" s="443">
        <f>VLOOKUP(G164,'условия, ФОТ'!$A$14:$I$32,9, FALSE)</f>
        <v>164.09</v>
      </c>
      <c r="I164" s="457">
        <v>0.2</v>
      </c>
      <c r="J164" s="443">
        <f t="shared" si="31"/>
        <v>32.82</v>
      </c>
      <c r="K164" s="443">
        <f t="shared" si="54"/>
        <v>9.91</v>
      </c>
      <c r="L164" s="443">
        <f t="shared" si="29"/>
        <v>42.730000000000004</v>
      </c>
      <c r="M164" s="456"/>
      <c r="N164" s="443"/>
      <c r="O164" s="443"/>
      <c r="P164" s="443"/>
      <c r="Q164" s="443"/>
      <c r="R164" s="443">
        <f t="shared" si="33"/>
        <v>42.730000000000004</v>
      </c>
      <c r="S164" s="443">
        <f t="shared" si="55"/>
        <v>52.17</v>
      </c>
      <c r="T164" s="442">
        <f t="shared" si="58"/>
        <v>104.17</v>
      </c>
      <c r="U164" s="442">
        <f t="shared" si="56"/>
        <v>20.83</v>
      </c>
      <c r="V164" s="442">
        <f t="shared" si="57"/>
        <v>125</v>
      </c>
      <c r="W164" s="442">
        <v>83</v>
      </c>
      <c r="X164" s="78">
        <f t="shared" si="0"/>
        <v>50.602409638554235</v>
      </c>
    </row>
    <row r="165" spans="1:24" hidden="1" x14ac:dyDescent="0.25">
      <c r="A165" s="446" t="s">
        <v>478</v>
      </c>
      <c r="B165" s="446" t="s">
        <v>242</v>
      </c>
      <c r="C165" s="446"/>
      <c r="D165" s="446"/>
      <c r="E165" s="444" t="s">
        <v>69</v>
      </c>
      <c r="F165" s="443" t="s">
        <v>190</v>
      </c>
      <c r="G165" s="454" t="s">
        <v>162</v>
      </c>
      <c r="H165" s="443">
        <f>VLOOKUP(G165,'условия, ФОТ'!$A$14:$I$32,9, FALSE)</f>
        <v>164.09</v>
      </c>
      <c r="I165" s="457">
        <v>0.25</v>
      </c>
      <c r="J165" s="443">
        <f t="shared" si="31"/>
        <v>41.02</v>
      </c>
      <c r="K165" s="443">
        <f t="shared" si="54"/>
        <v>12.39</v>
      </c>
      <c r="L165" s="443">
        <f t="shared" si="29"/>
        <v>53.410000000000004</v>
      </c>
      <c r="M165" s="456"/>
      <c r="N165" s="443"/>
      <c r="O165" s="443"/>
      <c r="P165" s="443"/>
      <c r="Q165" s="443"/>
      <c r="R165" s="443">
        <f t="shared" si="33"/>
        <v>53.410000000000004</v>
      </c>
      <c r="S165" s="443">
        <f t="shared" si="55"/>
        <v>65.209999999999994</v>
      </c>
      <c r="T165" s="442">
        <f t="shared" si="58"/>
        <v>130.83000000000001</v>
      </c>
      <c r="U165" s="442">
        <f t="shared" si="56"/>
        <v>26.17</v>
      </c>
      <c r="V165" s="442">
        <f t="shared" si="57"/>
        <v>157</v>
      </c>
      <c r="W165" s="442">
        <v>103</v>
      </c>
      <c r="X165" s="78">
        <f t="shared" si="0"/>
        <v>52.427184466019412</v>
      </c>
    </row>
    <row r="166" spans="1:24" hidden="1" x14ac:dyDescent="0.25">
      <c r="A166" s="446" t="s">
        <v>479</v>
      </c>
      <c r="B166" s="446" t="s">
        <v>243</v>
      </c>
      <c r="C166" s="446"/>
      <c r="D166" s="446"/>
      <c r="E166" s="444" t="s">
        <v>70</v>
      </c>
      <c r="F166" s="443" t="s">
        <v>244</v>
      </c>
      <c r="G166" s="454" t="s">
        <v>162</v>
      </c>
      <c r="H166" s="443">
        <f>VLOOKUP(G166,'условия, ФОТ'!$A$14:$I$32,9, FALSE)</f>
        <v>164.09</v>
      </c>
      <c r="I166" s="457">
        <v>1</v>
      </c>
      <c r="J166" s="443">
        <f t="shared" si="31"/>
        <v>164.09</v>
      </c>
      <c r="K166" s="443">
        <f t="shared" si="54"/>
        <v>49.56</v>
      </c>
      <c r="L166" s="443">
        <f t="shared" si="29"/>
        <v>213.65</v>
      </c>
      <c r="M166" s="456"/>
      <c r="N166" s="443"/>
      <c r="O166" s="443"/>
      <c r="P166" s="443"/>
      <c r="Q166" s="443"/>
      <c r="R166" s="443">
        <f t="shared" si="33"/>
        <v>213.65</v>
      </c>
      <c r="S166" s="443">
        <f t="shared" si="55"/>
        <v>260.87</v>
      </c>
      <c r="T166" s="442">
        <f t="shared" si="58"/>
        <v>521.66999999999996</v>
      </c>
      <c r="U166" s="442">
        <f t="shared" si="56"/>
        <v>104.33</v>
      </c>
      <c r="V166" s="442">
        <f t="shared" si="57"/>
        <v>626</v>
      </c>
      <c r="W166" s="442">
        <v>413</v>
      </c>
      <c r="X166" s="78">
        <f t="shared" si="0"/>
        <v>51.573849878934624</v>
      </c>
    </row>
    <row r="167" spans="1:24" hidden="1" x14ac:dyDescent="0.25">
      <c r="A167" s="446" t="s">
        <v>480</v>
      </c>
      <c r="B167" s="446" t="s">
        <v>246</v>
      </c>
      <c r="C167" s="446"/>
      <c r="D167" s="446"/>
      <c r="E167" s="444" t="s">
        <v>71</v>
      </c>
      <c r="F167" s="443" t="s">
        <v>180</v>
      </c>
      <c r="G167" s="454" t="s">
        <v>162</v>
      </c>
      <c r="H167" s="443">
        <f>VLOOKUP(G167,'условия, ФОТ'!$A$14:$I$32,9, FALSE)</f>
        <v>164.09</v>
      </c>
      <c r="I167" s="457">
        <v>0.54</v>
      </c>
      <c r="J167" s="443">
        <f t="shared" si="31"/>
        <v>88.61</v>
      </c>
      <c r="K167" s="443">
        <f t="shared" si="54"/>
        <v>26.76</v>
      </c>
      <c r="L167" s="443">
        <f t="shared" si="29"/>
        <v>115.37</v>
      </c>
      <c r="M167" s="456"/>
      <c r="N167" s="443"/>
      <c r="O167" s="443"/>
      <c r="P167" s="443"/>
      <c r="Q167" s="443"/>
      <c r="R167" s="443">
        <f t="shared" si="33"/>
        <v>115.37</v>
      </c>
      <c r="S167" s="443">
        <f t="shared" si="55"/>
        <v>140.87</v>
      </c>
      <c r="T167" s="442">
        <f t="shared" si="58"/>
        <v>281.67</v>
      </c>
      <c r="U167" s="442">
        <f t="shared" si="56"/>
        <v>56.33</v>
      </c>
      <c r="V167" s="442">
        <f t="shared" si="57"/>
        <v>338</v>
      </c>
      <c r="W167" s="442">
        <v>223</v>
      </c>
      <c r="X167" s="78">
        <f t="shared" si="0"/>
        <v>51.569506726457405</v>
      </c>
    </row>
    <row r="168" spans="1:24" hidden="1" x14ac:dyDescent="0.25">
      <c r="A168" s="446" t="s">
        <v>481</v>
      </c>
      <c r="B168" s="446" t="s">
        <v>246</v>
      </c>
      <c r="C168" s="446"/>
      <c r="D168" s="446"/>
      <c r="E168" s="459" t="s">
        <v>72</v>
      </c>
      <c r="F168" s="471" t="s">
        <v>247</v>
      </c>
      <c r="G168" s="454" t="s">
        <v>162</v>
      </c>
      <c r="H168" s="443">
        <f>VLOOKUP(G168,'условия, ФОТ'!$A$14:$I$32,9, FALSE)</f>
        <v>164.09</v>
      </c>
      <c r="I168" s="457">
        <f>0.11*13</f>
        <v>1.43</v>
      </c>
      <c r="J168" s="443">
        <f t="shared" si="31"/>
        <v>234.65</v>
      </c>
      <c r="K168" s="443">
        <f t="shared" si="54"/>
        <v>70.86</v>
      </c>
      <c r="L168" s="443">
        <f t="shared" si="29"/>
        <v>305.51</v>
      </c>
      <c r="M168" s="456"/>
      <c r="N168" s="443"/>
      <c r="O168" s="443"/>
      <c r="P168" s="443"/>
      <c r="Q168" s="443"/>
      <c r="R168" s="443">
        <f t="shared" si="33"/>
        <v>305.51</v>
      </c>
      <c r="S168" s="443">
        <f t="shared" si="55"/>
        <v>373.03</v>
      </c>
      <c r="T168" s="442">
        <f t="shared" si="58"/>
        <v>746.67</v>
      </c>
      <c r="U168" s="442">
        <f t="shared" si="56"/>
        <v>149.33000000000001</v>
      </c>
      <c r="V168" s="442">
        <f t="shared" si="57"/>
        <v>896</v>
      </c>
      <c r="W168" s="442">
        <v>591</v>
      </c>
      <c r="X168" s="78">
        <f t="shared" si="0"/>
        <v>51.607445008460246</v>
      </c>
    </row>
    <row r="169" spans="1:24" ht="36.950000000000003" hidden="1" customHeight="1" x14ac:dyDescent="0.25">
      <c r="A169" s="446" t="s">
        <v>482</v>
      </c>
      <c r="B169" s="446" t="s">
        <v>248</v>
      </c>
      <c r="C169" s="446"/>
      <c r="D169" s="446"/>
      <c r="E169" s="444" t="s">
        <v>73</v>
      </c>
      <c r="F169" s="443" t="s">
        <v>184</v>
      </c>
      <c r="G169" s="454" t="s">
        <v>162</v>
      </c>
      <c r="H169" s="443">
        <f>VLOOKUP(G169,'условия, ФОТ'!$A$14:$I$32,9, FALSE)</f>
        <v>164.09</v>
      </c>
      <c r="I169" s="457">
        <v>0.5</v>
      </c>
      <c r="J169" s="443">
        <f t="shared" si="31"/>
        <v>82.05</v>
      </c>
      <c r="K169" s="443">
        <f t="shared" si="54"/>
        <v>24.78</v>
      </c>
      <c r="L169" s="443">
        <f t="shared" si="29"/>
        <v>106.83</v>
      </c>
      <c r="M169" s="456"/>
      <c r="N169" s="443"/>
      <c r="O169" s="443"/>
      <c r="P169" s="443"/>
      <c r="Q169" s="443"/>
      <c r="R169" s="443">
        <f t="shared" si="33"/>
        <v>106.83</v>
      </c>
      <c r="S169" s="443">
        <f t="shared" si="55"/>
        <v>130.44</v>
      </c>
      <c r="T169" s="442">
        <f t="shared" si="58"/>
        <v>260.83</v>
      </c>
      <c r="U169" s="442">
        <f t="shared" si="56"/>
        <v>52.17</v>
      </c>
      <c r="V169" s="442">
        <f t="shared" si="57"/>
        <v>313</v>
      </c>
      <c r="W169" s="442">
        <v>207</v>
      </c>
      <c r="X169" s="78">
        <f t="shared" si="0"/>
        <v>51.207729468599041</v>
      </c>
    </row>
    <row r="170" spans="1:24" hidden="1" x14ac:dyDescent="0.25">
      <c r="A170" s="446" t="s">
        <v>483</v>
      </c>
      <c r="B170" s="446" t="s">
        <v>249</v>
      </c>
      <c r="C170" s="446"/>
      <c r="D170" s="446"/>
      <c r="E170" s="444" t="s">
        <v>74</v>
      </c>
      <c r="F170" s="443" t="s">
        <v>184</v>
      </c>
      <c r="G170" s="454" t="s">
        <v>162</v>
      </c>
      <c r="H170" s="443">
        <f>VLOOKUP(G170,'условия, ФОТ'!$A$14:$I$32,9, FALSE)</f>
        <v>164.09</v>
      </c>
      <c r="I170" s="457">
        <v>0.67</v>
      </c>
      <c r="J170" s="443">
        <f t="shared" si="31"/>
        <v>109.94</v>
      </c>
      <c r="K170" s="443">
        <f t="shared" si="54"/>
        <v>33.200000000000003</v>
      </c>
      <c r="L170" s="443">
        <f t="shared" si="29"/>
        <v>143.13999999999999</v>
      </c>
      <c r="M170" s="456"/>
      <c r="N170" s="443"/>
      <c r="O170" s="443"/>
      <c r="P170" s="443"/>
      <c r="Q170" s="443"/>
      <c r="R170" s="443">
        <f t="shared" si="33"/>
        <v>143.13999999999999</v>
      </c>
      <c r="S170" s="443">
        <f t="shared" si="55"/>
        <v>174.77</v>
      </c>
      <c r="T170" s="442">
        <f t="shared" si="58"/>
        <v>350</v>
      </c>
      <c r="U170" s="442">
        <f t="shared" si="56"/>
        <v>70</v>
      </c>
      <c r="V170" s="442">
        <f t="shared" si="57"/>
        <v>420</v>
      </c>
      <c r="W170" s="442">
        <v>277</v>
      </c>
      <c r="X170" s="78">
        <f t="shared" si="0"/>
        <v>51.624548736462089</v>
      </c>
    </row>
    <row r="171" spans="1:24" hidden="1" x14ac:dyDescent="0.25">
      <c r="A171" s="446" t="s">
        <v>484</v>
      </c>
      <c r="B171" s="446" t="s">
        <v>250</v>
      </c>
      <c r="C171" s="446"/>
      <c r="D171" s="446"/>
      <c r="E171" s="444" t="s">
        <v>75</v>
      </c>
      <c r="F171" s="443" t="s">
        <v>184</v>
      </c>
      <c r="G171" s="454" t="s">
        <v>162</v>
      </c>
      <c r="H171" s="443">
        <f>VLOOKUP(G171,'условия, ФОТ'!$A$14:$I$32,9, FALSE)</f>
        <v>164.09</v>
      </c>
      <c r="I171" s="457">
        <v>0.24</v>
      </c>
      <c r="J171" s="443">
        <f t="shared" si="31"/>
        <v>39.380000000000003</v>
      </c>
      <c r="K171" s="443">
        <f t="shared" si="54"/>
        <v>11.89</v>
      </c>
      <c r="L171" s="443">
        <f t="shared" si="29"/>
        <v>51.27</v>
      </c>
      <c r="M171" s="456"/>
      <c r="N171" s="443"/>
      <c r="O171" s="443"/>
      <c r="P171" s="443"/>
      <c r="Q171" s="443"/>
      <c r="R171" s="443">
        <f t="shared" si="33"/>
        <v>51.27</v>
      </c>
      <c r="S171" s="443">
        <f t="shared" si="55"/>
        <v>62.6</v>
      </c>
      <c r="T171" s="442">
        <f t="shared" si="58"/>
        <v>125</v>
      </c>
      <c r="U171" s="442">
        <f t="shared" si="56"/>
        <v>25</v>
      </c>
      <c r="V171" s="442">
        <f t="shared" si="57"/>
        <v>150</v>
      </c>
      <c r="W171" s="442">
        <v>99</v>
      </c>
      <c r="X171" s="78">
        <f t="shared" si="0"/>
        <v>51.515151515151501</v>
      </c>
    </row>
    <row r="172" spans="1:24" hidden="1" x14ac:dyDescent="0.25">
      <c r="A172" s="446" t="s">
        <v>485</v>
      </c>
      <c r="B172" s="446" t="s">
        <v>251</v>
      </c>
      <c r="C172" s="446"/>
      <c r="D172" s="446"/>
      <c r="E172" s="444" t="s">
        <v>76</v>
      </c>
      <c r="F172" s="443" t="s">
        <v>245</v>
      </c>
      <c r="G172" s="454" t="s">
        <v>162</v>
      </c>
      <c r="H172" s="443">
        <f>VLOOKUP(G172,'условия, ФОТ'!$A$14:$I$32,9, FALSE)</f>
        <v>164.09</v>
      </c>
      <c r="I172" s="457">
        <v>0.51</v>
      </c>
      <c r="J172" s="443">
        <f t="shared" ref="J172:J242" si="59">ROUND(H172*I172,2)</f>
        <v>83.69</v>
      </c>
      <c r="K172" s="443">
        <f t="shared" si="54"/>
        <v>25.27</v>
      </c>
      <c r="L172" s="443">
        <f t="shared" ref="L172:L242" si="60">J172+K172</f>
        <v>108.96</v>
      </c>
      <c r="M172" s="456"/>
      <c r="N172" s="443"/>
      <c r="O172" s="443"/>
      <c r="P172" s="443"/>
      <c r="Q172" s="443"/>
      <c r="R172" s="443">
        <f t="shared" ref="R172:R242" si="61">L172+Q172</f>
        <v>108.96</v>
      </c>
      <c r="S172" s="443">
        <f t="shared" si="55"/>
        <v>133.04</v>
      </c>
      <c r="T172" s="442">
        <f t="shared" si="58"/>
        <v>265.83</v>
      </c>
      <c r="U172" s="442">
        <f t="shared" si="56"/>
        <v>53.17</v>
      </c>
      <c r="V172" s="442">
        <f t="shared" si="57"/>
        <v>319</v>
      </c>
      <c r="W172" s="442">
        <v>211</v>
      </c>
      <c r="X172" s="78">
        <f t="shared" ref="X172:X240" si="62">V172/W172*100-100</f>
        <v>51.184834123222743</v>
      </c>
    </row>
    <row r="173" spans="1:24" hidden="1" x14ac:dyDescent="0.25">
      <c r="A173" s="446" t="s">
        <v>486</v>
      </c>
      <c r="B173" s="446" t="s">
        <v>27</v>
      </c>
      <c r="C173" s="446"/>
      <c r="D173" s="446"/>
      <c r="E173" s="444" t="s">
        <v>417</v>
      </c>
      <c r="F173" s="443" t="s">
        <v>418</v>
      </c>
      <c r="G173" s="454" t="s">
        <v>162</v>
      </c>
      <c r="H173" s="443">
        <f>VLOOKUP(G173,'условия, ФОТ'!$A$14:$I$32,9, FALSE)</f>
        <v>164.09</v>
      </c>
      <c r="I173" s="457">
        <v>0.51</v>
      </c>
      <c r="J173" s="443">
        <f t="shared" si="59"/>
        <v>83.69</v>
      </c>
      <c r="K173" s="443">
        <f t="shared" si="54"/>
        <v>25.27</v>
      </c>
      <c r="L173" s="443">
        <f t="shared" si="60"/>
        <v>108.96</v>
      </c>
      <c r="M173" s="456"/>
      <c r="N173" s="443"/>
      <c r="O173" s="443"/>
      <c r="P173" s="443"/>
      <c r="Q173" s="443"/>
      <c r="R173" s="443">
        <f t="shared" si="61"/>
        <v>108.96</v>
      </c>
      <c r="S173" s="443">
        <f t="shared" si="55"/>
        <v>133.04</v>
      </c>
      <c r="T173" s="442">
        <f t="shared" si="58"/>
        <v>265.83</v>
      </c>
      <c r="U173" s="442">
        <f t="shared" si="56"/>
        <v>53.17</v>
      </c>
      <c r="V173" s="442">
        <f t="shared" si="57"/>
        <v>319</v>
      </c>
      <c r="W173" s="442">
        <v>211</v>
      </c>
      <c r="X173" s="78"/>
    </row>
    <row r="174" spans="1:24" hidden="1" x14ac:dyDescent="0.25">
      <c r="A174" s="446" t="s">
        <v>487</v>
      </c>
      <c r="B174" s="446" t="s">
        <v>252</v>
      </c>
      <c r="C174" s="446"/>
      <c r="D174" s="446"/>
      <c r="E174" s="444" t="s">
        <v>77</v>
      </c>
      <c r="F174" s="443" t="s">
        <v>253</v>
      </c>
      <c r="G174" s="454" t="s">
        <v>162</v>
      </c>
      <c r="H174" s="443">
        <f>VLOOKUP(G174,'условия, ФОТ'!$A$14:$I$32,9, FALSE)</f>
        <v>164.09</v>
      </c>
      <c r="I174" s="457">
        <v>0.33</v>
      </c>
      <c r="J174" s="443">
        <f t="shared" si="59"/>
        <v>54.15</v>
      </c>
      <c r="K174" s="443">
        <f t="shared" si="54"/>
        <v>16.350000000000001</v>
      </c>
      <c r="L174" s="443">
        <f t="shared" si="60"/>
        <v>70.5</v>
      </c>
      <c r="M174" s="456"/>
      <c r="N174" s="443"/>
      <c r="O174" s="443"/>
      <c r="P174" s="443"/>
      <c r="Q174" s="443"/>
      <c r="R174" s="443">
        <f t="shared" si="61"/>
        <v>70.5</v>
      </c>
      <c r="S174" s="443">
        <f t="shared" si="55"/>
        <v>86.08</v>
      </c>
      <c r="T174" s="442">
        <f t="shared" si="58"/>
        <v>172.5</v>
      </c>
      <c r="U174" s="442">
        <f t="shared" si="56"/>
        <v>34.5</v>
      </c>
      <c r="V174" s="442">
        <f t="shared" si="57"/>
        <v>207</v>
      </c>
      <c r="W174" s="442">
        <v>136</v>
      </c>
      <c r="X174" s="78">
        <f t="shared" si="62"/>
        <v>52.20588235294116</v>
      </c>
    </row>
    <row r="175" spans="1:24" hidden="1" x14ac:dyDescent="0.25">
      <c r="A175" s="446" t="s">
        <v>488</v>
      </c>
      <c r="B175" s="446" t="s">
        <v>27</v>
      </c>
      <c r="C175" s="446"/>
      <c r="D175" s="446"/>
      <c r="E175" s="444" t="s">
        <v>416</v>
      </c>
      <c r="F175" s="443" t="s">
        <v>190</v>
      </c>
      <c r="G175" s="454" t="s">
        <v>162</v>
      </c>
      <c r="H175" s="443">
        <f>VLOOKUP(G175,'условия, ФОТ'!$A$14:$I$32,9, FALSE)</f>
        <v>164.09</v>
      </c>
      <c r="I175" s="457">
        <v>0.33</v>
      </c>
      <c r="J175" s="443">
        <f t="shared" si="59"/>
        <v>54.15</v>
      </c>
      <c r="K175" s="443">
        <f t="shared" si="54"/>
        <v>16.350000000000001</v>
      </c>
      <c r="L175" s="443">
        <f t="shared" si="60"/>
        <v>70.5</v>
      </c>
      <c r="M175" s="456"/>
      <c r="N175" s="443"/>
      <c r="O175" s="443"/>
      <c r="P175" s="443"/>
      <c r="Q175" s="443"/>
      <c r="R175" s="443">
        <f t="shared" si="61"/>
        <v>70.5</v>
      </c>
      <c r="S175" s="443">
        <f t="shared" si="55"/>
        <v>86.08</v>
      </c>
      <c r="T175" s="442">
        <f t="shared" si="58"/>
        <v>172.5</v>
      </c>
      <c r="U175" s="442">
        <f t="shared" si="56"/>
        <v>34.5</v>
      </c>
      <c r="V175" s="442">
        <f t="shared" si="57"/>
        <v>207</v>
      </c>
      <c r="W175" s="442">
        <v>136</v>
      </c>
      <c r="X175" s="78"/>
    </row>
    <row r="176" spans="1:24" hidden="1" x14ac:dyDescent="0.25">
      <c r="A176" s="446" t="s">
        <v>489</v>
      </c>
      <c r="B176" s="446" t="s">
        <v>254</v>
      </c>
      <c r="C176" s="446"/>
      <c r="D176" s="446"/>
      <c r="E176" s="444" t="s">
        <v>78</v>
      </c>
      <c r="F176" s="443" t="s">
        <v>186</v>
      </c>
      <c r="G176" s="454" t="s">
        <v>162</v>
      </c>
      <c r="H176" s="443">
        <f>VLOOKUP(G176,'условия, ФОТ'!$A$14:$I$32,9, FALSE)</f>
        <v>164.09</v>
      </c>
      <c r="I176" s="457">
        <v>0.5</v>
      </c>
      <c r="J176" s="443">
        <f t="shared" si="59"/>
        <v>82.05</v>
      </c>
      <c r="K176" s="443">
        <f t="shared" si="54"/>
        <v>24.78</v>
      </c>
      <c r="L176" s="443">
        <f t="shared" si="60"/>
        <v>106.83</v>
      </c>
      <c r="M176" s="456"/>
      <c r="N176" s="443"/>
      <c r="O176" s="443"/>
      <c r="P176" s="443"/>
      <c r="Q176" s="443"/>
      <c r="R176" s="443">
        <f t="shared" si="61"/>
        <v>106.83</v>
      </c>
      <c r="S176" s="443">
        <f t="shared" si="55"/>
        <v>130.44</v>
      </c>
      <c r="T176" s="442">
        <f t="shared" si="58"/>
        <v>260.83</v>
      </c>
      <c r="U176" s="442">
        <f t="shared" si="56"/>
        <v>52.17</v>
      </c>
      <c r="V176" s="442">
        <f t="shared" si="57"/>
        <v>313</v>
      </c>
      <c r="W176" s="442">
        <v>207</v>
      </c>
      <c r="X176" s="78">
        <f t="shared" si="62"/>
        <v>51.207729468599041</v>
      </c>
    </row>
    <row r="177" spans="1:24" hidden="1" x14ac:dyDescent="0.25">
      <c r="A177" s="446" t="s">
        <v>490</v>
      </c>
      <c r="B177" s="446" t="s">
        <v>255</v>
      </c>
      <c r="C177" s="446"/>
      <c r="D177" s="446"/>
      <c r="E177" s="444" t="s">
        <v>79</v>
      </c>
      <c r="F177" s="443" t="s">
        <v>186</v>
      </c>
      <c r="G177" s="454" t="s">
        <v>162</v>
      </c>
      <c r="H177" s="443">
        <f>VLOOKUP(G177,'условия, ФОТ'!$A$14:$I$32,9, FALSE)</f>
        <v>164.09</v>
      </c>
      <c r="I177" s="457">
        <v>0.33</v>
      </c>
      <c r="J177" s="443">
        <f t="shared" si="59"/>
        <v>54.15</v>
      </c>
      <c r="K177" s="443">
        <f t="shared" si="54"/>
        <v>16.350000000000001</v>
      </c>
      <c r="L177" s="443">
        <f t="shared" si="60"/>
        <v>70.5</v>
      </c>
      <c r="M177" s="456"/>
      <c r="N177" s="443"/>
      <c r="O177" s="443"/>
      <c r="P177" s="443"/>
      <c r="Q177" s="443"/>
      <c r="R177" s="443">
        <f t="shared" si="61"/>
        <v>70.5</v>
      </c>
      <c r="S177" s="443">
        <f t="shared" si="55"/>
        <v>86.08</v>
      </c>
      <c r="T177" s="442">
        <f t="shared" si="58"/>
        <v>172.5</v>
      </c>
      <c r="U177" s="442">
        <f t="shared" si="56"/>
        <v>34.5</v>
      </c>
      <c r="V177" s="442">
        <f t="shared" si="57"/>
        <v>207</v>
      </c>
      <c r="W177" s="442">
        <v>136</v>
      </c>
      <c r="X177" s="78">
        <f t="shared" si="62"/>
        <v>52.20588235294116</v>
      </c>
    </row>
    <row r="178" spans="1:24" ht="25.5" hidden="1" x14ac:dyDescent="0.25">
      <c r="A178" s="446" t="s">
        <v>491</v>
      </c>
      <c r="B178" s="446" t="s">
        <v>256</v>
      </c>
      <c r="C178" s="446"/>
      <c r="D178" s="446"/>
      <c r="E178" s="444" t="s">
        <v>80</v>
      </c>
      <c r="F178" s="443" t="s">
        <v>186</v>
      </c>
      <c r="G178" s="454" t="s">
        <v>162</v>
      </c>
      <c r="H178" s="443">
        <f>VLOOKUP(G178,'условия, ФОТ'!$A$14:$I$32,9, FALSE)</f>
        <v>164.09</v>
      </c>
      <c r="I178" s="457">
        <v>1</v>
      </c>
      <c r="J178" s="443">
        <f t="shared" si="59"/>
        <v>164.09</v>
      </c>
      <c r="K178" s="443">
        <f t="shared" si="54"/>
        <v>49.56</v>
      </c>
      <c r="L178" s="443">
        <f t="shared" si="60"/>
        <v>213.65</v>
      </c>
      <c r="M178" s="456"/>
      <c r="N178" s="443"/>
      <c r="O178" s="443"/>
      <c r="P178" s="443"/>
      <c r="Q178" s="443"/>
      <c r="R178" s="443">
        <f t="shared" si="61"/>
        <v>213.65</v>
      </c>
      <c r="S178" s="443">
        <f t="shared" si="55"/>
        <v>260.87</v>
      </c>
      <c r="T178" s="442">
        <f t="shared" si="58"/>
        <v>521.66999999999996</v>
      </c>
      <c r="U178" s="442">
        <f t="shared" si="56"/>
        <v>104.33</v>
      </c>
      <c r="V178" s="442">
        <f t="shared" si="57"/>
        <v>626</v>
      </c>
      <c r="W178" s="442">
        <v>413</v>
      </c>
      <c r="X178" s="78">
        <f t="shared" si="62"/>
        <v>51.573849878934624</v>
      </c>
    </row>
    <row r="179" spans="1:24" hidden="1" x14ac:dyDescent="0.25">
      <c r="A179" s="446" t="s">
        <v>492</v>
      </c>
      <c r="B179" s="446" t="s">
        <v>257</v>
      </c>
      <c r="C179" s="446"/>
      <c r="D179" s="446"/>
      <c r="E179" s="444" t="s">
        <v>81</v>
      </c>
      <c r="F179" s="443" t="s">
        <v>258</v>
      </c>
      <c r="G179" s="454" t="s">
        <v>162</v>
      </c>
      <c r="H179" s="443">
        <f>VLOOKUP(G179,'условия, ФОТ'!$A$14:$I$32,9, FALSE)</f>
        <v>164.09</v>
      </c>
      <c r="I179" s="457">
        <v>0.25</v>
      </c>
      <c r="J179" s="443">
        <f t="shared" si="59"/>
        <v>41.02</v>
      </c>
      <c r="K179" s="443">
        <f t="shared" si="54"/>
        <v>12.39</v>
      </c>
      <c r="L179" s="443">
        <f t="shared" si="60"/>
        <v>53.410000000000004</v>
      </c>
      <c r="M179" s="456"/>
      <c r="N179" s="443"/>
      <c r="O179" s="443"/>
      <c r="P179" s="443"/>
      <c r="Q179" s="443"/>
      <c r="R179" s="443">
        <f t="shared" si="61"/>
        <v>53.410000000000004</v>
      </c>
      <c r="S179" s="443">
        <f t="shared" si="55"/>
        <v>65.209999999999994</v>
      </c>
      <c r="T179" s="442">
        <f t="shared" si="58"/>
        <v>130.83000000000001</v>
      </c>
      <c r="U179" s="442">
        <f t="shared" si="56"/>
        <v>26.17</v>
      </c>
      <c r="V179" s="442">
        <f t="shared" si="57"/>
        <v>157</v>
      </c>
      <c r="W179" s="442">
        <v>103</v>
      </c>
      <c r="X179" s="78">
        <f t="shared" si="62"/>
        <v>52.427184466019412</v>
      </c>
    </row>
    <row r="180" spans="1:24" hidden="1" x14ac:dyDescent="0.25">
      <c r="A180" s="446" t="s">
        <v>493</v>
      </c>
      <c r="B180" s="446" t="s">
        <v>259</v>
      </c>
      <c r="C180" s="446"/>
      <c r="D180" s="446"/>
      <c r="E180" s="444" t="s">
        <v>82</v>
      </c>
      <c r="F180" s="443" t="s">
        <v>260</v>
      </c>
      <c r="G180" s="454" t="s">
        <v>162</v>
      </c>
      <c r="H180" s="443">
        <f>VLOOKUP(G180,'условия, ФОТ'!$A$14:$I$32,9, FALSE)</f>
        <v>164.09</v>
      </c>
      <c r="I180" s="457">
        <v>0.1</v>
      </c>
      <c r="J180" s="443">
        <f t="shared" si="59"/>
        <v>16.41</v>
      </c>
      <c r="K180" s="443">
        <f t="shared" si="54"/>
        <v>4.96</v>
      </c>
      <c r="L180" s="443">
        <f t="shared" si="60"/>
        <v>21.37</v>
      </c>
      <c r="M180" s="456"/>
      <c r="N180" s="443"/>
      <c r="O180" s="443"/>
      <c r="P180" s="443"/>
      <c r="Q180" s="443"/>
      <c r="R180" s="443">
        <f t="shared" si="61"/>
        <v>21.37</v>
      </c>
      <c r="S180" s="443">
        <f t="shared" si="55"/>
        <v>26.09</v>
      </c>
      <c r="T180" s="442">
        <f t="shared" si="58"/>
        <v>52.5</v>
      </c>
      <c r="U180" s="442">
        <f t="shared" si="56"/>
        <v>10.5</v>
      </c>
      <c r="V180" s="442">
        <f t="shared" si="57"/>
        <v>63</v>
      </c>
      <c r="W180" s="442">
        <v>41</v>
      </c>
      <c r="X180" s="78">
        <f t="shared" si="62"/>
        <v>53.658536585365852</v>
      </c>
    </row>
    <row r="181" spans="1:24" hidden="1" x14ac:dyDescent="0.25">
      <c r="A181" s="446" t="s">
        <v>494</v>
      </c>
      <c r="B181" s="446" t="s">
        <v>262</v>
      </c>
      <c r="C181" s="446"/>
      <c r="D181" s="446"/>
      <c r="E181" s="444" t="s">
        <v>83</v>
      </c>
      <c r="F181" s="443" t="s">
        <v>261</v>
      </c>
      <c r="G181" s="454" t="s">
        <v>162</v>
      </c>
      <c r="H181" s="443">
        <f>VLOOKUP(G181,'условия, ФОТ'!$A$14:$I$32,9, FALSE)</f>
        <v>164.09</v>
      </c>
      <c r="I181" s="457">
        <v>0.52</v>
      </c>
      <c r="J181" s="443">
        <f t="shared" si="59"/>
        <v>85.33</v>
      </c>
      <c r="K181" s="443">
        <f t="shared" si="54"/>
        <v>25.77</v>
      </c>
      <c r="L181" s="443">
        <f t="shared" si="60"/>
        <v>111.1</v>
      </c>
      <c r="M181" s="456"/>
      <c r="N181" s="443"/>
      <c r="O181" s="443"/>
      <c r="P181" s="443"/>
      <c r="Q181" s="443"/>
      <c r="R181" s="443">
        <f t="shared" si="61"/>
        <v>111.1</v>
      </c>
      <c r="S181" s="443">
        <f t="shared" si="55"/>
        <v>135.65</v>
      </c>
      <c r="T181" s="442">
        <f t="shared" si="58"/>
        <v>271.67</v>
      </c>
      <c r="U181" s="442">
        <f t="shared" si="56"/>
        <v>54.33</v>
      </c>
      <c r="V181" s="442">
        <f t="shared" si="57"/>
        <v>326</v>
      </c>
      <c r="W181" s="442">
        <v>215</v>
      </c>
      <c r="X181" s="78">
        <f t="shared" si="62"/>
        <v>51.627906976744185</v>
      </c>
    </row>
    <row r="182" spans="1:24" hidden="1" x14ac:dyDescent="0.25">
      <c r="A182" s="446" t="s">
        <v>495</v>
      </c>
      <c r="B182" s="446" t="s">
        <v>263</v>
      </c>
      <c r="C182" s="446"/>
      <c r="D182" s="446"/>
      <c r="E182" s="444" t="s">
        <v>84</v>
      </c>
      <c r="F182" s="443" t="s">
        <v>261</v>
      </c>
      <c r="G182" s="454" t="s">
        <v>162</v>
      </c>
      <c r="H182" s="443">
        <f>VLOOKUP(G182,'условия, ФОТ'!$A$14:$I$32,9, FALSE)</f>
        <v>164.09</v>
      </c>
      <c r="I182" s="457">
        <v>0.32</v>
      </c>
      <c r="J182" s="443">
        <f t="shared" si="59"/>
        <v>52.51</v>
      </c>
      <c r="K182" s="443">
        <f t="shared" si="54"/>
        <v>15.86</v>
      </c>
      <c r="L182" s="443">
        <f t="shared" si="60"/>
        <v>68.37</v>
      </c>
      <c r="M182" s="456"/>
      <c r="N182" s="443"/>
      <c r="O182" s="443"/>
      <c r="P182" s="443"/>
      <c r="Q182" s="443"/>
      <c r="R182" s="443">
        <f t="shared" si="61"/>
        <v>68.37</v>
      </c>
      <c r="S182" s="443">
        <f t="shared" si="55"/>
        <v>83.48</v>
      </c>
      <c r="T182" s="442">
        <f t="shared" si="58"/>
        <v>166.67</v>
      </c>
      <c r="U182" s="442">
        <f t="shared" si="56"/>
        <v>33.33</v>
      </c>
      <c r="V182" s="442">
        <f t="shared" si="57"/>
        <v>200</v>
      </c>
      <c r="W182" s="442">
        <v>132</v>
      </c>
      <c r="X182" s="78">
        <f t="shared" si="62"/>
        <v>51.515151515151501</v>
      </c>
    </row>
    <row r="183" spans="1:24" hidden="1" x14ac:dyDescent="0.25">
      <c r="A183" s="446" t="s">
        <v>496</v>
      </c>
      <c r="B183" s="446" t="s">
        <v>264</v>
      </c>
      <c r="C183" s="446"/>
      <c r="D183" s="446"/>
      <c r="E183" s="444" t="s">
        <v>85</v>
      </c>
      <c r="F183" s="443" t="s">
        <v>198</v>
      </c>
      <c r="G183" s="454" t="s">
        <v>162</v>
      </c>
      <c r="H183" s="443">
        <f>VLOOKUP(G183,'условия, ФОТ'!$A$14:$I$32,9, FALSE)</f>
        <v>164.09</v>
      </c>
      <c r="I183" s="457">
        <v>0.4</v>
      </c>
      <c r="J183" s="443">
        <f t="shared" si="59"/>
        <v>65.64</v>
      </c>
      <c r="K183" s="443">
        <f t="shared" si="54"/>
        <v>19.82</v>
      </c>
      <c r="L183" s="443">
        <f t="shared" si="60"/>
        <v>85.460000000000008</v>
      </c>
      <c r="M183" s="456"/>
      <c r="N183" s="443"/>
      <c r="O183" s="443"/>
      <c r="P183" s="443"/>
      <c r="Q183" s="443"/>
      <c r="R183" s="443">
        <f t="shared" si="61"/>
        <v>85.460000000000008</v>
      </c>
      <c r="S183" s="443">
        <f t="shared" si="55"/>
        <v>104.35</v>
      </c>
      <c r="T183" s="442">
        <f t="shared" si="58"/>
        <v>209.17</v>
      </c>
      <c r="U183" s="442">
        <f t="shared" si="56"/>
        <v>41.83</v>
      </c>
      <c r="V183" s="442">
        <f t="shared" si="57"/>
        <v>251</v>
      </c>
      <c r="W183" s="442">
        <v>165</v>
      </c>
      <c r="X183" s="78">
        <f t="shared" si="62"/>
        <v>52.121212121212125</v>
      </c>
    </row>
    <row r="184" spans="1:24" hidden="1" x14ac:dyDescent="0.25">
      <c r="A184" s="446" t="s">
        <v>497</v>
      </c>
      <c r="B184" s="446" t="s">
        <v>265</v>
      </c>
      <c r="C184" s="446"/>
      <c r="D184" s="446"/>
      <c r="E184" s="444" t="s">
        <v>86</v>
      </c>
      <c r="F184" s="443" t="s">
        <v>198</v>
      </c>
      <c r="G184" s="454" t="s">
        <v>162</v>
      </c>
      <c r="H184" s="443">
        <f>VLOOKUP(G184,'условия, ФОТ'!$A$14:$I$32,9, FALSE)</f>
        <v>164.09</v>
      </c>
      <c r="I184" s="457">
        <v>0.55000000000000004</v>
      </c>
      <c r="J184" s="443">
        <f t="shared" si="59"/>
        <v>90.25</v>
      </c>
      <c r="K184" s="443">
        <f t="shared" si="54"/>
        <v>27.26</v>
      </c>
      <c r="L184" s="443">
        <f t="shared" si="60"/>
        <v>117.51</v>
      </c>
      <c r="M184" s="456"/>
      <c r="N184" s="443"/>
      <c r="O184" s="443"/>
      <c r="P184" s="443"/>
      <c r="Q184" s="443"/>
      <c r="R184" s="443">
        <f t="shared" si="61"/>
        <v>117.51</v>
      </c>
      <c r="S184" s="443">
        <f t="shared" si="55"/>
        <v>143.47999999999999</v>
      </c>
      <c r="T184" s="442">
        <f t="shared" si="58"/>
        <v>287.5</v>
      </c>
      <c r="U184" s="442">
        <f t="shared" si="56"/>
        <v>57.5</v>
      </c>
      <c r="V184" s="442">
        <f t="shared" si="57"/>
        <v>345</v>
      </c>
      <c r="W184" s="442">
        <v>227</v>
      </c>
      <c r="X184" s="78">
        <f t="shared" si="62"/>
        <v>51.982378854625551</v>
      </c>
    </row>
    <row r="185" spans="1:24" ht="25.5" hidden="1" x14ac:dyDescent="0.25">
      <c r="A185" s="446" t="s">
        <v>498</v>
      </c>
      <c r="B185" s="446" t="s">
        <v>266</v>
      </c>
      <c r="C185" s="446"/>
      <c r="D185" s="446"/>
      <c r="E185" s="444" t="s">
        <v>87</v>
      </c>
      <c r="F185" s="443" t="s">
        <v>198</v>
      </c>
      <c r="G185" s="454" t="s">
        <v>162</v>
      </c>
      <c r="H185" s="443">
        <f>VLOOKUP(G185,'условия, ФОТ'!$A$14:$I$32,9, FALSE)</f>
        <v>164.09</v>
      </c>
      <c r="I185" s="457">
        <v>0.75</v>
      </c>
      <c r="J185" s="443">
        <f t="shared" si="59"/>
        <v>123.07</v>
      </c>
      <c r="K185" s="443">
        <f t="shared" si="54"/>
        <v>37.17</v>
      </c>
      <c r="L185" s="443">
        <f t="shared" si="60"/>
        <v>160.24</v>
      </c>
      <c r="M185" s="456"/>
      <c r="N185" s="443"/>
      <c r="O185" s="443"/>
      <c r="P185" s="443"/>
      <c r="Q185" s="443"/>
      <c r="R185" s="443">
        <f t="shared" si="61"/>
        <v>160.24</v>
      </c>
      <c r="S185" s="443">
        <f t="shared" si="55"/>
        <v>195.65</v>
      </c>
      <c r="T185" s="442">
        <f t="shared" si="58"/>
        <v>391.67</v>
      </c>
      <c r="U185" s="442">
        <f t="shared" si="56"/>
        <v>78.33</v>
      </c>
      <c r="V185" s="442">
        <f t="shared" si="57"/>
        <v>470</v>
      </c>
      <c r="W185" s="442">
        <v>310</v>
      </c>
      <c r="X185" s="78">
        <f t="shared" si="62"/>
        <v>51.612903225806463</v>
      </c>
    </row>
    <row r="186" spans="1:24" ht="17.25" hidden="1" customHeight="1" x14ac:dyDescent="0.25">
      <c r="A186" s="446" t="s">
        <v>499</v>
      </c>
      <c r="B186" s="446" t="s">
        <v>267</v>
      </c>
      <c r="C186" s="446"/>
      <c r="D186" s="446"/>
      <c r="E186" s="444" t="s">
        <v>88</v>
      </c>
      <c r="F186" s="443" t="s">
        <v>177</v>
      </c>
      <c r="G186" s="454" t="s">
        <v>162</v>
      </c>
      <c r="H186" s="443">
        <f>VLOOKUP(G186,'условия, ФОТ'!$A$14:$I$32,9, FALSE)</f>
        <v>164.09</v>
      </c>
      <c r="I186" s="457">
        <v>0.8</v>
      </c>
      <c r="J186" s="443">
        <f t="shared" si="59"/>
        <v>131.27000000000001</v>
      </c>
      <c r="K186" s="443">
        <f t="shared" si="54"/>
        <v>39.64</v>
      </c>
      <c r="L186" s="443">
        <f t="shared" si="60"/>
        <v>170.91000000000003</v>
      </c>
      <c r="M186" s="456"/>
      <c r="N186" s="443"/>
      <c r="O186" s="443"/>
      <c r="P186" s="443"/>
      <c r="Q186" s="443"/>
      <c r="R186" s="443">
        <f t="shared" si="61"/>
        <v>170.91000000000003</v>
      </c>
      <c r="S186" s="443">
        <f t="shared" si="55"/>
        <v>208.68</v>
      </c>
      <c r="T186" s="442">
        <f t="shared" si="58"/>
        <v>417.5</v>
      </c>
      <c r="U186" s="442">
        <f t="shared" si="56"/>
        <v>83.5</v>
      </c>
      <c r="V186" s="442">
        <f t="shared" si="57"/>
        <v>501</v>
      </c>
      <c r="W186" s="442">
        <v>331</v>
      </c>
      <c r="X186" s="78">
        <f t="shared" si="62"/>
        <v>51.359516616314181</v>
      </c>
    </row>
    <row r="187" spans="1:24" ht="31.7" hidden="1" customHeight="1" x14ac:dyDescent="0.25">
      <c r="A187" s="446" t="s">
        <v>500</v>
      </c>
      <c r="B187" s="446" t="s">
        <v>268</v>
      </c>
      <c r="C187" s="446"/>
      <c r="D187" s="446"/>
      <c r="E187" s="444" t="s">
        <v>89</v>
      </c>
      <c r="F187" s="443" t="s">
        <v>198</v>
      </c>
      <c r="G187" s="454" t="s">
        <v>162</v>
      </c>
      <c r="H187" s="443">
        <f>VLOOKUP(G187,'условия, ФОТ'!$A$14:$I$32,9, FALSE)</f>
        <v>164.09</v>
      </c>
      <c r="I187" s="457">
        <v>1</v>
      </c>
      <c r="J187" s="443">
        <f t="shared" si="59"/>
        <v>164.09</v>
      </c>
      <c r="K187" s="443">
        <f t="shared" si="54"/>
        <v>49.56</v>
      </c>
      <c r="L187" s="443">
        <f t="shared" si="60"/>
        <v>213.65</v>
      </c>
      <c r="M187" s="456"/>
      <c r="N187" s="443"/>
      <c r="O187" s="443"/>
      <c r="P187" s="443"/>
      <c r="Q187" s="443"/>
      <c r="R187" s="443">
        <f t="shared" si="61"/>
        <v>213.65</v>
      </c>
      <c r="S187" s="443">
        <f t="shared" si="55"/>
        <v>260.87</v>
      </c>
      <c r="T187" s="442">
        <f t="shared" si="58"/>
        <v>521.66999999999996</v>
      </c>
      <c r="U187" s="442">
        <f t="shared" si="56"/>
        <v>104.33</v>
      </c>
      <c r="V187" s="442">
        <f t="shared" si="57"/>
        <v>626</v>
      </c>
      <c r="W187" s="442">
        <v>413</v>
      </c>
      <c r="X187" s="78">
        <f t="shared" si="62"/>
        <v>51.573849878934624</v>
      </c>
    </row>
    <row r="188" spans="1:24" ht="30.75" hidden="1" customHeight="1" x14ac:dyDescent="0.25">
      <c r="A188" s="446" t="s">
        <v>501</v>
      </c>
      <c r="B188" s="446" t="s">
        <v>269</v>
      </c>
      <c r="C188" s="446"/>
      <c r="D188" s="446"/>
      <c r="E188" s="444" t="s">
        <v>90</v>
      </c>
      <c r="F188" s="443" t="s">
        <v>198</v>
      </c>
      <c r="G188" s="454" t="s">
        <v>162</v>
      </c>
      <c r="H188" s="443">
        <f>VLOOKUP(G188,'условия, ФОТ'!$A$14:$I$32,9, FALSE)</f>
        <v>164.09</v>
      </c>
      <c r="I188" s="457">
        <v>0.25</v>
      </c>
      <c r="J188" s="443">
        <f t="shared" si="59"/>
        <v>41.02</v>
      </c>
      <c r="K188" s="443">
        <f t="shared" si="54"/>
        <v>12.39</v>
      </c>
      <c r="L188" s="443">
        <f t="shared" si="60"/>
        <v>53.410000000000004</v>
      </c>
      <c r="M188" s="456"/>
      <c r="N188" s="443"/>
      <c r="O188" s="443"/>
      <c r="P188" s="443"/>
      <c r="Q188" s="443"/>
      <c r="R188" s="443">
        <f t="shared" si="61"/>
        <v>53.410000000000004</v>
      </c>
      <c r="S188" s="443">
        <f t="shared" si="55"/>
        <v>65.209999999999994</v>
      </c>
      <c r="T188" s="442">
        <f t="shared" si="58"/>
        <v>130.83000000000001</v>
      </c>
      <c r="U188" s="442">
        <f t="shared" si="56"/>
        <v>26.17</v>
      </c>
      <c r="V188" s="442">
        <f t="shared" si="57"/>
        <v>157</v>
      </c>
      <c r="W188" s="442">
        <v>103</v>
      </c>
      <c r="X188" s="78">
        <f t="shared" si="62"/>
        <v>52.427184466019412</v>
      </c>
    </row>
    <row r="189" spans="1:24" ht="21.75" hidden="1" customHeight="1" x14ac:dyDescent="0.25">
      <c r="A189" s="446" t="s">
        <v>502</v>
      </c>
      <c r="B189" s="446" t="s">
        <v>270</v>
      </c>
      <c r="C189" s="446"/>
      <c r="D189" s="446"/>
      <c r="E189" s="444" t="s">
        <v>91</v>
      </c>
      <c r="F189" s="443" t="s">
        <v>198</v>
      </c>
      <c r="G189" s="454" t="s">
        <v>162</v>
      </c>
      <c r="H189" s="443">
        <f>VLOOKUP(G189,'условия, ФОТ'!$A$14:$I$32,9, FALSE)</f>
        <v>164.09</v>
      </c>
      <c r="I189" s="457">
        <v>0.25</v>
      </c>
      <c r="J189" s="443">
        <f t="shared" si="59"/>
        <v>41.02</v>
      </c>
      <c r="K189" s="443">
        <f t="shared" si="54"/>
        <v>12.39</v>
      </c>
      <c r="L189" s="443">
        <f t="shared" si="60"/>
        <v>53.410000000000004</v>
      </c>
      <c r="M189" s="456"/>
      <c r="N189" s="443"/>
      <c r="O189" s="443"/>
      <c r="P189" s="443"/>
      <c r="Q189" s="443"/>
      <c r="R189" s="443">
        <f t="shared" si="61"/>
        <v>53.410000000000004</v>
      </c>
      <c r="S189" s="443">
        <f t="shared" si="55"/>
        <v>65.209999999999994</v>
      </c>
      <c r="T189" s="442">
        <f t="shared" si="58"/>
        <v>130.83000000000001</v>
      </c>
      <c r="U189" s="442">
        <f t="shared" si="56"/>
        <v>26.17</v>
      </c>
      <c r="V189" s="442">
        <f t="shared" si="57"/>
        <v>157</v>
      </c>
      <c r="W189" s="442">
        <v>103</v>
      </c>
      <c r="X189" s="78">
        <f t="shared" si="62"/>
        <v>52.427184466019412</v>
      </c>
    </row>
    <row r="190" spans="1:24" ht="25.5" hidden="1" x14ac:dyDescent="0.25">
      <c r="A190" s="446" t="s">
        <v>503</v>
      </c>
      <c r="B190" s="446" t="s">
        <v>271</v>
      </c>
      <c r="C190" s="446"/>
      <c r="D190" s="446"/>
      <c r="E190" s="459" t="s">
        <v>92</v>
      </c>
      <c r="F190" s="443" t="s">
        <v>198</v>
      </c>
      <c r="G190" s="454" t="s">
        <v>162</v>
      </c>
      <c r="H190" s="443">
        <f>VLOOKUP(G190,'условия, ФОТ'!$A$14:$I$32,9, FALSE)</f>
        <v>164.09</v>
      </c>
      <c r="I190" s="457">
        <v>0.25</v>
      </c>
      <c r="J190" s="443">
        <f t="shared" si="59"/>
        <v>41.02</v>
      </c>
      <c r="K190" s="443">
        <f t="shared" si="54"/>
        <v>12.39</v>
      </c>
      <c r="L190" s="443">
        <f t="shared" si="60"/>
        <v>53.410000000000004</v>
      </c>
      <c r="M190" s="456"/>
      <c r="N190" s="443"/>
      <c r="O190" s="443"/>
      <c r="P190" s="443"/>
      <c r="Q190" s="443"/>
      <c r="R190" s="443">
        <f t="shared" si="61"/>
        <v>53.410000000000004</v>
      </c>
      <c r="S190" s="443">
        <f t="shared" si="55"/>
        <v>65.209999999999994</v>
      </c>
      <c r="T190" s="442">
        <f t="shared" si="58"/>
        <v>130.83000000000001</v>
      </c>
      <c r="U190" s="442">
        <f t="shared" si="56"/>
        <v>26.17</v>
      </c>
      <c r="V190" s="442">
        <f t="shared" si="57"/>
        <v>157</v>
      </c>
      <c r="W190" s="442">
        <v>103</v>
      </c>
      <c r="X190" s="78">
        <f t="shared" si="62"/>
        <v>52.427184466019412</v>
      </c>
    </row>
    <row r="191" spans="1:24" hidden="1" x14ac:dyDescent="0.25">
      <c r="A191" s="446" t="s">
        <v>504</v>
      </c>
      <c r="B191" s="446" t="s">
        <v>272</v>
      </c>
      <c r="C191" s="446"/>
      <c r="D191" s="446"/>
      <c r="E191" s="444" t="s">
        <v>93</v>
      </c>
      <c r="F191" s="443" t="s">
        <v>198</v>
      </c>
      <c r="G191" s="454" t="s">
        <v>162</v>
      </c>
      <c r="H191" s="443">
        <f>VLOOKUP(G191,'условия, ФОТ'!$A$14:$I$32,9, FALSE)</f>
        <v>164.09</v>
      </c>
      <c r="I191" s="457">
        <v>0.5</v>
      </c>
      <c r="J191" s="443">
        <f t="shared" si="59"/>
        <v>82.05</v>
      </c>
      <c r="K191" s="443">
        <f t="shared" si="54"/>
        <v>24.78</v>
      </c>
      <c r="L191" s="443">
        <f t="shared" si="60"/>
        <v>106.83</v>
      </c>
      <c r="M191" s="456"/>
      <c r="N191" s="443"/>
      <c r="O191" s="443"/>
      <c r="P191" s="443"/>
      <c r="Q191" s="443"/>
      <c r="R191" s="443">
        <f t="shared" si="61"/>
        <v>106.83</v>
      </c>
      <c r="S191" s="443">
        <f t="shared" si="55"/>
        <v>130.44</v>
      </c>
      <c r="T191" s="442">
        <f t="shared" si="58"/>
        <v>260.83</v>
      </c>
      <c r="U191" s="442">
        <f t="shared" si="56"/>
        <v>52.17</v>
      </c>
      <c r="V191" s="442">
        <f t="shared" si="57"/>
        <v>313</v>
      </c>
      <c r="W191" s="442">
        <v>207</v>
      </c>
      <c r="X191" s="78">
        <f t="shared" si="62"/>
        <v>51.207729468599041</v>
      </c>
    </row>
    <row r="192" spans="1:24" hidden="1" x14ac:dyDescent="0.25">
      <c r="A192" s="446" t="s">
        <v>505</v>
      </c>
      <c r="B192" s="446" t="s">
        <v>273</v>
      </c>
      <c r="C192" s="446"/>
      <c r="D192" s="446"/>
      <c r="E192" s="444" t="s">
        <v>94</v>
      </c>
      <c r="F192" s="443" t="s">
        <v>198</v>
      </c>
      <c r="G192" s="454" t="s">
        <v>162</v>
      </c>
      <c r="H192" s="443">
        <f>VLOOKUP(G192,'условия, ФОТ'!$A$14:$I$32,9, FALSE)</f>
        <v>164.09</v>
      </c>
      <c r="I192" s="457">
        <v>0.91</v>
      </c>
      <c r="J192" s="443">
        <f t="shared" si="59"/>
        <v>149.32</v>
      </c>
      <c r="K192" s="443">
        <f t="shared" si="54"/>
        <v>45.09</v>
      </c>
      <c r="L192" s="443">
        <f t="shared" si="60"/>
        <v>194.41</v>
      </c>
      <c r="M192" s="456"/>
      <c r="N192" s="443"/>
      <c r="O192" s="443"/>
      <c r="P192" s="443"/>
      <c r="Q192" s="443"/>
      <c r="R192" s="443">
        <f t="shared" si="61"/>
        <v>194.41</v>
      </c>
      <c r="S192" s="443">
        <f t="shared" si="55"/>
        <v>237.37</v>
      </c>
      <c r="T192" s="442">
        <f t="shared" si="58"/>
        <v>475</v>
      </c>
      <c r="U192" s="442">
        <f t="shared" si="56"/>
        <v>95</v>
      </c>
      <c r="V192" s="442">
        <f t="shared" si="57"/>
        <v>570</v>
      </c>
      <c r="W192" s="442">
        <v>376</v>
      </c>
      <c r="X192" s="78">
        <f t="shared" si="62"/>
        <v>51.595744680851055</v>
      </c>
    </row>
    <row r="193" spans="1:24" hidden="1" x14ac:dyDescent="0.25">
      <c r="A193" s="446" t="s">
        <v>506</v>
      </c>
      <c r="B193" s="446" t="s">
        <v>274</v>
      </c>
      <c r="C193" s="446"/>
      <c r="D193" s="446"/>
      <c r="E193" s="444" t="s">
        <v>95</v>
      </c>
      <c r="F193" s="443" t="s">
        <v>198</v>
      </c>
      <c r="G193" s="454" t="s">
        <v>162</v>
      </c>
      <c r="H193" s="443">
        <f>VLOOKUP(G193,'условия, ФОТ'!$A$14:$I$32,9, FALSE)</f>
        <v>164.09</v>
      </c>
      <c r="I193" s="457">
        <v>0.72</v>
      </c>
      <c r="J193" s="443">
        <f t="shared" si="59"/>
        <v>118.14</v>
      </c>
      <c r="K193" s="443">
        <f t="shared" si="54"/>
        <v>35.68</v>
      </c>
      <c r="L193" s="443">
        <f t="shared" si="60"/>
        <v>153.82</v>
      </c>
      <c r="M193" s="456"/>
      <c r="N193" s="443"/>
      <c r="O193" s="443"/>
      <c r="P193" s="443"/>
      <c r="Q193" s="443"/>
      <c r="R193" s="443">
        <f t="shared" si="61"/>
        <v>153.82</v>
      </c>
      <c r="S193" s="443">
        <f t="shared" si="55"/>
        <v>187.81</v>
      </c>
      <c r="T193" s="442">
        <f t="shared" si="58"/>
        <v>375.83</v>
      </c>
      <c r="U193" s="442">
        <f t="shared" si="56"/>
        <v>75.17</v>
      </c>
      <c r="V193" s="442">
        <f t="shared" si="57"/>
        <v>451</v>
      </c>
      <c r="W193" s="442">
        <v>298</v>
      </c>
      <c r="X193" s="78">
        <f t="shared" si="62"/>
        <v>51.342281879194616</v>
      </c>
    </row>
    <row r="194" spans="1:24" ht="25.5" hidden="1" x14ac:dyDescent="0.25">
      <c r="A194" s="446" t="s">
        <v>507</v>
      </c>
      <c r="B194" s="446" t="s">
        <v>275</v>
      </c>
      <c r="C194" s="446"/>
      <c r="D194" s="446"/>
      <c r="E194" s="444" t="s">
        <v>96</v>
      </c>
      <c r="F194" s="443" t="s">
        <v>198</v>
      </c>
      <c r="G194" s="454" t="s">
        <v>162</v>
      </c>
      <c r="H194" s="443">
        <f>VLOOKUP(G194,'условия, ФОТ'!$A$14:$I$32,9, FALSE)</f>
        <v>164.09</v>
      </c>
      <c r="I194" s="457">
        <v>0.42</v>
      </c>
      <c r="J194" s="443">
        <f t="shared" si="59"/>
        <v>68.92</v>
      </c>
      <c r="K194" s="443">
        <f t="shared" si="54"/>
        <v>20.81</v>
      </c>
      <c r="L194" s="443">
        <f t="shared" si="60"/>
        <v>89.73</v>
      </c>
      <c r="M194" s="456"/>
      <c r="N194" s="443"/>
      <c r="O194" s="443"/>
      <c r="P194" s="443"/>
      <c r="Q194" s="443"/>
      <c r="R194" s="443">
        <f t="shared" si="61"/>
        <v>89.73</v>
      </c>
      <c r="S194" s="443">
        <f t="shared" si="55"/>
        <v>109.56</v>
      </c>
      <c r="T194" s="442">
        <f t="shared" si="58"/>
        <v>219.17</v>
      </c>
      <c r="U194" s="442">
        <f t="shared" si="56"/>
        <v>43.83</v>
      </c>
      <c r="V194" s="442">
        <f t="shared" si="57"/>
        <v>263</v>
      </c>
      <c r="W194" s="442">
        <v>174</v>
      </c>
      <c r="X194" s="78">
        <f t="shared" si="62"/>
        <v>51.149425287356337</v>
      </c>
    </row>
    <row r="195" spans="1:24" hidden="1" x14ac:dyDescent="0.25">
      <c r="A195" s="446" t="s">
        <v>508</v>
      </c>
      <c r="B195" s="446" t="s">
        <v>276</v>
      </c>
      <c r="C195" s="446"/>
      <c r="D195" s="446"/>
      <c r="E195" s="444" t="s">
        <v>97</v>
      </c>
      <c r="F195" s="443" t="s">
        <v>198</v>
      </c>
      <c r="G195" s="454" t="s">
        <v>162</v>
      </c>
      <c r="H195" s="443">
        <f>VLOOKUP(G195,'условия, ФОТ'!$A$14:$I$32,9, FALSE)</f>
        <v>164.09</v>
      </c>
      <c r="I195" s="457">
        <v>2</v>
      </c>
      <c r="J195" s="443">
        <f t="shared" si="59"/>
        <v>328.18</v>
      </c>
      <c r="K195" s="443">
        <f t="shared" si="54"/>
        <v>99.11</v>
      </c>
      <c r="L195" s="443">
        <f t="shared" si="60"/>
        <v>427.29</v>
      </c>
      <c r="M195" s="456"/>
      <c r="N195" s="443"/>
      <c r="O195" s="443"/>
      <c r="P195" s="443"/>
      <c r="Q195" s="443"/>
      <c r="R195" s="443">
        <f t="shared" si="61"/>
        <v>427.29</v>
      </c>
      <c r="S195" s="443">
        <f t="shared" si="55"/>
        <v>521.72</v>
      </c>
      <c r="T195" s="442">
        <f t="shared" si="58"/>
        <v>1044.17</v>
      </c>
      <c r="U195" s="442">
        <f t="shared" si="56"/>
        <v>208.83</v>
      </c>
      <c r="V195" s="442">
        <f t="shared" si="57"/>
        <v>1253</v>
      </c>
      <c r="W195" s="442">
        <v>827</v>
      </c>
      <c r="X195" s="78">
        <f t="shared" si="62"/>
        <v>51.511487303506641</v>
      </c>
    </row>
    <row r="196" spans="1:24" hidden="1" x14ac:dyDescent="0.25">
      <c r="A196" s="446" t="s">
        <v>509</v>
      </c>
      <c r="B196" s="446" t="s">
        <v>277</v>
      </c>
      <c r="C196" s="446"/>
      <c r="D196" s="446"/>
      <c r="E196" s="444" t="s">
        <v>98</v>
      </c>
      <c r="F196" s="443" t="s">
        <v>198</v>
      </c>
      <c r="G196" s="454" t="s">
        <v>162</v>
      </c>
      <c r="H196" s="443">
        <f>VLOOKUP(G196,'условия, ФОТ'!$A$14:$I$32,9, FALSE)</f>
        <v>164.09</v>
      </c>
      <c r="I196" s="457">
        <v>0.35</v>
      </c>
      <c r="J196" s="443">
        <f t="shared" si="59"/>
        <v>57.43</v>
      </c>
      <c r="K196" s="443">
        <f t="shared" si="54"/>
        <v>17.34</v>
      </c>
      <c r="L196" s="443">
        <f t="shared" si="60"/>
        <v>74.77</v>
      </c>
      <c r="M196" s="456"/>
      <c r="N196" s="443"/>
      <c r="O196" s="443"/>
      <c r="P196" s="443"/>
      <c r="Q196" s="443"/>
      <c r="R196" s="443">
        <f t="shared" si="61"/>
        <v>74.77</v>
      </c>
      <c r="S196" s="443">
        <f t="shared" si="55"/>
        <v>91.29</v>
      </c>
      <c r="T196" s="442">
        <f t="shared" si="58"/>
        <v>182.5</v>
      </c>
      <c r="U196" s="442">
        <f t="shared" si="56"/>
        <v>36.5</v>
      </c>
      <c r="V196" s="442">
        <f t="shared" si="57"/>
        <v>219</v>
      </c>
      <c r="W196" s="442">
        <v>145</v>
      </c>
      <c r="X196" s="78">
        <f t="shared" si="62"/>
        <v>51.034482758620669</v>
      </c>
    </row>
    <row r="197" spans="1:24" hidden="1" x14ac:dyDescent="0.25">
      <c r="A197" s="446" t="s">
        <v>510</v>
      </c>
      <c r="B197" s="446" t="s">
        <v>278</v>
      </c>
      <c r="C197" s="446"/>
      <c r="D197" s="446"/>
      <c r="E197" s="444" t="s">
        <v>99</v>
      </c>
      <c r="F197" s="443" t="s">
        <v>198</v>
      </c>
      <c r="G197" s="454" t="s">
        <v>162</v>
      </c>
      <c r="H197" s="443">
        <f>VLOOKUP(G197,'условия, ФОТ'!$A$14:$I$32,9, FALSE)</f>
        <v>164.09</v>
      </c>
      <c r="I197" s="457">
        <v>0.65</v>
      </c>
      <c r="J197" s="443">
        <f t="shared" si="59"/>
        <v>106.66</v>
      </c>
      <c r="K197" s="443">
        <f t="shared" si="54"/>
        <v>32.21</v>
      </c>
      <c r="L197" s="443">
        <f t="shared" si="60"/>
        <v>138.87</v>
      </c>
      <c r="M197" s="456"/>
      <c r="N197" s="443"/>
      <c r="O197" s="443"/>
      <c r="P197" s="443"/>
      <c r="Q197" s="443"/>
      <c r="R197" s="443">
        <f t="shared" si="61"/>
        <v>138.87</v>
      </c>
      <c r="S197" s="443">
        <f t="shared" si="55"/>
        <v>169.56</v>
      </c>
      <c r="T197" s="442">
        <f t="shared" si="58"/>
        <v>339.17</v>
      </c>
      <c r="U197" s="442">
        <f t="shared" si="56"/>
        <v>67.83</v>
      </c>
      <c r="V197" s="442">
        <f t="shared" si="57"/>
        <v>407</v>
      </c>
      <c r="W197" s="442">
        <v>269</v>
      </c>
      <c r="X197" s="78">
        <f t="shared" si="62"/>
        <v>51.301115241635699</v>
      </c>
    </row>
    <row r="198" spans="1:24" hidden="1" x14ac:dyDescent="0.25">
      <c r="A198" s="446" t="s">
        <v>511</v>
      </c>
      <c r="B198" s="446" t="s">
        <v>279</v>
      </c>
      <c r="C198" s="446"/>
      <c r="D198" s="446"/>
      <c r="E198" s="459" t="s">
        <v>100</v>
      </c>
      <c r="F198" s="443" t="s">
        <v>198</v>
      </c>
      <c r="G198" s="454" t="s">
        <v>162</v>
      </c>
      <c r="H198" s="443">
        <f>VLOOKUP(G198,'условия, ФОТ'!$A$14:$I$32,9, FALSE)</f>
        <v>164.09</v>
      </c>
      <c r="I198" s="457">
        <v>1</v>
      </c>
      <c r="J198" s="443">
        <f t="shared" si="59"/>
        <v>164.09</v>
      </c>
      <c r="K198" s="443">
        <f t="shared" si="54"/>
        <v>49.56</v>
      </c>
      <c r="L198" s="443">
        <f t="shared" si="60"/>
        <v>213.65</v>
      </c>
      <c r="M198" s="456"/>
      <c r="N198" s="443"/>
      <c r="O198" s="443"/>
      <c r="P198" s="443"/>
      <c r="Q198" s="443"/>
      <c r="R198" s="443">
        <f t="shared" si="61"/>
        <v>213.65</v>
      </c>
      <c r="S198" s="443">
        <f t="shared" si="55"/>
        <v>260.87</v>
      </c>
      <c r="T198" s="442">
        <f t="shared" si="58"/>
        <v>521.66999999999996</v>
      </c>
      <c r="U198" s="442">
        <f t="shared" si="56"/>
        <v>104.33</v>
      </c>
      <c r="V198" s="442">
        <f t="shared" si="57"/>
        <v>626</v>
      </c>
      <c r="W198" s="442">
        <v>413</v>
      </c>
      <c r="X198" s="78">
        <f t="shared" si="62"/>
        <v>51.573849878934624</v>
      </c>
    </row>
    <row r="199" spans="1:24" hidden="1" x14ac:dyDescent="0.25">
      <c r="A199" s="446" t="s">
        <v>512</v>
      </c>
      <c r="B199" s="446" t="s">
        <v>280</v>
      </c>
      <c r="C199" s="446"/>
      <c r="D199" s="446"/>
      <c r="E199" s="459" t="s">
        <v>101</v>
      </c>
      <c r="F199" s="443" t="s">
        <v>198</v>
      </c>
      <c r="G199" s="454" t="s">
        <v>162</v>
      </c>
      <c r="H199" s="443">
        <f>VLOOKUP(G199,'условия, ФОТ'!$A$14:$I$32,9, FALSE)</f>
        <v>164.09</v>
      </c>
      <c r="I199" s="457">
        <v>0.66</v>
      </c>
      <c r="J199" s="443">
        <f t="shared" si="59"/>
        <v>108.3</v>
      </c>
      <c r="K199" s="443">
        <f t="shared" si="54"/>
        <v>32.71</v>
      </c>
      <c r="L199" s="443">
        <f t="shared" si="60"/>
        <v>141.01</v>
      </c>
      <c r="M199" s="456"/>
      <c r="N199" s="443"/>
      <c r="O199" s="443"/>
      <c r="P199" s="443"/>
      <c r="Q199" s="443"/>
      <c r="R199" s="443">
        <f t="shared" si="61"/>
        <v>141.01</v>
      </c>
      <c r="S199" s="443">
        <f t="shared" si="55"/>
        <v>172.17</v>
      </c>
      <c r="T199" s="442">
        <f t="shared" si="58"/>
        <v>344.17</v>
      </c>
      <c r="U199" s="442">
        <f t="shared" si="56"/>
        <v>68.83</v>
      </c>
      <c r="V199" s="442">
        <f t="shared" si="57"/>
        <v>413</v>
      </c>
      <c r="W199" s="442">
        <v>273</v>
      </c>
      <c r="X199" s="78">
        <f t="shared" si="62"/>
        <v>51.28205128205127</v>
      </c>
    </row>
    <row r="200" spans="1:24" hidden="1" x14ac:dyDescent="0.25">
      <c r="A200" s="446" t="s">
        <v>513</v>
      </c>
      <c r="B200" s="446" t="s">
        <v>27</v>
      </c>
      <c r="C200" s="446"/>
      <c r="D200" s="446"/>
      <c r="E200" s="444" t="s">
        <v>102</v>
      </c>
      <c r="F200" s="443" t="s">
        <v>198</v>
      </c>
      <c r="G200" s="454" t="s">
        <v>162</v>
      </c>
      <c r="H200" s="443">
        <f>VLOOKUP(G200,'условия, ФОТ'!$A$14:$I$32,9, FALSE)</f>
        <v>164.09</v>
      </c>
      <c r="I200" s="457">
        <v>0.1</v>
      </c>
      <c r="J200" s="443">
        <f t="shared" si="59"/>
        <v>16.41</v>
      </c>
      <c r="K200" s="443">
        <f t="shared" si="54"/>
        <v>4.96</v>
      </c>
      <c r="L200" s="443">
        <f t="shared" si="60"/>
        <v>21.37</v>
      </c>
      <c r="M200" s="456"/>
      <c r="N200" s="443"/>
      <c r="O200" s="443"/>
      <c r="P200" s="443"/>
      <c r="Q200" s="443"/>
      <c r="R200" s="443">
        <f t="shared" si="61"/>
        <v>21.37</v>
      </c>
      <c r="S200" s="443">
        <f t="shared" si="55"/>
        <v>26.09</v>
      </c>
      <c r="T200" s="442">
        <f t="shared" si="58"/>
        <v>52.5</v>
      </c>
      <c r="U200" s="442">
        <f t="shared" si="56"/>
        <v>10.5</v>
      </c>
      <c r="V200" s="442">
        <f t="shared" si="57"/>
        <v>63</v>
      </c>
      <c r="W200" s="442">
        <v>41</v>
      </c>
      <c r="X200" s="78">
        <f t="shared" si="62"/>
        <v>53.658536585365852</v>
      </c>
    </row>
    <row r="201" spans="1:24" hidden="1" x14ac:dyDescent="0.25">
      <c r="A201" s="446" t="s">
        <v>514</v>
      </c>
      <c r="B201" s="446" t="s">
        <v>27</v>
      </c>
      <c r="C201" s="446"/>
      <c r="D201" s="446"/>
      <c r="E201" s="444" t="s">
        <v>103</v>
      </c>
      <c r="F201" s="443" t="s">
        <v>198</v>
      </c>
      <c r="G201" s="454" t="s">
        <v>283</v>
      </c>
      <c r="H201" s="443">
        <f>VLOOKUP(G201,'условия, ФОТ'!$A$14:$I$32,9, FALSE)</f>
        <v>142.96</v>
      </c>
      <c r="I201" s="457">
        <v>0.25</v>
      </c>
      <c r="J201" s="443">
        <f t="shared" si="59"/>
        <v>35.74</v>
      </c>
      <c r="K201" s="443">
        <f t="shared" si="54"/>
        <v>10.79</v>
      </c>
      <c r="L201" s="443">
        <f t="shared" si="60"/>
        <v>46.53</v>
      </c>
      <c r="M201" s="456"/>
      <c r="N201" s="443"/>
      <c r="O201" s="443"/>
      <c r="P201" s="443"/>
      <c r="Q201" s="443"/>
      <c r="R201" s="443">
        <f t="shared" si="61"/>
        <v>46.53</v>
      </c>
      <c r="S201" s="443">
        <f t="shared" si="55"/>
        <v>56.81</v>
      </c>
      <c r="T201" s="442">
        <f t="shared" si="58"/>
        <v>113.33</v>
      </c>
      <c r="U201" s="442">
        <f t="shared" si="56"/>
        <v>22.67</v>
      </c>
      <c r="V201" s="442">
        <f t="shared" si="57"/>
        <v>136</v>
      </c>
      <c r="W201" s="442">
        <v>117</v>
      </c>
      <c r="X201" s="78">
        <f t="shared" si="62"/>
        <v>16.239316239316253</v>
      </c>
    </row>
    <row r="202" spans="1:24" hidden="1" x14ac:dyDescent="0.25">
      <c r="A202" s="446" t="s">
        <v>515</v>
      </c>
      <c r="B202" s="446" t="s">
        <v>27</v>
      </c>
      <c r="C202" s="446"/>
      <c r="D202" s="446"/>
      <c r="E202" s="444" t="s">
        <v>104</v>
      </c>
      <c r="F202" s="443" t="s">
        <v>198</v>
      </c>
      <c r="G202" s="454" t="s">
        <v>283</v>
      </c>
      <c r="H202" s="443">
        <f>VLOOKUP(G202,'условия, ФОТ'!$A$14:$I$32,9, FALSE)</f>
        <v>142.96</v>
      </c>
      <c r="I202" s="457">
        <v>0.25</v>
      </c>
      <c r="J202" s="443">
        <f t="shared" si="59"/>
        <v>35.74</v>
      </c>
      <c r="K202" s="443">
        <f t="shared" si="54"/>
        <v>10.79</v>
      </c>
      <c r="L202" s="443">
        <f t="shared" si="60"/>
        <v>46.53</v>
      </c>
      <c r="M202" s="456"/>
      <c r="N202" s="443"/>
      <c r="O202" s="443"/>
      <c r="P202" s="443"/>
      <c r="Q202" s="443"/>
      <c r="R202" s="443">
        <f t="shared" si="61"/>
        <v>46.53</v>
      </c>
      <c r="S202" s="443">
        <f t="shared" si="55"/>
        <v>56.81</v>
      </c>
      <c r="T202" s="442">
        <f t="shared" si="58"/>
        <v>113.33</v>
      </c>
      <c r="U202" s="442">
        <f t="shared" si="56"/>
        <v>22.67</v>
      </c>
      <c r="V202" s="442">
        <f t="shared" si="57"/>
        <v>136</v>
      </c>
      <c r="W202" s="442">
        <v>117</v>
      </c>
      <c r="X202" s="78">
        <f t="shared" si="62"/>
        <v>16.239316239316253</v>
      </c>
    </row>
    <row r="203" spans="1:24" ht="25.5" hidden="1" x14ac:dyDescent="0.25">
      <c r="A203" s="446" t="s">
        <v>516</v>
      </c>
      <c r="B203" s="446" t="s">
        <v>27</v>
      </c>
      <c r="C203" s="446"/>
      <c r="D203" s="446"/>
      <c r="E203" s="444" t="s">
        <v>105</v>
      </c>
      <c r="F203" s="443" t="s">
        <v>198</v>
      </c>
      <c r="G203" s="454" t="s">
        <v>283</v>
      </c>
      <c r="H203" s="443">
        <f>VLOOKUP(G203,'условия, ФОТ'!$A$14:$I$32,9, FALSE)</f>
        <v>142.96</v>
      </c>
      <c r="I203" s="457">
        <v>0.33</v>
      </c>
      <c r="J203" s="443">
        <f t="shared" si="59"/>
        <v>47.18</v>
      </c>
      <c r="K203" s="443">
        <f t="shared" si="54"/>
        <v>14.25</v>
      </c>
      <c r="L203" s="443">
        <f t="shared" si="60"/>
        <v>61.43</v>
      </c>
      <c r="M203" s="456"/>
      <c r="N203" s="443"/>
      <c r="O203" s="443"/>
      <c r="P203" s="443"/>
      <c r="Q203" s="443"/>
      <c r="R203" s="443">
        <f t="shared" si="61"/>
        <v>61.43</v>
      </c>
      <c r="S203" s="443">
        <f t="shared" si="55"/>
        <v>75.010000000000005</v>
      </c>
      <c r="T203" s="442">
        <f t="shared" si="58"/>
        <v>150</v>
      </c>
      <c r="U203" s="442">
        <f t="shared" si="56"/>
        <v>30</v>
      </c>
      <c r="V203" s="442">
        <f t="shared" si="57"/>
        <v>180</v>
      </c>
      <c r="W203" s="442">
        <v>154</v>
      </c>
      <c r="X203" s="78">
        <f t="shared" si="62"/>
        <v>16.883116883116884</v>
      </c>
    </row>
    <row r="204" spans="1:24" ht="22.7" hidden="1" customHeight="1" x14ac:dyDescent="0.25">
      <c r="A204" s="446" t="s">
        <v>517</v>
      </c>
      <c r="B204" s="446" t="s">
        <v>27</v>
      </c>
      <c r="C204" s="446"/>
      <c r="D204" s="446"/>
      <c r="E204" s="444" t="s">
        <v>106</v>
      </c>
      <c r="F204" s="443" t="s">
        <v>198</v>
      </c>
      <c r="G204" s="454" t="s">
        <v>283</v>
      </c>
      <c r="H204" s="443">
        <f>VLOOKUP(G204,'условия, ФОТ'!$A$14:$I$32,9, FALSE)</f>
        <v>142.96</v>
      </c>
      <c r="I204" s="457">
        <v>0.33</v>
      </c>
      <c r="J204" s="443">
        <f t="shared" si="59"/>
        <v>47.18</v>
      </c>
      <c r="K204" s="443">
        <f t="shared" si="54"/>
        <v>14.25</v>
      </c>
      <c r="L204" s="443">
        <f t="shared" si="60"/>
        <v>61.43</v>
      </c>
      <c r="M204" s="456"/>
      <c r="N204" s="443"/>
      <c r="O204" s="443"/>
      <c r="P204" s="443"/>
      <c r="Q204" s="443"/>
      <c r="R204" s="443">
        <f t="shared" si="61"/>
        <v>61.43</v>
      </c>
      <c r="S204" s="443">
        <f t="shared" si="55"/>
        <v>75.010000000000005</v>
      </c>
      <c r="T204" s="442">
        <f t="shared" si="58"/>
        <v>150</v>
      </c>
      <c r="U204" s="442">
        <f t="shared" si="56"/>
        <v>30</v>
      </c>
      <c r="V204" s="442">
        <f t="shared" si="57"/>
        <v>180</v>
      </c>
      <c r="W204" s="442">
        <v>154</v>
      </c>
      <c r="X204" s="78">
        <f t="shared" si="62"/>
        <v>16.883116883116884</v>
      </c>
    </row>
    <row r="205" spans="1:24" ht="31.7" hidden="1" customHeight="1" x14ac:dyDescent="0.25">
      <c r="A205" s="446" t="s">
        <v>518</v>
      </c>
      <c r="B205" s="446" t="s">
        <v>27</v>
      </c>
      <c r="C205" s="446"/>
      <c r="D205" s="446"/>
      <c r="E205" s="444" t="s">
        <v>107</v>
      </c>
      <c r="F205" s="443" t="s">
        <v>198</v>
      </c>
      <c r="G205" s="454" t="s">
        <v>283</v>
      </c>
      <c r="H205" s="443">
        <f>VLOOKUP(G205,'условия, ФОТ'!$A$14:$I$32,9, FALSE)</f>
        <v>142.96</v>
      </c>
      <c r="I205" s="457">
        <v>0.33</v>
      </c>
      <c r="J205" s="443">
        <f t="shared" si="59"/>
        <v>47.18</v>
      </c>
      <c r="K205" s="443">
        <f t="shared" si="54"/>
        <v>14.25</v>
      </c>
      <c r="L205" s="443">
        <f t="shared" si="60"/>
        <v>61.43</v>
      </c>
      <c r="M205" s="456"/>
      <c r="N205" s="443"/>
      <c r="O205" s="443"/>
      <c r="P205" s="443"/>
      <c r="Q205" s="443"/>
      <c r="R205" s="443">
        <f t="shared" si="61"/>
        <v>61.43</v>
      </c>
      <c r="S205" s="443">
        <f t="shared" si="55"/>
        <v>75.010000000000005</v>
      </c>
      <c r="T205" s="442">
        <f t="shared" si="58"/>
        <v>150</v>
      </c>
      <c r="U205" s="442">
        <f t="shared" si="56"/>
        <v>30</v>
      </c>
      <c r="V205" s="442">
        <f t="shared" si="57"/>
        <v>180</v>
      </c>
      <c r="W205" s="442">
        <v>154</v>
      </c>
      <c r="X205" s="78">
        <f t="shared" si="62"/>
        <v>16.883116883116884</v>
      </c>
    </row>
    <row r="206" spans="1:24" ht="18" hidden="1" customHeight="1" x14ac:dyDescent="0.25">
      <c r="A206" s="446" t="s">
        <v>519</v>
      </c>
      <c r="B206" s="446" t="s">
        <v>27</v>
      </c>
      <c r="C206" s="446"/>
      <c r="D206" s="446"/>
      <c r="E206" s="444" t="s">
        <v>108</v>
      </c>
      <c r="F206" s="443" t="s">
        <v>198</v>
      </c>
      <c r="G206" s="454" t="s">
        <v>283</v>
      </c>
      <c r="H206" s="443">
        <f>VLOOKUP(G206,'условия, ФОТ'!$A$14:$I$32,9, FALSE)</f>
        <v>142.96</v>
      </c>
      <c r="I206" s="457">
        <v>0.5</v>
      </c>
      <c r="J206" s="443">
        <f t="shared" si="59"/>
        <v>71.48</v>
      </c>
      <c r="K206" s="443">
        <f t="shared" si="54"/>
        <v>21.59</v>
      </c>
      <c r="L206" s="443">
        <f t="shared" si="60"/>
        <v>93.070000000000007</v>
      </c>
      <c r="M206" s="456"/>
      <c r="N206" s="443"/>
      <c r="O206" s="443"/>
      <c r="P206" s="443"/>
      <c r="Q206" s="443"/>
      <c r="R206" s="443">
        <f t="shared" si="61"/>
        <v>93.070000000000007</v>
      </c>
      <c r="S206" s="443">
        <f t="shared" si="55"/>
        <v>113.64</v>
      </c>
      <c r="T206" s="442">
        <f>ROUND(V206/1.2,2)</f>
        <v>227.5</v>
      </c>
      <c r="U206" s="442">
        <f t="shared" si="56"/>
        <v>45.5</v>
      </c>
      <c r="V206" s="442">
        <f t="shared" si="57"/>
        <v>273</v>
      </c>
      <c r="W206" s="442">
        <v>234</v>
      </c>
      <c r="X206" s="78">
        <f t="shared" si="62"/>
        <v>16.666666666666671</v>
      </c>
    </row>
    <row r="207" spans="1:24" ht="18" hidden="1" customHeight="1" x14ac:dyDescent="0.25">
      <c r="A207" s="597" t="s">
        <v>281</v>
      </c>
      <c r="B207" s="597"/>
      <c r="C207" s="597"/>
      <c r="D207" s="597"/>
      <c r="E207" s="597"/>
      <c r="F207" s="597"/>
      <c r="G207" s="597"/>
      <c r="H207" s="597"/>
      <c r="I207" s="597"/>
      <c r="J207" s="597"/>
      <c r="K207" s="597"/>
      <c r="L207" s="597"/>
      <c r="M207" s="597"/>
      <c r="N207" s="597"/>
      <c r="O207" s="597"/>
      <c r="P207" s="597"/>
      <c r="Q207" s="597"/>
      <c r="R207" s="597"/>
      <c r="S207" s="597"/>
      <c r="T207" s="597"/>
      <c r="U207" s="597"/>
      <c r="V207" s="597"/>
      <c r="W207" s="597"/>
      <c r="X207" s="78"/>
    </row>
    <row r="208" spans="1:24" ht="30.75" hidden="1" customHeight="1" x14ac:dyDescent="0.25">
      <c r="A208" s="446" t="s">
        <v>520</v>
      </c>
      <c r="B208" s="446" t="s">
        <v>282</v>
      </c>
      <c r="C208" s="446"/>
      <c r="D208" s="446"/>
      <c r="E208" s="444" t="s">
        <v>109</v>
      </c>
      <c r="F208" s="443" t="s">
        <v>26</v>
      </c>
      <c r="G208" s="454" t="s">
        <v>161</v>
      </c>
      <c r="H208" s="443">
        <f>VLOOKUP(G208,'условия, ФОТ'!$A$14:$I$32,9, FALSE)</f>
        <v>111.79</v>
      </c>
      <c r="I208" s="457">
        <v>0.9</v>
      </c>
      <c r="J208" s="443">
        <f>ROUND(H208*I208,2)</f>
        <v>100.61</v>
      </c>
      <c r="K208" s="443">
        <f>ROUND(J208*$K$7,2)</f>
        <v>30.38</v>
      </c>
      <c r="L208" s="443">
        <f t="shared" si="60"/>
        <v>130.99</v>
      </c>
      <c r="M208" s="456"/>
      <c r="N208" s="443"/>
      <c r="O208" s="443"/>
      <c r="P208" s="443"/>
      <c r="Q208" s="443">
        <f>SUM(Q209:Q211)</f>
        <v>4.03</v>
      </c>
      <c r="R208" s="443">
        <f>L208+Q208</f>
        <v>135.02000000000001</v>
      </c>
      <c r="S208" s="443">
        <f>ROUND(R208*$S$7,2)</f>
        <v>164.86</v>
      </c>
      <c r="T208" s="442">
        <f>ROUND(V208/1.2,2)</f>
        <v>330</v>
      </c>
      <c r="U208" s="442">
        <f>ROUND(T208*$U$7,2)</f>
        <v>66</v>
      </c>
      <c r="V208" s="442">
        <f>ROUND((R208+S208)*(1+$T$7)*1.2,0)</f>
        <v>396</v>
      </c>
      <c r="W208" s="442">
        <v>339</v>
      </c>
      <c r="X208" s="78">
        <f t="shared" si="62"/>
        <v>16.814159292035399</v>
      </c>
    </row>
    <row r="209" spans="1:24" ht="26.25" hidden="1" customHeight="1" outlineLevel="1" x14ac:dyDescent="0.25">
      <c r="A209" s="446"/>
      <c r="B209" s="446"/>
      <c r="C209" s="446"/>
      <c r="D209" s="446"/>
      <c r="E209" s="444"/>
      <c r="F209" s="443"/>
      <c r="G209" s="454"/>
      <c r="H209" s="443"/>
      <c r="I209" s="457"/>
      <c r="J209" s="443"/>
      <c r="K209" s="443"/>
      <c r="L209" s="96" t="s">
        <v>366</v>
      </c>
      <c r="M209" s="104" t="s">
        <v>335</v>
      </c>
      <c r="N209" s="98" t="str">
        <f>VLOOKUP(M209,материалы!$A$5:$G$31,5, FALSE)</f>
        <v>кг</v>
      </c>
      <c r="O209" s="443">
        <f>VLOOKUP(M209,материалы!$A$5:$G$31,7, FALSE)</f>
        <v>712.76</v>
      </c>
      <c r="P209" s="443">
        <v>5.0000000000000001E-3</v>
      </c>
      <c r="Q209" s="443">
        <f>ROUND(O209*P209,2)</f>
        <v>3.56</v>
      </c>
      <c r="R209" s="443"/>
      <c r="S209" s="443"/>
      <c r="T209" s="442"/>
      <c r="U209" s="442"/>
      <c r="V209" s="442"/>
      <c r="W209" s="442"/>
      <c r="X209" s="78"/>
    </row>
    <row r="210" spans="1:24" hidden="1" outlineLevel="1" x14ac:dyDescent="0.25">
      <c r="A210" s="446"/>
      <c r="B210" s="446"/>
      <c r="C210" s="446"/>
      <c r="D210" s="446"/>
      <c r="E210" s="444"/>
      <c r="F210" s="443"/>
      <c r="G210" s="454"/>
      <c r="H210" s="443"/>
      <c r="I210" s="457"/>
      <c r="J210" s="443"/>
      <c r="K210" s="443"/>
      <c r="L210" s="443"/>
      <c r="M210" s="97" t="s">
        <v>329</v>
      </c>
      <c r="N210" s="98" t="str">
        <f>VLOOKUP(M210,материалы!$A$5:$G$31,5, FALSE)</f>
        <v>кг</v>
      </c>
      <c r="O210" s="443">
        <f>VLOOKUP(M210,материалы!$A$5:$G$31,7, FALSE)</f>
        <v>65.599999999999994</v>
      </c>
      <c r="P210" s="100">
        <v>1E-3</v>
      </c>
      <c r="Q210" s="443">
        <f>ROUND(O210*P210,2)</f>
        <v>7.0000000000000007E-2</v>
      </c>
      <c r="R210" s="443"/>
      <c r="S210" s="443"/>
      <c r="T210" s="442"/>
      <c r="U210" s="442"/>
      <c r="V210" s="442"/>
      <c r="W210" s="442"/>
      <c r="X210" s="78"/>
    </row>
    <row r="211" spans="1:24" hidden="1" outlineLevel="1" x14ac:dyDescent="0.25">
      <c r="A211" s="446"/>
      <c r="B211" s="446"/>
      <c r="C211" s="446"/>
      <c r="D211" s="446"/>
      <c r="E211" s="444"/>
      <c r="F211" s="443"/>
      <c r="G211" s="454"/>
      <c r="H211" s="443"/>
      <c r="I211" s="457"/>
      <c r="J211" s="443"/>
      <c r="K211" s="443"/>
      <c r="L211" s="443"/>
      <c r="M211" s="97" t="s">
        <v>330</v>
      </c>
      <c r="N211" s="98" t="str">
        <f>VLOOKUP(M211,материалы!$A$5:$G$31,5, FALSE)</f>
        <v>кг</v>
      </c>
      <c r="O211" s="443">
        <f>VLOOKUP(M211,материалы!$A$5:$G$31,7, FALSE)</f>
        <v>39.82</v>
      </c>
      <c r="P211" s="98">
        <v>0.01</v>
      </c>
      <c r="Q211" s="443">
        <f>ROUND(O211*P211,2)</f>
        <v>0.4</v>
      </c>
      <c r="R211" s="443"/>
      <c r="S211" s="443"/>
      <c r="T211" s="442"/>
      <c r="U211" s="442"/>
      <c r="V211" s="442"/>
      <c r="W211" s="442"/>
      <c r="X211" s="78"/>
    </row>
    <row r="212" spans="1:24" ht="19.5" hidden="1" customHeight="1" x14ac:dyDescent="0.25">
      <c r="A212" s="590" t="s">
        <v>521</v>
      </c>
      <c r="B212" s="590" t="s">
        <v>284</v>
      </c>
      <c r="C212" s="446"/>
      <c r="D212" s="446"/>
      <c r="E212" s="589" t="s">
        <v>373</v>
      </c>
      <c r="F212" s="592" t="s">
        <v>285</v>
      </c>
      <c r="G212" s="454" t="s">
        <v>161</v>
      </c>
      <c r="H212" s="443">
        <f>VLOOKUP(G212,'условия, ФОТ'!$A$14:$I$32,9, FALSE)</f>
        <v>111.79</v>
      </c>
      <c r="I212" s="608">
        <v>2.84</v>
      </c>
      <c r="J212" s="608">
        <f>ROUND((H212+H213)/2*I212,2)</f>
        <v>422.58</v>
      </c>
      <c r="K212" s="608">
        <f>ROUND(J212*$K$7,2)</f>
        <v>127.62</v>
      </c>
      <c r="L212" s="608">
        <f t="shared" si="60"/>
        <v>550.20000000000005</v>
      </c>
      <c r="M212" s="591"/>
      <c r="N212" s="592"/>
      <c r="O212" s="592"/>
      <c r="P212" s="592"/>
      <c r="Q212" s="592">
        <f>SUM(Q214:Q219)</f>
        <v>114.72000000000001</v>
      </c>
      <c r="R212" s="608">
        <f>L212+Q212</f>
        <v>664.92000000000007</v>
      </c>
      <c r="S212" s="608">
        <f>ROUND(R212*$S$7,2)</f>
        <v>811.87</v>
      </c>
      <c r="T212" s="596">
        <f>ROUND(V212/1.2,2)</f>
        <v>1624.17</v>
      </c>
      <c r="U212" s="596">
        <f>ROUND(T212*$U$7,2)</f>
        <v>324.83</v>
      </c>
      <c r="V212" s="596">
        <f>ROUND((R212+S212)*(1+$T$7)*1.2,0)</f>
        <v>1949</v>
      </c>
      <c r="W212" s="596">
        <v>1669</v>
      </c>
      <c r="X212" s="601">
        <f t="shared" si="62"/>
        <v>16.776512881965246</v>
      </c>
    </row>
    <row r="213" spans="1:24" ht="20.25" hidden="1" customHeight="1" x14ac:dyDescent="0.25">
      <c r="A213" s="590"/>
      <c r="B213" s="590"/>
      <c r="C213" s="446"/>
      <c r="D213" s="446"/>
      <c r="E213" s="589"/>
      <c r="F213" s="592"/>
      <c r="G213" s="454" t="s">
        <v>166</v>
      </c>
      <c r="H213" s="443">
        <f>VLOOKUP(G213,'условия, ФОТ'!$A$14:$I$32,9, FALSE)</f>
        <v>185.8</v>
      </c>
      <c r="I213" s="608"/>
      <c r="J213" s="608"/>
      <c r="K213" s="608"/>
      <c r="L213" s="608"/>
      <c r="M213" s="591"/>
      <c r="N213" s="592"/>
      <c r="O213" s="592"/>
      <c r="P213" s="592"/>
      <c r="Q213" s="592"/>
      <c r="R213" s="608"/>
      <c r="S213" s="608"/>
      <c r="T213" s="596"/>
      <c r="U213" s="596"/>
      <c r="V213" s="596"/>
      <c r="W213" s="596"/>
      <c r="X213" s="601"/>
    </row>
    <row r="214" spans="1:24" ht="15.75" hidden="1" customHeight="1" outlineLevel="1" x14ac:dyDescent="0.25">
      <c r="A214" s="446"/>
      <c r="B214" s="446"/>
      <c r="C214" s="446"/>
      <c r="D214" s="446"/>
      <c r="E214" s="444"/>
      <c r="F214" s="443"/>
      <c r="G214" s="454"/>
      <c r="H214" s="443"/>
      <c r="I214" s="457"/>
      <c r="J214" s="457"/>
      <c r="K214" s="457"/>
      <c r="L214" s="96" t="s">
        <v>366</v>
      </c>
      <c r="M214" s="122" t="s">
        <v>323</v>
      </c>
      <c r="N214" s="98" t="str">
        <f>VLOOKUP(M214,материалы!$A$5:$G$31,5, FALSE)</f>
        <v>м3</v>
      </c>
      <c r="O214" s="443">
        <f>VLOOKUP(M214,материалы!$A$5:$G$31,7, FALSE)</f>
        <v>379.24</v>
      </c>
      <c r="P214" s="443">
        <v>0.17499999999999999</v>
      </c>
      <c r="Q214" s="443">
        <f>ROUND(O214*P214,2)</f>
        <v>66.37</v>
      </c>
      <c r="R214" s="457"/>
      <c r="S214" s="457"/>
      <c r="T214" s="442"/>
      <c r="U214" s="442"/>
      <c r="V214" s="442"/>
      <c r="W214" s="442"/>
      <c r="X214" s="441"/>
    </row>
    <row r="215" spans="1:24" ht="15.75" hidden="1" customHeight="1" outlineLevel="1" x14ac:dyDescent="0.25">
      <c r="A215" s="446"/>
      <c r="B215" s="446"/>
      <c r="C215" s="446"/>
      <c r="D215" s="446"/>
      <c r="E215" s="444"/>
      <c r="F215" s="443"/>
      <c r="G215" s="454"/>
      <c r="H215" s="443"/>
      <c r="I215" s="457"/>
      <c r="J215" s="457"/>
      <c r="K215" s="457"/>
      <c r="L215" s="457"/>
      <c r="M215" s="122" t="s">
        <v>324</v>
      </c>
      <c r="N215" s="98" t="str">
        <f>VLOOKUP(M215,материалы!$A$5:$G$31,5, FALSE)</f>
        <v>м3</v>
      </c>
      <c r="O215" s="443">
        <f>VLOOKUP(M215,материалы!$A$5:$G$31,7, FALSE)</f>
        <v>54.61</v>
      </c>
      <c r="P215" s="443">
        <v>0.05</v>
      </c>
      <c r="Q215" s="443">
        <f t="shared" ref="Q215:Q216" si="63">ROUND(O215*P215,2)</f>
        <v>2.73</v>
      </c>
      <c r="R215" s="457"/>
      <c r="S215" s="457"/>
      <c r="T215" s="442"/>
      <c r="U215" s="442"/>
      <c r="V215" s="442"/>
      <c r="W215" s="442"/>
      <c r="X215" s="441"/>
    </row>
    <row r="216" spans="1:24" ht="36" hidden="1" customHeight="1" outlineLevel="1" x14ac:dyDescent="0.25">
      <c r="A216" s="446"/>
      <c r="B216" s="446"/>
      <c r="C216" s="446"/>
      <c r="D216" s="446"/>
      <c r="E216" s="444"/>
      <c r="F216" s="443"/>
      <c r="G216" s="454"/>
      <c r="H216" s="443"/>
      <c r="I216" s="457"/>
      <c r="J216" s="457"/>
      <c r="K216" s="457"/>
      <c r="L216" s="457"/>
      <c r="M216" s="104" t="s">
        <v>341</v>
      </c>
      <c r="N216" s="98" t="str">
        <f>VLOOKUP(M216,материалы!$A$5:$G$31,5, FALSE)</f>
        <v>кг</v>
      </c>
      <c r="O216" s="443">
        <f>VLOOKUP(M216,материалы!$A$5:$G$31,7, FALSE)</f>
        <v>44.94</v>
      </c>
      <c r="P216" s="443">
        <v>1.7000000000000001E-2</v>
      </c>
      <c r="Q216" s="443">
        <f t="shared" si="63"/>
        <v>0.76</v>
      </c>
      <c r="R216" s="457"/>
      <c r="S216" s="457"/>
      <c r="T216" s="442"/>
      <c r="U216" s="442"/>
      <c r="V216" s="442"/>
      <c r="W216" s="442"/>
      <c r="X216" s="441"/>
    </row>
    <row r="217" spans="1:24" hidden="1" outlineLevel="1" x14ac:dyDescent="0.25">
      <c r="A217" s="446"/>
      <c r="B217" s="446"/>
      <c r="C217" s="446"/>
      <c r="D217" s="446"/>
      <c r="E217" s="444"/>
      <c r="F217" s="443"/>
      <c r="G217" s="454"/>
      <c r="H217" s="443"/>
      <c r="I217" s="457"/>
      <c r="J217" s="457"/>
      <c r="K217" s="457"/>
      <c r="L217" s="457"/>
      <c r="M217" s="97" t="s">
        <v>329</v>
      </c>
      <c r="N217" s="98" t="str">
        <f>VLOOKUP(M217,материалы!$A$5:$G$31,5, FALSE)</f>
        <v>кг</v>
      </c>
      <c r="O217" s="443">
        <f>VLOOKUP(M217,материалы!$A$5:$G$31,7, FALSE)</f>
        <v>65.599999999999994</v>
      </c>
      <c r="P217" s="100">
        <v>1E-3</v>
      </c>
      <c r="Q217" s="443">
        <f>ROUND(O217*P217,2)</f>
        <v>7.0000000000000007E-2</v>
      </c>
      <c r="R217" s="457"/>
      <c r="S217" s="457"/>
      <c r="T217" s="442"/>
      <c r="U217" s="442"/>
      <c r="V217" s="442"/>
      <c r="W217" s="442"/>
      <c r="X217" s="441"/>
    </row>
    <row r="218" spans="1:24" hidden="1" outlineLevel="1" x14ac:dyDescent="0.25">
      <c r="A218" s="446"/>
      <c r="B218" s="446"/>
      <c r="C218" s="446"/>
      <c r="D218" s="446"/>
      <c r="E218" s="444"/>
      <c r="F218" s="443"/>
      <c r="G218" s="454"/>
      <c r="H218" s="443"/>
      <c r="I218" s="457"/>
      <c r="J218" s="457"/>
      <c r="K218" s="457"/>
      <c r="L218" s="457"/>
      <c r="M218" s="97" t="s">
        <v>330</v>
      </c>
      <c r="N218" s="98" t="str">
        <f>VLOOKUP(M218,материалы!$A$5:$G$31,5, FALSE)</f>
        <v>кг</v>
      </c>
      <c r="O218" s="443">
        <f>VLOOKUP(M218,материалы!$A$5:$G$31,7, FALSE)</f>
        <v>39.82</v>
      </c>
      <c r="P218" s="98">
        <v>0.01</v>
      </c>
      <c r="Q218" s="443">
        <f>ROUND(O218*P218,2)</f>
        <v>0.4</v>
      </c>
      <c r="R218" s="457"/>
      <c r="S218" s="457"/>
      <c r="T218" s="442"/>
      <c r="U218" s="442"/>
      <c r="V218" s="442"/>
      <c r="W218" s="442"/>
      <c r="X218" s="441"/>
    </row>
    <row r="219" spans="1:24" ht="25.5" hidden="1" outlineLevel="1" x14ac:dyDescent="0.25">
      <c r="A219" s="446"/>
      <c r="B219" s="446"/>
      <c r="C219" s="446"/>
      <c r="D219" s="446"/>
      <c r="E219" s="444"/>
      <c r="F219" s="443"/>
      <c r="G219" s="454"/>
      <c r="H219" s="443"/>
      <c r="I219" s="457"/>
      <c r="J219" s="457"/>
      <c r="K219" s="457"/>
      <c r="L219" s="457"/>
      <c r="M219" s="97" t="s">
        <v>369</v>
      </c>
      <c r="N219" s="98" t="str">
        <f>VLOOKUP(M219,материалы!$A$5:$G$31,5, FALSE)</f>
        <v>м</v>
      </c>
      <c r="O219" s="443">
        <f>VLOOKUP(M219,материалы!$A$5:$G$31,7, FALSE)</f>
        <v>44.39</v>
      </c>
      <c r="P219" s="98">
        <v>1</v>
      </c>
      <c r="Q219" s="443">
        <f t="shared" ref="Q219" si="64">ROUND(O219*P219,2)</f>
        <v>44.39</v>
      </c>
      <c r="R219" s="457"/>
      <c r="S219" s="457"/>
      <c r="T219" s="442"/>
      <c r="U219" s="442"/>
      <c r="V219" s="442"/>
      <c r="W219" s="442"/>
      <c r="X219" s="441"/>
    </row>
    <row r="220" spans="1:24" ht="21" hidden="1" customHeight="1" x14ac:dyDescent="0.25">
      <c r="A220" s="590" t="s">
        <v>522</v>
      </c>
      <c r="B220" s="590" t="s">
        <v>284</v>
      </c>
      <c r="C220" s="446"/>
      <c r="D220" s="446"/>
      <c r="E220" s="589" t="s">
        <v>574</v>
      </c>
      <c r="F220" s="592" t="s">
        <v>285</v>
      </c>
      <c r="G220" s="454" t="s">
        <v>161</v>
      </c>
      <c r="H220" s="443">
        <f>VLOOKUP(G220,'условия, ФОТ'!$A$14:$I$32,9, FALSE)</f>
        <v>111.79</v>
      </c>
      <c r="I220" s="608">
        <v>3.38</v>
      </c>
      <c r="J220" s="608">
        <f>ROUND((H220+H221)/2*I220,2)</f>
        <v>502.93</v>
      </c>
      <c r="K220" s="592">
        <f>ROUND(J220*$K$7,2)</f>
        <v>151.88</v>
      </c>
      <c r="L220" s="592">
        <f t="shared" si="60"/>
        <v>654.80999999999995</v>
      </c>
      <c r="M220" s="591"/>
      <c r="N220" s="592"/>
      <c r="O220" s="592"/>
      <c r="P220" s="592"/>
      <c r="Q220" s="592">
        <f>SUM(Q222:Q227)</f>
        <v>151.71</v>
      </c>
      <c r="R220" s="608">
        <f t="shared" si="61"/>
        <v>806.52</v>
      </c>
      <c r="S220" s="608">
        <f>ROUND(R220*$S$7,2)</f>
        <v>984.76</v>
      </c>
      <c r="T220" s="596">
        <f>ROUND(V220/1.2,2)</f>
        <v>1970</v>
      </c>
      <c r="U220" s="596">
        <f>ROUND(T220*$U$7,2)</f>
        <v>394</v>
      </c>
      <c r="V220" s="596">
        <f>ROUND((R220+S220)*(1+$T$7)*1.2,0)</f>
        <v>2364</v>
      </c>
      <c r="W220" s="596">
        <v>2025</v>
      </c>
      <c r="X220" s="601">
        <f t="shared" si="62"/>
        <v>16.740740740740748</v>
      </c>
    </row>
    <row r="221" spans="1:24" ht="25.5" hidden="1" customHeight="1" x14ac:dyDescent="0.25">
      <c r="A221" s="590"/>
      <c r="B221" s="590"/>
      <c r="C221" s="446"/>
      <c r="D221" s="446"/>
      <c r="E221" s="589"/>
      <c r="F221" s="592"/>
      <c r="G221" s="454" t="s">
        <v>166</v>
      </c>
      <c r="H221" s="443">
        <f>VLOOKUP(G221,'условия, ФОТ'!$A$14:$I$32,9, FALSE)</f>
        <v>185.8</v>
      </c>
      <c r="I221" s="608"/>
      <c r="J221" s="608"/>
      <c r="K221" s="592"/>
      <c r="L221" s="592"/>
      <c r="M221" s="591"/>
      <c r="N221" s="592"/>
      <c r="O221" s="592"/>
      <c r="P221" s="592"/>
      <c r="Q221" s="592"/>
      <c r="R221" s="608"/>
      <c r="S221" s="608"/>
      <c r="T221" s="596"/>
      <c r="U221" s="596"/>
      <c r="V221" s="596"/>
      <c r="W221" s="596"/>
      <c r="X221" s="601"/>
    </row>
    <row r="222" spans="1:24" ht="17.25" hidden="1" customHeight="1" outlineLevel="1" x14ac:dyDescent="0.25">
      <c r="A222" s="446"/>
      <c r="B222" s="446"/>
      <c r="C222" s="446"/>
      <c r="D222" s="446"/>
      <c r="E222" s="444"/>
      <c r="F222" s="443"/>
      <c r="G222" s="454"/>
      <c r="H222" s="443"/>
      <c r="I222" s="457"/>
      <c r="J222" s="457"/>
      <c r="K222" s="443"/>
      <c r="L222" s="96" t="s">
        <v>366</v>
      </c>
      <c r="M222" s="122" t="s">
        <v>323</v>
      </c>
      <c r="N222" s="98" t="str">
        <f>VLOOKUP(M222,материалы!$A$5:$G$31,5, FALSE)</f>
        <v>м3</v>
      </c>
      <c r="O222" s="443">
        <f>VLOOKUP(M222,материалы!$A$5:$G$31,7, FALSE)</f>
        <v>379.24</v>
      </c>
      <c r="P222" s="443">
        <v>0.17499999999999999</v>
      </c>
      <c r="Q222" s="443">
        <f>ROUND(O222*P222,2)</f>
        <v>66.37</v>
      </c>
      <c r="R222" s="457"/>
      <c r="S222" s="457"/>
      <c r="T222" s="442"/>
      <c r="U222" s="442"/>
      <c r="V222" s="442"/>
      <c r="W222" s="442"/>
      <c r="X222" s="441"/>
    </row>
    <row r="223" spans="1:24" ht="17.25" hidden="1" customHeight="1" outlineLevel="1" x14ac:dyDescent="0.25">
      <c r="A223" s="446"/>
      <c r="B223" s="446"/>
      <c r="C223" s="446"/>
      <c r="D223" s="446"/>
      <c r="E223" s="444"/>
      <c r="F223" s="443"/>
      <c r="G223" s="454"/>
      <c r="H223" s="443"/>
      <c r="I223" s="457"/>
      <c r="J223" s="457"/>
      <c r="K223" s="443"/>
      <c r="L223" s="443"/>
      <c r="M223" s="122" t="s">
        <v>324</v>
      </c>
      <c r="N223" s="98" t="str">
        <f>VLOOKUP(M223,материалы!$A$5:$G$31,5, FALSE)</f>
        <v>м3</v>
      </c>
      <c r="O223" s="443">
        <f>VLOOKUP(M223,материалы!$A$5:$G$31,7, FALSE)</f>
        <v>54.61</v>
      </c>
      <c r="P223" s="443">
        <v>0.05</v>
      </c>
      <c r="Q223" s="443">
        <f t="shared" ref="Q223:Q224" si="65">ROUND(O223*P223,2)</f>
        <v>2.73</v>
      </c>
      <c r="R223" s="457"/>
      <c r="S223" s="457"/>
      <c r="T223" s="442"/>
      <c r="U223" s="442"/>
      <c r="V223" s="442"/>
      <c r="W223" s="442"/>
      <c r="X223" s="441"/>
    </row>
    <row r="224" spans="1:24" ht="39" hidden="1" customHeight="1" outlineLevel="1" x14ac:dyDescent="0.25">
      <c r="A224" s="446"/>
      <c r="B224" s="446"/>
      <c r="C224" s="446"/>
      <c r="D224" s="446"/>
      <c r="E224" s="444"/>
      <c r="F224" s="443"/>
      <c r="G224" s="454"/>
      <c r="H224" s="443"/>
      <c r="I224" s="457"/>
      <c r="J224" s="457"/>
      <c r="K224" s="443"/>
      <c r="L224" s="443"/>
      <c r="M224" s="104" t="s">
        <v>341</v>
      </c>
      <c r="N224" s="98" t="str">
        <f>VLOOKUP(M224,материалы!$A$5:$G$31,5, FALSE)</f>
        <v>кг</v>
      </c>
      <c r="O224" s="443">
        <f>VLOOKUP(M224,материалы!$A$5:$G$31,7, FALSE)</f>
        <v>44.94</v>
      </c>
      <c r="P224" s="443">
        <v>1.7000000000000001E-2</v>
      </c>
      <c r="Q224" s="443">
        <f t="shared" si="65"/>
        <v>0.76</v>
      </c>
      <c r="R224" s="457"/>
      <c r="S224" s="457"/>
      <c r="T224" s="442"/>
      <c r="U224" s="442"/>
      <c r="V224" s="442"/>
      <c r="W224" s="442"/>
      <c r="X224" s="441"/>
    </row>
    <row r="225" spans="1:24" hidden="1" outlineLevel="1" x14ac:dyDescent="0.25">
      <c r="A225" s="446"/>
      <c r="B225" s="446"/>
      <c r="C225" s="446"/>
      <c r="D225" s="446"/>
      <c r="E225" s="444"/>
      <c r="F225" s="443"/>
      <c r="G225" s="454"/>
      <c r="H225" s="443"/>
      <c r="I225" s="457"/>
      <c r="J225" s="457"/>
      <c r="K225" s="443"/>
      <c r="L225" s="443"/>
      <c r="M225" s="97" t="s">
        <v>329</v>
      </c>
      <c r="N225" s="98" t="str">
        <f>VLOOKUP(M225,материалы!$A$5:$G$31,5, FALSE)</f>
        <v>кг</v>
      </c>
      <c r="O225" s="443">
        <f>VLOOKUP(M225,материалы!$A$5:$G$31,7, FALSE)</f>
        <v>65.599999999999994</v>
      </c>
      <c r="P225" s="100">
        <v>1E-3</v>
      </c>
      <c r="Q225" s="443">
        <f>ROUND(O225*P225,2)</f>
        <v>7.0000000000000007E-2</v>
      </c>
      <c r="R225" s="457"/>
      <c r="S225" s="457"/>
      <c r="T225" s="442"/>
      <c r="U225" s="442"/>
      <c r="V225" s="442"/>
      <c r="W225" s="442"/>
      <c r="X225" s="441"/>
    </row>
    <row r="226" spans="1:24" hidden="1" outlineLevel="1" x14ac:dyDescent="0.25">
      <c r="A226" s="446"/>
      <c r="B226" s="446"/>
      <c r="C226" s="446"/>
      <c r="D226" s="446"/>
      <c r="E226" s="444"/>
      <c r="F226" s="443"/>
      <c r="G226" s="454"/>
      <c r="H226" s="443"/>
      <c r="I226" s="457"/>
      <c r="J226" s="457"/>
      <c r="K226" s="443"/>
      <c r="L226" s="443"/>
      <c r="M226" s="97" t="s">
        <v>330</v>
      </c>
      <c r="N226" s="98" t="str">
        <f>VLOOKUP(M226,материалы!$A$5:$G$31,5, FALSE)</f>
        <v>кг</v>
      </c>
      <c r="O226" s="443">
        <f>VLOOKUP(M226,материалы!$A$5:$G$31,7, FALSE)</f>
        <v>39.82</v>
      </c>
      <c r="P226" s="98">
        <v>0.01</v>
      </c>
      <c r="Q226" s="443">
        <f>ROUND(O226*P226,2)</f>
        <v>0.4</v>
      </c>
      <c r="R226" s="457"/>
      <c r="S226" s="457"/>
      <c r="T226" s="442"/>
      <c r="U226" s="442"/>
      <c r="V226" s="442"/>
      <c r="W226" s="442"/>
      <c r="X226" s="441"/>
    </row>
    <row r="227" spans="1:24" ht="25.5" hidden="1" outlineLevel="1" x14ac:dyDescent="0.25">
      <c r="A227" s="446"/>
      <c r="B227" s="446"/>
      <c r="C227" s="446"/>
      <c r="D227" s="446"/>
      <c r="E227" s="444"/>
      <c r="F227" s="443"/>
      <c r="G227" s="454"/>
      <c r="H227" s="443"/>
      <c r="I227" s="457"/>
      <c r="J227" s="457"/>
      <c r="K227" s="443"/>
      <c r="L227" s="443"/>
      <c r="M227" s="97" t="s">
        <v>374</v>
      </c>
      <c r="N227" s="98" t="str">
        <f>VLOOKUP(M227,материалы!$A$5:$G$31,5, FALSE)</f>
        <v>м</v>
      </c>
      <c r="O227" s="443">
        <f>VLOOKUP(M227,материалы!$A$5:$G$31,7, FALSE)</f>
        <v>81.38</v>
      </c>
      <c r="P227" s="98">
        <v>1</v>
      </c>
      <c r="Q227" s="443">
        <f>ROUND(O227*P227,2)</f>
        <v>81.38</v>
      </c>
      <c r="R227" s="457"/>
      <c r="S227" s="457"/>
      <c r="T227" s="442"/>
      <c r="U227" s="442"/>
      <c r="V227" s="442"/>
      <c r="W227" s="442"/>
      <c r="X227" s="441"/>
    </row>
    <row r="228" spans="1:24" hidden="1" x14ac:dyDescent="0.25">
      <c r="A228" s="590" t="s">
        <v>523</v>
      </c>
      <c r="B228" s="590" t="s">
        <v>286</v>
      </c>
      <c r="C228" s="446"/>
      <c r="D228" s="446"/>
      <c r="E228" s="589" t="s">
        <v>375</v>
      </c>
      <c r="F228" s="592" t="s">
        <v>28</v>
      </c>
      <c r="G228" s="454" t="s">
        <v>161</v>
      </c>
      <c r="H228" s="443">
        <f>VLOOKUP(G228,'условия, ФОТ'!$A$14:$I$32,9, FALSE)</f>
        <v>111.79</v>
      </c>
      <c r="I228" s="592">
        <v>0.86</v>
      </c>
      <c r="J228" s="608">
        <f>ROUND((H228+H229)/2*I228,2)</f>
        <v>127.96</v>
      </c>
      <c r="K228" s="592">
        <f>ROUND(J228*$K$7,2)</f>
        <v>38.64</v>
      </c>
      <c r="L228" s="592">
        <f t="shared" si="60"/>
        <v>166.6</v>
      </c>
      <c r="M228" s="591"/>
      <c r="N228" s="592"/>
      <c r="O228" s="592"/>
      <c r="P228" s="592"/>
      <c r="Q228" s="592">
        <f>Q230</f>
        <v>44.39</v>
      </c>
      <c r="R228" s="608">
        <f t="shared" si="61"/>
        <v>210.99</v>
      </c>
      <c r="S228" s="608">
        <f>ROUND(R228*$S$7,2)</f>
        <v>257.62</v>
      </c>
      <c r="T228" s="596">
        <f>ROUND(V228/1.2,2)</f>
        <v>515.83000000000004</v>
      </c>
      <c r="U228" s="596">
        <f>ROUND(T228*$U$7,2)</f>
        <v>103.17</v>
      </c>
      <c r="V228" s="596">
        <f>ROUND((R228+S228)*(1+$T$7)*1.2,0)</f>
        <v>619</v>
      </c>
      <c r="W228" s="596">
        <v>530</v>
      </c>
      <c r="X228" s="601">
        <f t="shared" si="62"/>
        <v>16.792452830188694</v>
      </c>
    </row>
    <row r="229" spans="1:24" ht="23.25" hidden="1" customHeight="1" x14ac:dyDescent="0.25">
      <c r="A229" s="590"/>
      <c r="B229" s="590"/>
      <c r="C229" s="446"/>
      <c r="D229" s="446"/>
      <c r="E229" s="589"/>
      <c r="F229" s="592"/>
      <c r="G229" s="454" t="s">
        <v>166</v>
      </c>
      <c r="H229" s="443">
        <f>VLOOKUP(G229,'условия, ФОТ'!$A$14:$I$32,9, FALSE)</f>
        <v>185.8</v>
      </c>
      <c r="I229" s="592"/>
      <c r="J229" s="608"/>
      <c r="K229" s="592"/>
      <c r="L229" s="592"/>
      <c r="M229" s="591"/>
      <c r="N229" s="592"/>
      <c r="O229" s="592"/>
      <c r="P229" s="592"/>
      <c r="Q229" s="592"/>
      <c r="R229" s="608"/>
      <c r="S229" s="608"/>
      <c r="T229" s="596"/>
      <c r="U229" s="596"/>
      <c r="V229" s="596"/>
      <c r="W229" s="596"/>
      <c r="X229" s="601"/>
    </row>
    <row r="230" spans="1:24" ht="27.95" hidden="1" customHeight="1" outlineLevel="1" x14ac:dyDescent="0.25">
      <c r="A230" s="446"/>
      <c r="B230" s="446"/>
      <c r="C230" s="446"/>
      <c r="D230" s="446"/>
      <c r="E230" s="444"/>
      <c r="F230" s="443"/>
      <c r="G230" s="454"/>
      <c r="H230" s="443"/>
      <c r="I230" s="443"/>
      <c r="J230" s="457"/>
      <c r="K230" s="443"/>
      <c r="L230" s="96" t="s">
        <v>366</v>
      </c>
      <c r="M230" s="97" t="s">
        <v>369</v>
      </c>
      <c r="N230" s="98" t="str">
        <f>VLOOKUP(M230,материалы!$A$5:$G$31,5, FALSE)</f>
        <v>м</v>
      </c>
      <c r="O230" s="443">
        <f>VLOOKUP(M230,материалы!$A$5:$G$31,7, FALSE)</f>
        <v>44.39</v>
      </c>
      <c r="P230" s="98">
        <v>1</v>
      </c>
      <c r="Q230" s="443">
        <f t="shared" ref="Q230" si="66">ROUND(O230*P230,2)</f>
        <v>44.39</v>
      </c>
      <c r="R230" s="457"/>
      <c r="S230" s="457"/>
      <c r="T230" s="442"/>
      <c r="U230" s="442"/>
      <c r="V230" s="442"/>
      <c r="W230" s="442"/>
      <c r="X230" s="441"/>
    </row>
    <row r="231" spans="1:24" ht="16.5" hidden="1" customHeight="1" x14ac:dyDescent="0.25">
      <c r="A231" s="590" t="s">
        <v>524</v>
      </c>
      <c r="B231" s="590" t="s">
        <v>286</v>
      </c>
      <c r="C231" s="446"/>
      <c r="D231" s="446"/>
      <c r="E231" s="589" t="s">
        <v>376</v>
      </c>
      <c r="F231" s="592" t="s">
        <v>28</v>
      </c>
      <c r="G231" s="454" t="s">
        <v>161</v>
      </c>
      <c r="H231" s="443">
        <f>VLOOKUP(G231,'условия, ФОТ'!$A$14:$I$32,9, FALSE)</f>
        <v>111.79</v>
      </c>
      <c r="I231" s="592">
        <v>1.02</v>
      </c>
      <c r="J231" s="608">
        <f>ROUND((H231+H232)/2*I231,2)</f>
        <v>151.77000000000001</v>
      </c>
      <c r="K231" s="592">
        <f>ROUND(J231*$K$7,2)</f>
        <v>45.83</v>
      </c>
      <c r="L231" s="592">
        <f t="shared" si="60"/>
        <v>197.60000000000002</v>
      </c>
      <c r="M231" s="591"/>
      <c r="N231" s="592"/>
      <c r="O231" s="592"/>
      <c r="P231" s="592"/>
      <c r="Q231" s="592">
        <f>Q233</f>
        <v>81.38</v>
      </c>
      <c r="R231" s="608">
        <f t="shared" si="61"/>
        <v>278.98</v>
      </c>
      <c r="S231" s="608">
        <f>ROUND(R231*$S$7,2)</f>
        <v>340.63</v>
      </c>
      <c r="T231" s="596">
        <f>ROUND(V231/1.2,2)</f>
        <v>681.67</v>
      </c>
      <c r="U231" s="596">
        <f>ROUND(T231*$U$7,2)</f>
        <v>136.33000000000001</v>
      </c>
      <c r="V231" s="596">
        <f>ROUND((R231+S231)*(1+$T$7)*1.2,0)</f>
        <v>818</v>
      </c>
      <c r="W231" s="596">
        <v>700</v>
      </c>
      <c r="X231" s="601">
        <f t="shared" si="62"/>
        <v>16.857142857142861</v>
      </c>
    </row>
    <row r="232" spans="1:24" ht="16.5" hidden="1" customHeight="1" x14ac:dyDescent="0.25">
      <c r="A232" s="590"/>
      <c r="B232" s="590"/>
      <c r="C232" s="446"/>
      <c r="D232" s="446"/>
      <c r="E232" s="589"/>
      <c r="F232" s="592"/>
      <c r="G232" s="454" t="s">
        <v>166</v>
      </c>
      <c r="H232" s="443">
        <f>VLOOKUP(G232,'условия, ФОТ'!$A$14:$I$32,9, FALSE)</f>
        <v>185.8</v>
      </c>
      <c r="I232" s="592"/>
      <c r="J232" s="608"/>
      <c r="K232" s="592"/>
      <c r="L232" s="592"/>
      <c r="M232" s="591"/>
      <c r="N232" s="592"/>
      <c r="O232" s="592"/>
      <c r="P232" s="592"/>
      <c r="Q232" s="592"/>
      <c r="R232" s="608"/>
      <c r="S232" s="608"/>
      <c r="T232" s="596"/>
      <c r="U232" s="596"/>
      <c r="V232" s="596"/>
      <c r="W232" s="596"/>
      <c r="X232" s="601"/>
    </row>
    <row r="233" spans="1:24" ht="27" hidden="1" customHeight="1" outlineLevel="1" x14ac:dyDescent="0.25">
      <c r="A233" s="446"/>
      <c r="B233" s="446"/>
      <c r="C233" s="446"/>
      <c r="D233" s="446"/>
      <c r="E233" s="444"/>
      <c r="F233" s="443"/>
      <c r="G233" s="454"/>
      <c r="H233" s="443"/>
      <c r="I233" s="443"/>
      <c r="J233" s="457"/>
      <c r="K233" s="443"/>
      <c r="L233" s="96" t="s">
        <v>366</v>
      </c>
      <c r="M233" s="97" t="s">
        <v>374</v>
      </c>
      <c r="N233" s="98" t="str">
        <f>VLOOKUP(M233,материалы!$A$5:$G$31,5, FALSE)</f>
        <v>м</v>
      </c>
      <c r="O233" s="443">
        <f>VLOOKUP(M233,материалы!$A$5:$G$31,7, FALSE)</f>
        <v>81.38</v>
      </c>
      <c r="P233" s="98">
        <v>1</v>
      </c>
      <c r="Q233" s="443">
        <f>ROUND(O233*P233,2)</f>
        <v>81.38</v>
      </c>
      <c r="R233" s="457"/>
      <c r="S233" s="457"/>
      <c r="T233" s="442"/>
      <c r="U233" s="442"/>
      <c r="V233" s="442"/>
      <c r="W233" s="442"/>
      <c r="X233" s="441"/>
    </row>
    <row r="234" spans="1:24" ht="35.25" hidden="1" customHeight="1" x14ac:dyDescent="0.25">
      <c r="A234" s="446" t="s">
        <v>525</v>
      </c>
      <c r="B234" s="446" t="s">
        <v>287</v>
      </c>
      <c r="C234" s="446"/>
      <c r="D234" s="446"/>
      <c r="E234" s="444" t="s">
        <v>378</v>
      </c>
      <c r="F234" s="443" t="s">
        <v>288</v>
      </c>
      <c r="G234" s="454" t="s">
        <v>161</v>
      </c>
      <c r="H234" s="443">
        <f>VLOOKUP(G234,'условия, ФОТ'!$A$14:$I$32,9, FALSE)</f>
        <v>111.79</v>
      </c>
      <c r="I234" s="443">
        <v>0.94</v>
      </c>
      <c r="J234" s="443">
        <f t="shared" si="59"/>
        <v>105.08</v>
      </c>
      <c r="K234" s="443">
        <f>ROUND(J234*$K$7,2)</f>
        <v>31.73</v>
      </c>
      <c r="L234" s="443">
        <f t="shared" si="60"/>
        <v>136.81</v>
      </c>
      <c r="M234" s="456"/>
      <c r="N234" s="443"/>
      <c r="O234" s="443"/>
      <c r="P234" s="443"/>
      <c r="Q234" s="443">
        <f>SUM(Q235:Q238)</f>
        <v>35.57</v>
      </c>
      <c r="R234" s="443">
        <f>L234+Q234</f>
        <v>172.38</v>
      </c>
      <c r="S234" s="443">
        <f>ROUND(R234*$S$7,2)</f>
        <v>210.48</v>
      </c>
      <c r="T234" s="442">
        <f>ROUND(V234/1.2,2)</f>
        <v>420.83</v>
      </c>
      <c r="U234" s="442">
        <f>ROUND(T234*$U$7,2)</f>
        <v>84.17</v>
      </c>
      <c r="V234" s="442">
        <f>ROUND((R234+S234)*(1+$T$7)*1.2,0)</f>
        <v>505</v>
      </c>
      <c r="W234" s="442">
        <v>433</v>
      </c>
      <c r="X234" s="78">
        <f t="shared" si="62"/>
        <v>16.628175519630489</v>
      </c>
    </row>
    <row r="235" spans="1:24" ht="25.5" hidden="1" outlineLevel="1" x14ac:dyDescent="0.25">
      <c r="A235" s="446"/>
      <c r="B235" s="446"/>
      <c r="C235" s="446"/>
      <c r="D235" s="446"/>
      <c r="E235" s="444"/>
      <c r="F235" s="443"/>
      <c r="G235" s="454"/>
      <c r="H235" s="443"/>
      <c r="I235" s="443"/>
      <c r="J235" s="443"/>
      <c r="K235" s="443"/>
      <c r="L235" s="96" t="s">
        <v>366</v>
      </c>
      <c r="M235" s="104" t="s">
        <v>335</v>
      </c>
      <c r="N235" s="98" t="str">
        <f>VLOOKUP(M235,материалы!$A$5:$G$31,5, FALSE)</f>
        <v>кг</v>
      </c>
      <c r="O235" s="443">
        <f>VLOOKUP(M235,материалы!$A$5:$G$31,7, FALSE)</f>
        <v>712.76</v>
      </c>
      <c r="P235" s="443">
        <v>5.0000000000000001E-3</v>
      </c>
      <c r="Q235" s="443">
        <f>ROUND(O235*P235,2)</f>
        <v>3.56</v>
      </c>
      <c r="R235" s="443"/>
      <c r="S235" s="443"/>
      <c r="T235" s="442"/>
      <c r="U235" s="442"/>
      <c r="V235" s="442"/>
      <c r="W235" s="442"/>
      <c r="X235" s="78"/>
    </row>
    <row r="236" spans="1:24" hidden="1" outlineLevel="1" x14ac:dyDescent="0.25">
      <c r="A236" s="446"/>
      <c r="B236" s="446"/>
      <c r="C236" s="446"/>
      <c r="D236" s="446"/>
      <c r="E236" s="444"/>
      <c r="F236" s="443"/>
      <c r="G236" s="454"/>
      <c r="H236" s="443"/>
      <c r="I236" s="443"/>
      <c r="J236" s="443"/>
      <c r="K236" s="443"/>
      <c r="L236" s="443"/>
      <c r="M236" s="97" t="s">
        <v>329</v>
      </c>
      <c r="N236" s="98" t="str">
        <f>VLOOKUP(M236,материалы!$A$5:$G$31,5, FALSE)</f>
        <v>кг</v>
      </c>
      <c r="O236" s="443">
        <f>VLOOKUP(M236,материалы!$A$5:$G$31,7, FALSE)</f>
        <v>65.599999999999994</v>
      </c>
      <c r="P236" s="100">
        <v>1E-3</v>
      </c>
      <c r="Q236" s="443">
        <f>ROUND(O236*P236,2)</f>
        <v>7.0000000000000007E-2</v>
      </c>
      <c r="R236" s="443"/>
      <c r="S236" s="443"/>
      <c r="T236" s="442"/>
      <c r="U236" s="442"/>
      <c r="V236" s="442"/>
      <c r="W236" s="442"/>
      <c r="X236" s="78"/>
    </row>
    <row r="237" spans="1:24" hidden="1" outlineLevel="1" x14ac:dyDescent="0.25">
      <c r="A237" s="446"/>
      <c r="B237" s="446"/>
      <c r="C237" s="446"/>
      <c r="D237" s="446"/>
      <c r="E237" s="444"/>
      <c r="F237" s="443"/>
      <c r="G237" s="454"/>
      <c r="H237" s="443"/>
      <c r="I237" s="443"/>
      <c r="J237" s="443"/>
      <c r="K237" s="443"/>
      <c r="L237" s="443"/>
      <c r="M237" s="97" t="s">
        <v>330</v>
      </c>
      <c r="N237" s="98" t="str">
        <f>VLOOKUP(M237,материалы!$A$5:$G$31,5, FALSE)</f>
        <v>кг</v>
      </c>
      <c r="O237" s="443">
        <f>VLOOKUP(M237,материалы!$A$5:$G$31,7, FALSE)</f>
        <v>39.82</v>
      </c>
      <c r="P237" s="98">
        <v>0.01</v>
      </c>
      <c r="Q237" s="443">
        <f>ROUND(O237*P237,2)</f>
        <v>0.4</v>
      </c>
      <c r="R237" s="443"/>
      <c r="S237" s="443"/>
      <c r="T237" s="442"/>
      <c r="U237" s="442"/>
      <c r="V237" s="442"/>
      <c r="W237" s="442"/>
      <c r="X237" s="78"/>
    </row>
    <row r="238" spans="1:24" hidden="1" outlineLevel="1" x14ac:dyDescent="0.25">
      <c r="A238" s="446"/>
      <c r="B238" s="446"/>
      <c r="C238" s="446"/>
      <c r="D238" s="446"/>
      <c r="E238" s="444"/>
      <c r="F238" s="443"/>
      <c r="G238" s="454"/>
      <c r="H238" s="443"/>
      <c r="I238" s="443"/>
      <c r="J238" s="443"/>
      <c r="K238" s="443"/>
      <c r="L238" s="443"/>
      <c r="M238" s="97" t="s">
        <v>377</v>
      </c>
      <c r="N238" s="98" t="str">
        <f>VLOOKUP(M238,материалы!$A$5:$G$31,5, FALSE)</f>
        <v>шт.</v>
      </c>
      <c r="O238" s="443">
        <f>VLOOKUP(M238,материалы!$A$5:$G$31,7, FALSE)</f>
        <v>31.54</v>
      </c>
      <c r="P238" s="98">
        <v>1</v>
      </c>
      <c r="Q238" s="443">
        <f>ROUND(O238*P238,2)</f>
        <v>31.54</v>
      </c>
      <c r="R238" s="443"/>
      <c r="S238" s="443"/>
      <c r="T238" s="442"/>
      <c r="U238" s="442"/>
      <c r="V238" s="442"/>
      <c r="W238" s="442"/>
      <c r="X238" s="78"/>
    </row>
    <row r="239" spans="1:24" ht="45" hidden="1" customHeight="1" x14ac:dyDescent="0.25">
      <c r="A239" s="446" t="s">
        <v>526</v>
      </c>
      <c r="B239" s="446" t="s">
        <v>289</v>
      </c>
      <c r="C239" s="446"/>
      <c r="D239" s="446"/>
      <c r="E239" s="444" t="s">
        <v>110</v>
      </c>
      <c r="F239" s="443" t="s">
        <v>290</v>
      </c>
      <c r="G239" s="454" t="s">
        <v>161</v>
      </c>
      <c r="H239" s="443">
        <f>VLOOKUP(G239,'условия, ФОТ'!$A$14:$I$32,9, FALSE)</f>
        <v>111.79</v>
      </c>
      <c r="I239" s="443">
        <v>0.65</v>
      </c>
      <c r="J239" s="443">
        <f t="shared" si="59"/>
        <v>72.66</v>
      </c>
      <c r="K239" s="443">
        <f>ROUND(J239*$K$7,2)</f>
        <v>21.94</v>
      </c>
      <c r="L239" s="443">
        <f t="shared" si="60"/>
        <v>94.6</v>
      </c>
      <c r="M239" s="456"/>
      <c r="N239" s="443"/>
      <c r="O239" s="443"/>
      <c r="P239" s="443"/>
      <c r="Q239" s="443"/>
      <c r="R239" s="443">
        <f t="shared" si="61"/>
        <v>94.6</v>
      </c>
      <c r="S239" s="443">
        <f>ROUND(R239*$S$7,2)</f>
        <v>115.51</v>
      </c>
      <c r="T239" s="442">
        <f>ROUND(V239/1.2,2)</f>
        <v>230.83</v>
      </c>
      <c r="U239" s="442">
        <f>ROUND(T239*$U$7,2)</f>
        <v>46.17</v>
      </c>
      <c r="V239" s="442">
        <f>ROUND((R239+S239)*(1+$T$7)*1.2,0)</f>
        <v>277</v>
      </c>
      <c r="W239" s="442">
        <v>237</v>
      </c>
      <c r="X239" s="78">
        <f t="shared" si="62"/>
        <v>16.877637130801688</v>
      </c>
    </row>
    <row r="240" spans="1:24" ht="33" hidden="1" customHeight="1" x14ac:dyDescent="0.25">
      <c r="A240" s="446" t="s">
        <v>527</v>
      </c>
      <c r="B240" s="446" t="s">
        <v>291</v>
      </c>
      <c r="C240" s="446"/>
      <c r="D240" s="446"/>
      <c r="E240" s="444" t="s">
        <v>111</v>
      </c>
      <c r="F240" s="443" t="s">
        <v>220</v>
      </c>
      <c r="G240" s="454" t="s">
        <v>161</v>
      </c>
      <c r="H240" s="443">
        <f>VLOOKUP(G240,'условия, ФОТ'!$A$14:$I$32,9, FALSE)</f>
        <v>111.79</v>
      </c>
      <c r="I240" s="443">
        <v>0.39</v>
      </c>
      <c r="J240" s="443">
        <f t="shared" si="59"/>
        <v>43.6</v>
      </c>
      <c r="K240" s="443">
        <f>ROUND(J240*$K$7,2)</f>
        <v>13.17</v>
      </c>
      <c r="L240" s="443">
        <f t="shared" si="60"/>
        <v>56.77</v>
      </c>
      <c r="M240" s="456"/>
      <c r="N240" s="443"/>
      <c r="O240" s="443"/>
      <c r="P240" s="443"/>
      <c r="Q240" s="443">
        <f>Q241</f>
        <v>3.56</v>
      </c>
      <c r="R240" s="443">
        <f t="shared" si="61"/>
        <v>60.330000000000005</v>
      </c>
      <c r="S240" s="443">
        <f>ROUND(R240*$S$7,2)</f>
        <v>73.66</v>
      </c>
      <c r="T240" s="442">
        <f>ROUND(V240/1.2,2)</f>
        <v>147.5</v>
      </c>
      <c r="U240" s="442">
        <f>ROUND(T240*$U$7,2)</f>
        <v>29.5</v>
      </c>
      <c r="V240" s="442">
        <f>ROUND((R240+S240)*(1+$T$7)*1.2,0)</f>
        <v>177</v>
      </c>
      <c r="W240" s="442">
        <v>151</v>
      </c>
      <c r="X240" s="78">
        <f t="shared" si="62"/>
        <v>17.21854304635761</v>
      </c>
    </row>
    <row r="241" spans="1:24" ht="25.5" hidden="1" outlineLevel="1" x14ac:dyDescent="0.25">
      <c r="A241" s="446"/>
      <c r="B241" s="446"/>
      <c r="C241" s="446"/>
      <c r="D241" s="446"/>
      <c r="E241" s="444"/>
      <c r="F241" s="443"/>
      <c r="G241" s="454"/>
      <c r="H241" s="443"/>
      <c r="I241" s="443"/>
      <c r="J241" s="443"/>
      <c r="K241" s="443"/>
      <c r="L241" s="96" t="s">
        <v>366</v>
      </c>
      <c r="M241" s="104" t="s">
        <v>335</v>
      </c>
      <c r="N241" s="98" t="str">
        <f>VLOOKUP(M241,материалы!$A$5:$G$31,5, FALSE)</f>
        <v>кг</v>
      </c>
      <c r="O241" s="443">
        <f>VLOOKUP(M241,материалы!$A$5:$G$31,7, FALSE)</f>
        <v>712.76</v>
      </c>
      <c r="P241" s="443">
        <v>5.0000000000000001E-3</v>
      </c>
      <c r="Q241" s="443">
        <f>ROUND(O241*P241,2)</f>
        <v>3.56</v>
      </c>
      <c r="R241" s="443"/>
      <c r="S241" s="443"/>
      <c r="T241" s="442"/>
      <c r="U241" s="442"/>
      <c r="V241" s="442"/>
      <c r="W241" s="442"/>
      <c r="X241" s="78"/>
    </row>
    <row r="242" spans="1:24" ht="33" hidden="1" customHeight="1" x14ac:dyDescent="0.25">
      <c r="A242" s="446" t="s">
        <v>528</v>
      </c>
      <c r="B242" s="446" t="s">
        <v>292</v>
      </c>
      <c r="C242" s="446"/>
      <c r="D242" s="446"/>
      <c r="E242" s="444" t="s">
        <v>112</v>
      </c>
      <c r="F242" s="443" t="s">
        <v>220</v>
      </c>
      <c r="G242" s="454" t="s">
        <v>161</v>
      </c>
      <c r="H242" s="443">
        <f>VLOOKUP(G242,'условия, ФОТ'!$A$14:$I$32,9, FALSE)</f>
        <v>111.79</v>
      </c>
      <c r="I242" s="443">
        <v>0.52</v>
      </c>
      <c r="J242" s="443">
        <f t="shared" si="59"/>
        <v>58.13</v>
      </c>
      <c r="K242" s="443">
        <f>ROUND(J242*$K$7,2)</f>
        <v>17.559999999999999</v>
      </c>
      <c r="L242" s="443">
        <f t="shared" si="60"/>
        <v>75.69</v>
      </c>
      <c r="M242" s="456"/>
      <c r="N242" s="443"/>
      <c r="O242" s="443"/>
      <c r="P242" s="443"/>
      <c r="Q242" s="443">
        <f>Q243</f>
        <v>3.56</v>
      </c>
      <c r="R242" s="443">
        <f t="shared" si="61"/>
        <v>79.25</v>
      </c>
      <c r="S242" s="443">
        <f>ROUND(R242*$S$7,2)</f>
        <v>96.76</v>
      </c>
      <c r="T242" s="442">
        <f>ROUND(V242/1.2,2)</f>
        <v>193.33</v>
      </c>
      <c r="U242" s="442">
        <f>ROUND(T242*$U$7,2)</f>
        <v>38.67</v>
      </c>
      <c r="V242" s="442">
        <f>ROUND((R242+S242)*(1+$T$7)*1.2,0)</f>
        <v>232</v>
      </c>
      <c r="W242" s="442">
        <v>199</v>
      </c>
      <c r="X242" s="78">
        <f>V242/W242*100-100</f>
        <v>16.582914572864311</v>
      </c>
    </row>
    <row r="243" spans="1:24" ht="25.5" hidden="1" outlineLevel="1" x14ac:dyDescent="0.25">
      <c r="A243" s="446"/>
      <c r="B243" s="446"/>
      <c r="C243" s="446"/>
      <c r="D243" s="446"/>
      <c r="E243" s="444"/>
      <c r="F243" s="443"/>
      <c r="G243" s="454"/>
      <c r="H243" s="443"/>
      <c r="I243" s="443"/>
      <c r="J243" s="443"/>
      <c r="K243" s="443"/>
      <c r="L243" s="96" t="s">
        <v>366</v>
      </c>
      <c r="M243" s="104" t="s">
        <v>335</v>
      </c>
      <c r="N243" s="98" t="str">
        <f>VLOOKUP(M243,материалы!$A$5:$G$31,5, FALSE)</f>
        <v>кг</v>
      </c>
      <c r="O243" s="443">
        <f>VLOOKUP(M243,материалы!$A$5:$G$31,7, FALSE)</f>
        <v>712.76</v>
      </c>
      <c r="P243" s="443">
        <v>5.0000000000000001E-3</v>
      </c>
      <c r="Q243" s="443">
        <f>ROUND(O243*P243,2)</f>
        <v>3.56</v>
      </c>
      <c r="R243" s="443"/>
      <c r="S243" s="443"/>
      <c r="T243" s="442"/>
      <c r="U243" s="442"/>
      <c r="V243" s="442"/>
      <c r="W243" s="442"/>
      <c r="X243" s="78"/>
    </row>
    <row r="244" spans="1:24" ht="36" hidden="1" customHeight="1" x14ac:dyDescent="0.25">
      <c r="A244" s="446" t="s">
        <v>529</v>
      </c>
      <c r="B244" s="446" t="s">
        <v>359</v>
      </c>
      <c r="C244" s="446"/>
      <c r="D244" s="446"/>
      <c r="E244" s="444" t="s">
        <v>358</v>
      </c>
      <c r="F244" s="443" t="s">
        <v>18</v>
      </c>
      <c r="G244" s="454" t="s">
        <v>161</v>
      </c>
      <c r="H244" s="443">
        <f>VLOOKUP(G244,'условия, ФОТ'!$A$14:$I$32,9, FALSE)</f>
        <v>111.79</v>
      </c>
      <c r="I244" s="443">
        <v>0.32</v>
      </c>
      <c r="J244" s="443">
        <f t="shared" ref="J244" si="67">ROUND(H244*I244,2)</f>
        <v>35.770000000000003</v>
      </c>
      <c r="K244" s="443">
        <f>ROUND(J244*$K$7,2)</f>
        <v>10.8</v>
      </c>
      <c r="L244" s="443">
        <f t="shared" ref="L244" si="68">J244+K244</f>
        <v>46.570000000000007</v>
      </c>
      <c r="M244" s="461"/>
      <c r="N244" s="98"/>
      <c r="O244" s="443"/>
      <c r="P244" s="443"/>
      <c r="Q244" s="443"/>
      <c r="R244" s="443">
        <f t="shared" ref="R244" si="69">L244+Q244</f>
        <v>46.570000000000007</v>
      </c>
      <c r="S244" s="443">
        <f>ROUND(R244*$S$7,2)</f>
        <v>56.86</v>
      </c>
      <c r="T244" s="442">
        <f>ROUND(V244/1.2,2)</f>
        <v>114.17</v>
      </c>
      <c r="U244" s="442">
        <f>ROUND(T244*$U$7,2)</f>
        <v>22.83</v>
      </c>
      <c r="V244" s="442">
        <f>ROUND((R244+S244)*(1+$T$7)*1.2,0)</f>
        <v>137</v>
      </c>
      <c r="W244" s="442">
        <v>117</v>
      </c>
      <c r="X244" s="78">
        <f>V244/W244*100-100</f>
        <v>17.094017094017104</v>
      </c>
    </row>
    <row r="245" spans="1:24" ht="78.75" hidden="1" customHeight="1" x14ac:dyDescent="0.25">
      <c r="A245" s="443" t="s">
        <v>530</v>
      </c>
      <c r="B245" s="446" t="s">
        <v>293</v>
      </c>
      <c r="C245" s="446"/>
      <c r="D245" s="446"/>
      <c r="E245" s="444" t="s">
        <v>113</v>
      </c>
      <c r="F245" s="443" t="s">
        <v>220</v>
      </c>
      <c r="G245" s="454" t="s">
        <v>161</v>
      </c>
      <c r="H245" s="443">
        <f>VLOOKUP(G245,'условия, ФОТ'!$A$14:$I$32,9, FALSE)</f>
        <v>111.79</v>
      </c>
      <c r="I245" s="443">
        <v>0.2</v>
      </c>
      <c r="J245" s="443">
        <f>ROUND(H245*I245,2)</f>
        <v>22.36</v>
      </c>
      <c r="K245" s="443">
        <f>ROUND(J245*$K$7,2)</f>
        <v>6.75</v>
      </c>
      <c r="L245" s="443">
        <f>J245+K245</f>
        <v>29.11</v>
      </c>
      <c r="M245" s="456"/>
      <c r="N245" s="443"/>
      <c r="O245" s="443"/>
      <c r="P245" s="443"/>
      <c r="Q245" s="443"/>
      <c r="R245" s="443">
        <f>L245+Q245</f>
        <v>29.11</v>
      </c>
      <c r="S245" s="443">
        <f>ROUND(R245*$S$7,2)</f>
        <v>35.54</v>
      </c>
      <c r="T245" s="442">
        <f>ROUND(V245/1.2,2)</f>
        <v>70.83</v>
      </c>
      <c r="U245" s="442">
        <f>ROUND(T245*$U$7,2)</f>
        <v>14.17</v>
      </c>
      <c r="V245" s="442">
        <f>ROUND((R245+S245)*(1+$T$7)*1.2,0)</f>
        <v>85</v>
      </c>
      <c r="W245" s="442">
        <v>73</v>
      </c>
      <c r="X245" s="78">
        <f>V245/W245*100-100</f>
        <v>16.438356164383563</v>
      </c>
    </row>
    <row r="246" spans="1:24" s="86" customFormat="1" ht="24" hidden="1" customHeight="1" x14ac:dyDescent="0.25">
      <c r="A246" s="606" t="s">
        <v>410</v>
      </c>
      <c r="B246" s="606"/>
      <c r="C246" s="606"/>
      <c r="D246" s="606"/>
      <c r="E246" s="606"/>
      <c r="F246" s="606"/>
      <c r="G246" s="606"/>
      <c r="H246" s="606"/>
      <c r="I246" s="606"/>
      <c r="J246" s="606"/>
      <c r="K246" s="606"/>
      <c r="L246" s="606"/>
      <c r="M246" s="606"/>
      <c r="N246" s="606"/>
      <c r="O246" s="606"/>
      <c r="P246" s="606"/>
      <c r="Q246" s="606"/>
      <c r="R246" s="606"/>
      <c r="S246" s="606"/>
      <c r="T246" s="606"/>
      <c r="U246" s="606"/>
      <c r="V246" s="606"/>
      <c r="W246" s="442"/>
      <c r="X246" s="85"/>
    </row>
    <row r="247" spans="1:24" hidden="1" x14ac:dyDescent="0.25">
      <c r="A247" s="446" t="s">
        <v>531</v>
      </c>
      <c r="B247" s="446" t="s">
        <v>298</v>
      </c>
      <c r="C247" s="446"/>
      <c r="D247" s="446"/>
      <c r="E247" s="444" t="s">
        <v>299</v>
      </c>
      <c r="F247" s="443" t="s">
        <v>198</v>
      </c>
      <c r="G247" s="454" t="s">
        <v>162</v>
      </c>
      <c r="H247" s="443">
        <f>VLOOKUP(G247,'условия, ФОТ'!$A$14:$I$32,9, FALSE)</f>
        <v>164.09</v>
      </c>
      <c r="I247" s="443">
        <v>0.5</v>
      </c>
      <c r="J247" s="443">
        <f t="shared" ref="J247:J251" si="70">ROUND(H247*I247,2)</f>
        <v>82.05</v>
      </c>
      <c r="K247" s="443">
        <f>ROUND(J247*$K$7,2)</f>
        <v>24.78</v>
      </c>
      <c r="L247" s="443">
        <f t="shared" ref="L247:L251" si="71">J247+K247</f>
        <v>106.83</v>
      </c>
      <c r="M247" s="456"/>
      <c r="N247" s="443"/>
      <c r="O247" s="443"/>
      <c r="P247" s="443"/>
      <c r="Q247" s="443"/>
      <c r="R247" s="443">
        <f t="shared" ref="R247:R251" si="72">L247+Q247</f>
        <v>106.83</v>
      </c>
      <c r="S247" s="443">
        <f>ROUND(R247*$S$7,2)</f>
        <v>130.44</v>
      </c>
      <c r="T247" s="442">
        <f>ROUND(V247/1.2,2)</f>
        <v>260.83</v>
      </c>
      <c r="U247" s="442">
        <f>ROUND(T247*$U$7,2)</f>
        <v>52.17</v>
      </c>
      <c r="V247" s="442">
        <f>ROUND((R247+S247)*(1+$T$7)*1.2,0)</f>
        <v>313</v>
      </c>
      <c r="W247" s="442">
        <v>207</v>
      </c>
      <c r="X247" s="78">
        <f t="shared" ref="X247:X286" si="73">V247/W247*100-100</f>
        <v>51.207729468599041</v>
      </c>
    </row>
    <row r="248" spans="1:24" hidden="1" x14ac:dyDescent="0.25">
      <c r="A248" s="446" t="s">
        <v>532</v>
      </c>
      <c r="B248" s="446" t="s">
        <v>298</v>
      </c>
      <c r="C248" s="446"/>
      <c r="D248" s="446"/>
      <c r="E248" s="444" t="s">
        <v>300</v>
      </c>
      <c r="F248" s="443" t="s">
        <v>198</v>
      </c>
      <c r="G248" s="454" t="s">
        <v>162</v>
      </c>
      <c r="H248" s="443">
        <f>VLOOKUP(G248,'условия, ФОТ'!$A$14:$I$32,9, FALSE)</f>
        <v>164.09</v>
      </c>
      <c r="I248" s="443">
        <v>0.2</v>
      </c>
      <c r="J248" s="443">
        <f t="shared" si="70"/>
        <v>32.82</v>
      </c>
      <c r="K248" s="443">
        <f>ROUND(J248*$K$7,2)</f>
        <v>9.91</v>
      </c>
      <c r="L248" s="443">
        <f t="shared" si="71"/>
        <v>42.730000000000004</v>
      </c>
      <c r="M248" s="456"/>
      <c r="N248" s="443"/>
      <c r="O248" s="443"/>
      <c r="P248" s="443"/>
      <c r="Q248" s="443"/>
      <c r="R248" s="443">
        <f t="shared" si="72"/>
        <v>42.730000000000004</v>
      </c>
      <c r="S248" s="443">
        <f>ROUND(R248*$S$7,2)</f>
        <v>52.17</v>
      </c>
      <c r="T248" s="442">
        <f>ROUND(V248/1.2,2)</f>
        <v>104.17</v>
      </c>
      <c r="U248" s="442">
        <f>ROUND(T248*$U$7,2)</f>
        <v>20.83</v>
      </c>
      <c r="V248" s="442">
        <f>ROUND((R248+S248)*(1+$T$7)*1.2,0)</f>
        <v>125</v>
      </c>
      <c r="W248" s="442">
        <v>83</v>
      </c>
      <c r="X248" s="78">
        <f t="shared" si="73"/>
        <v>50.602409638554235</v>
      </c>
    </row>
    <row r="249" spans="1:24" ht="15.75" hidden="1" customHeight="1" x14ac:dyDescent="0.25">
      <c r="A249" s="590" t="s">
        <v>533</v>
      </c>
      <c r="B249" s="590" t="s">
        <v>301</v>
      </c>
      <c r="C249" s="446"/>
      <c r="D249" s="446"/>
      <c r="E249" s="607" t="s">
        <v>120</v>
      </c>
      <c r="F249" s="592" t="s">
        <v>198</v>
      </c>
      <c r="G249" s="454" t="s">
        <v>162</v>
      </c>
      <c r="H249" s="443">
        <f>VLOOKUP(G249,'условия, ФОТ'!$A$14:$I$32,9, FALSE)</f>
        <v>164.09</v>
      </c>
      <c r="I249" s="443">
        <v>0.3</v>
      </c>
      <c r="J249" s="592">
        <f>ROUND((H249*I249+H250*I250),2)</f>
        <v>104.97</v>
      </c>
      <c r="K249" s="592">
        <f>ROUND(J249*$K$7,2)</f>
        <v>31.7</v>
      </c>
      <c r="L249" s="592">
        <f>J249+K249</f>
        <v>136.66999999999999</v>
      </c>
      <c r="M249" s="456"/>
      <c r="N249" s="443"/>
      <c r="O249" s="443"/>
      <c r="P249" s="443"/>
      <c r="Q249" s="443"/>
      <c r="R249" s="592">
        <f>L249+Q249</f>
        <v>136.66999999999999</v>
      </c>
      <c r="S249" s="592">
        <f>ROUND(R249*$S$7,2)</f>
        <v>166.87</v>
      </c>
      <c r="T249" s="596">
        <f>ROUND(V249/1.2,2)</f>
        <v>334.17</v>
      </c>
      <c r="U249" s="596">
        <f>ROUND(T249*$U$7,2)</f>
        <v>66.83</v>
      </c>
      <c r="V249" s="596">
        <f>ROUND((R249+S249)*(1+$T$7)*1.2,0)</f>
        <v>401</v>
      </c>
      <c r="W249" s="596">
        <v>306</v>
      </c>
      <c r="X249" s="601">
        <f t="shared" si="73"/>
        <v>31.045751633986924</v>
      </c>
    </row>
    <row r="250" spans="1:24" hidden="1" x14ac:dyDescent="0.25">
      <c r="A250" s="590"/>
      <c r="B250" s="590"/>
      <c r="C250" s="446"/>
      <c r="D250" s="446"/>
      <c r="E250" s="607"/>
      <c r="F250" s="592"/>
      <c r="G250" s="454" t="s">
        <v>166</v>
      </c>
      <c r="H250" s="443">
        <f>VLOOKUP(G250,'условия, ФОТ'!$A$14:$I$32,9, FALSE)</f>
        <v>185.8</v>
      </c>
      <c r="I250" s="443">
        <v>0.3</v>
      </c>
      <c r="J250" s="592">
        <f t="shared" ref="J250" si="74">ROUND(H250*I250,2)</f>
        <v>55.74</v>
      </c>
      <c r="K250" s="592">
        <f>ROUND(J250*$K$7,2)</f>
        <v>16.829999999999998</v>
      </c>
      <c r="L250" s="592">
        <f t="shared" ref="L250" si="75">J250+K250</f>
        <v>72.569999999999993</v>
      </c>
      <c r="M250" s="456"/>
      <c r="N250" s="443"/>
      <c r="O250" s="443"/>
      <c r="P250" s="443"/>
      <c r="Q250" s="443"/>
      <c r="R250" s="592"/>
      <c r="S250" s="592"/>
      <c r="T250" s="596">
        <f t="shared" ref="T250" si="76">ROUND(V250/1.18,2)</f>
        <v>0</v>
      </c>
      <c r="U250" s="596">
        <f>ROUND(T250*$U$7,2)</f>
        <v>0</v>
      </c>
      <c r="V250" s="596">
        <f>ROUND((R250+S250)*(1+$T$7)*1.18,0)</f>
        <v>0</v>
      </c>
      <c r="W250" s="596"/>
      <c r="X250" s="601"/>
    </row>
    <row r="251" spans="1:24" ht="31.7" hidden="1" customHeight="1" x14ac:dyDescent="0.25">
      <c r="A251" s="446" t="s">
        <v>534</v>
      </c>
      <c r="B251" s="446" t="s">
        <v>302</v>
      </c>
      <c r="C251" s="446"/>
      <c r="D251" s="446"/>
      <c r="E251" s="444" t="s">
        <v>121</v>
      </c>
      <c r="F251" s="443" t="s">
        <v>198</v>
      </c>
      <c r="G251" s="454" t="s">
        <v>166</v>
      </c>
      <c r="H251" s="443">
        <f>VLOOKUP(G251,'условия, ФОТ'!$A$14:$I$32,9, FALSE)</f>
        <v>185.8</v>
      </c>
      <c r="I251" s="443">
        <v>1.1000000000000001</v>
      </c>
      <c r="J251" s="443">
        <f t="shared" si="70"/>
        <v>204.38</v>
      </c>
      <c r="K251" s="443">
        <f>ROUND(J251*$K$7,2)</f>
        <v>61.72</v>
      </c>
      <c r="L251" s="443">
        <f t="shared" si="71"/>
        <v>266.10000000000002</v>
      </c>
      <c r="M251" s="456"/>
      <c r="N251" s="443"/>
      <c r="O251" s="443"/>
      <c r="P251" s="443"/>
      <c r="Q251" s="443">
        <f>SUM(Q252:Q254)</f>
        <v>110.42000000000002</v>
      </c>
      <c r="R251" s="443">
        <f t="shared" si="72"/>
        <v>376.52000000000004</v>
      </c>
      <c r="S251" s="443">
        <f>ROUND(R251*$S$7,2)</f>
        <v>459.73</v>
      </c>
      <c r="T251" s="442">
        <f>ROUND(V251/1.2,2)</f>
        <v>920</v>
      </c>
      <c r="U251" s="442">
        <f>ROUND(T251*$U$7,2)</f>
        <v>184</v>
      </c>
      <c r="V251" s="442">
        <f>ROUND((R251+S251)*(1+$T$7)*1.2,0)</f>
        <v>1104</v>
      </c>
      <c r="W251" s="442">
        <v>945</v>
      </c>
      <c r="X251" s="78">
        <f t="shared" si="73"/>
        <v>16.825396825396837</v>
      </c>
    </row>
    <row r="252" spans="1:24" hidden="1" outlineLevel="1" x14ac:dyDescent="0.25">
      <c r="A252" s="446"/>
      <c r="B252" s="446"/>
      <c r="C252" s="446"/>
      <c r="D252" s="446"/>
      <c r="E252" s="444"/>
      <c r="F252" s="443"/>
      <c r="G252" s="454"/>
      <c r="H252" s="443"/>
      <c r="I252" s="443"/>
      <c r="J252" s="443"/>
      <c r="K252" s="443"/>
      <c r="L252" s="96" t="s">
        <v>366</v>
      </c>
      <c r="M252" s="122" t="s">
        <v>380</v>
      </c>
      <c r="N252" s="98" t="str">
        <f>VLOOKUP(M252,материалы!$A$5:$G$31,5, FALSE)</f>
        <v>кг</v>
      </c>
      <c r="O252" s="443">
        <f>VLOOKUP(M252,материалы!$A$5:$G$31,7, FALSE)</f>
        <v>728.13</v>
      </c>
      <c r="P252" s="443">
        <v>0.1</v>
      </c>
      <c r="Q252" s="443">
        <f>ROUND(O252*P252,2)</f>
        <v>72.81</v>
      </c>
      <c r="R252" s="443"/>
      <c r="S252" s="443"/>
      <c r="T252" s="442"/>
      <c r="U252" s="442"/>
      <c r="V252" s="442"/>
      <c r="W252" s="442"/>
      <c r="X252" s="78"/>
    </row>
    <row r="253" spans="1:24" hidden="1" outlineLevel="1" x14ac:dyDescent="0.25">
      <c r="A253" s="446"/>
      <c r="B253" s="446"/>
      <c r="C253" s="446"/>
      <c r="D253" s="446"/>
      <c r="E253" s="444"/>
      <c r="F253" s="443"/>
      <c r="G253" s="454"/>
      <c r="H253" s="443"/>
      <c r="I253" s="443"/>
      <c r="J253" s="443"/>
      <c r="K253" s="443"/>
      <c r="L253" s="443"/>
      <c r="M253" s="122" t="s">
        <v>379</v>
      </c>
      <c r="N253" s="98" t="str">
        <f>VLOOKUP(M253,материалы!$A$5:$G$31,5, FALSE)</f>
        <v>кг</v>
      </c>
      <c r="O253" s="443">
        <f>VLOOKUP(M253,материалы!$A$5:$G$31,7, FALSE)</f>
        <v>681.26</v>
      </c>
      <c r="P253" s="443">
        <v>5.1999999999999998E-2</v>
      </c>
      <c r="Q253" s="443">
        <f t="shared" ref="Q253:Q254" si="77">ROUND(O253*P253,2)</f>
        <v>35.43</v>
      </c>
      <c r="R253" s="443"/>
      <c r="S253" s="443"/>
      <c r="T253" s="442"/>
      <c r="U253" s="442"/>
      <c r="V253" s="442"/>
      <c r="W253" s="442"/>
      <c r="X253" s="78"/>
    </row>
    <row r="254" spans="1:24" hidden="1" outlineLevel="1" x14ac:dyDescent="0.25">
      <c r="A254" s="446"/>
      <c r="B254" s="446"/>
      <c r="C254" s="446"/>
      <c r="D254" s="446"/>
      <c r="E254" s="444"/>
      <c r="F254" s="443"/>
      <c r="G254" s="454"/>
      <c r="H254" s="443"/>
      <c r="I254" s="443"/>
      <c r="J254" s="443"/>
      <c r="K254" s="443"/>
      <c r="L254" s="443"/>
      <c r="M254" s="122" t="s">
        <v>324</v>
      </c>
      <c r="N254" s="98" t="str">
        <f>VLOOKUP(M254,материалы!$A$5:$G$31,5, FALSE)</f>
        <v>м3</v>
      </c>
      <c r="O254" s="443">
        <f>VLOOKUP(M254,материалы!$A$5:$G$31,7, FALSE)</f>
        <v>54.61</v>
      </c>
      <c r="P254" s="443">
        <v>0.04</v>
      </c>
      <c r="Q254" s="443">
        <f t="shared" si="77"/>
        <v>2.1800000000000002</v>
      </c>
      <c r="R254" s="443"/>
      <c r="S254" s="443"/>
      <c r="T254" s="442"/>
      <c r="U254" s="442"/>
      <c r="V254" s="442"/>
      <c r="W254" s="442"/>
      <c r="X254" s="78"/>
    </row>
    <row r="255" spans="1:24" s="86" customFormat="1" ht="24" hidden="1" customHeight="1" x14ac:dyDescent="0.25">
      <c r="A255" s="606" t="s">
        <v>313</v>
      </c>
      <c r="B255" s="606"/>
      <c r="C255" s="606"/>
      <c r="D255" s="606"/>
      <c r="E255" s="606"/>
      <c r="F255" s="606"/>
      <c r="G255" s="606"/>
      <c r="H255" s="606"/>
      <c r="I255" s="606"/>
      <c r="J255" s="606"/>
      <c r="K255" s="606"/>
      <c r="L255" s="606"/>
      <c r="M255" s="606"/>
      <c r="N255" s="606"/>
      <c r="O255" s="606"/>
      <c r="P255" s="606"/>
      <c r="Q255" s="606"/>
      <c r="R255" s="606"/>
      <c r="S255" s="606"/>
      <c r="T255" s="606"/>
      <c r="U255" s="606"/>
      <c r="V255" s="606"/>
      <c r="W255" s="442"/>
      <c r="X255" s="85"/>
    </row>
    <row r="256" spans="1:24" ht="38.25" hidden="1" x14ac:dyDescent="0.25">
      <c r="A256" s="446" t="s">
        <v>535</v>
      </c>
      <c r="B256" s="446" t="s">
        <v>304</v>
      </c>
      <c r="C256" s="446"/>
      <c r="D256" s="446"/>
      <c r="E256" s="444" t="s">
        <v>568</v>
      </c>
      <c r="F256" s="146" t="s">
        <v>303</v>
      </c>
      <c r="G256" s="147" t="s">
        <v>587</v>
      </c>
      <c r="H256" s="443">
        <f>VLOOKUP(G256,'условия, ФОТ'!$A$14:$I$32,9, FALSE)</f>
        <v>152.12</v>
      </c>
      <c r="I256" s="443">
        <v>0.26</v>
      </c>
      <c r="J256" s="443">
        <f t="shared" ref="J256:J264" si="78">ROUND(H256*I256,2)</f>
        <v>39.549999999999997</v>
      </c>
      <c r="K256" s="443">
        <f t="shared" ref="K256:K264" si="79">ROUND(J256*$K$7,2)</f>
        <v>11.94</v>
      </c>
      <c r="L256" s="443">
        <f t="shared" ref="L256:L264" si="80">J256+K256</f>
        <v>51.489999999999995</v>
      </c>
      <c r="M256" s="456"/>
      <c r="N256" s="443"/>
      <c r="O256" s="443"/>
      <c r="P256" s="443"/>
      <c r="Q256" s="443"/>
      <c r="R256" s="443">
        <f t="shared" ref="R256:R264" si="81">L256+Q256</f>
        <v>51.489999999999995</v>
      </c>
      <c r="S256" s="443">
        <f t="shared" ref="S256:S264" si="82">ROUND(R256*$S$7,2)</f>
        <v>62.87</v>
      </c>
      <c r="T256" s="442">
        <f>ROUND(V256/1.2,2)</f>
        <v>125.83</v>
      </c>
      <c r="U256" s="442">
        <f t="shared" ref="U256:U264" si="83">ROUND(T256*$U$7,2)</f>
        <v>25.17</v>
      </c>
      <c r="V256" s="442">
        <f t="shared" ref="V256:V264" si="84">ROUND((R256+S256)*(1+$T$7)*1.2,0)</f>
        <v>151</v>
      </c>
      <c r="W256" s="442">
        <v>129</v>
      </c>
      <c r="X256" s="78">
        <f t="shared" si="73"/>
        <v>17.054263565891475</v>
      </c>
    </row>
    <row r="257" spans="1:24" ht="38.25" hidden="1" x14ac:dyDescent="0.25">
      <c r="A257" s="446" t="s">
        <v>536</v>
      </c>
      <c r="B257" s="446" t="s">
        <v>305</v>
      </c>
      <c r="C257" s="446"/>
      <c r="D257" s="446"/>
      <c r="E257" s="444" t="s">
        <v>569</v>
      </c>
      <c r="F257" s="146" t="s">
        <v>303</v>
      </c>
      <c r="G257" s="147" t="s">
        <v>587</v>
      </c>
      <c r="H257" s="443">
        <f>VLOOKUP(G257,'условия, ФОТ'!$A$14:$I$32,9, FALSE)</f>
        <v>152.12</v>
      </c>
      <c r="I257" s="443">
        <v>0.43</v>
      </c>
      <c r="J257" s="443">
        <f t="shared" si="78"/>
        <v>65.41</v>
      </c>
      <c r="K257" s="443">
        <f t="shared" si="79"/>
        <v>19.75</v>
      </c>
      <c r="L257" s="443">
        <f t="shared" si="80"/>
        <v>85.16</v>
      </c>
      <c r="M257" s="456"/>
      <c r="N257" s="443"/>
      <c r="O257" s="443"/>
      <c r="P257" s="443"/>
      <c r="Q257" s="443"/>
      <c r="R257" s="443">
        <f t="shared" si="81"/>
        <v>85.16</v>
      </c>
      <c r="S257" s="443">
        <f t="shared" si="82"/>
        <v>103.98</v>
      </c>
      <c r="T257" s="442">
        <f t="shared" ref="T257:T264" si="85">ROUND(V257/1.2,2)</f>
        <v>208.33</v>
      </c>
      <c r="U257" s="442">
        <f t="shared" si="83"/>
        <v>41.67</v>
      </c>
      <c r="V257" s="442">
        <f t="shared" si="84"/>
        <v>250</v>
      </c>
      <c r="W257" s="442">
        <v>214</v>
      </c>
      <c r="X257" s="78">
        <f t="shared" si="73"/>
        <v>16.822429906542055</v>
      </c>
    </row>
    <row r="258" spans="1:24" ht="55.5" hidden="1" customHeight="1" x14ac:dyDescent="0.25">
      <c r="A258" s="446" t="s">
        <v>538</v>
      </c>
      <c r="B258" s="446" t="s">
        <v>306</v>
      </c>
      <c r="C258" s="446"/>
      <c r="D258" s="446"/>
      <c r="E258" s="444" t="s">
        <v>570</v>
      </c>
      <c r="F258" s="146" t="s">
        <v>303</v>
      </c>
      <c r="G258" s="147" t="s">
        <v>587</v>
      </c>
      <c r="H258" s="443">
        <f>VLOOKUP(G258,'условия, ФОТ'!$A$14:$I$32,9, FALSE)</f>
        <v>152.12</v>
      </c>
      <c r="I258" s="443">
        <v>0.18</v>
      </c>
      <c r="J258" s="443">
        <f t="shared" si="78"/>
        <v>27.38</v>
      </c>
      <c r="K258" s="443">
        <f t="shared" si="79"/>
        <v>8.27</v>
      </c>
      <c r="L258" s="443">
        <f t="shared" si="80"/>
        <v>35.65</v>
      </c>
      <c r="M258" s="456"/>
      <c r="N258" s="443"/>
      <c r="O258" s="443"/>
      <c r="P258" s="443"/>
      <c r="Q258" s="443"/>
      <c r="R258" s="443">
        <f t="shared" si="81"/>
        <v>35.65</v>
      </c>
      <c r="S258" s="443">
        <f t="shared" si="82"/>
        <v>43.53</v>
      </c>
      <c r="T258" s="442">
        <f t="shared" si="85"/>
        <v>87.5</v>
      </c>
      <c r="U258" s="442">
        <f t="shared" si="83"/>
        <v>17.5</v>
      </c>
      <c r="V258" s="442">
        <f t="shared" si="84"/>
        <v>105</v>
      </c>
      <c r="W258" s="442">
        <v>89</v>
      </c>
      <c r="X258" s="78">
        <f t="shared" si="73"/>
        <v>17.977528089887642</v>
      </c>
    </row>
    <row r="259" spans="1:24" ht="33" hidden="1" customHeight="1" x14ac:dyDescent="0.25">
      <c r="A259" s="446" t="s">
        <v>540</v>
      </c>
      <c r="B259" s="446" t="s">
        <v>307</v>
      </c>
      <c r="C259" s="446"/>
      <c r="D259" s="446"/>
      <c r="E259" s="444" t="s">
        <v>571</v>
      </c>
      <c r="F259" s="146" t="s">
        <v>303</v>
      </c>
      <c r="G259" s="147" t="s">
        <v>587</v>
      </c>
      <c r="H259" s="443">
        <f>VLOOKUP(G259,'условия, ФОТ'!$A$14:$I$32,9, FALSE)</f>
        <v>152.12</v>
      </c>
      <c r="I259" s="443">
        <v>0.3</v>
      </c>
      <c r="J259" s="443">
        <f t="shared" si="78"/>
        <v>45.64</v>
      </c>
      <c r="K259" s="443">
        <f t="shared" si="79"/>
        <v>13.78</v>
      </c>
      <c r="L259" s="443">
        <f t="shared" si="80"/>
        <v>59.42</v>
      </c>
      <c r="M259" s="456"/>
      <c r="N259" s="443"/>
      <c r="O259" s="443"/>
      <c r="P259" s="443"/>
      <c r="Q259" s="443"/>
      <c r="R259" s="443">
        <f t="shared" si="81"/>
        <v>59.42</v>
      </c>
      <c r="S259" s="443">
        <f t="shared" si="82"/>
        <v>72.55</v>
      </c>
      <c r="T259" s="442">
        <f t="shared" si="85"/>
        <v>145</v>
      </c>
      <c r="U259" s="442">
        <f t="shared" si="83"/>
        <v>29</v>
      </c>
      <c r="V259" s="442">
        <f t="shared" si="84"/>
        <v>174</v>
      </c>
      <c r="W259" s="442">
        <v>149</v>
      </c>
      <c r="X259" s="78">
        <f t="shared" si="73"/>
        <v>16.778523489932894</v>
      </c>
    </row>
    <row r="260" spans="1:24" ht="33.75" hidden="1" customHeight="1" x14ac:dyDescent="0.25">
      <c r="A260" s="446" t="s">
        <v>541</v>
      </c>
      <c r="B260" s="446" t="s">
        <v>27</v>
      </c>
      <c r="C260" s="446"/>
      <c r="D260" s="446"/>
      <c r="E260" s="459" t="s">
        <v>122</v>
      </c>
      <c r="F260" s="146" t="s">
        <v>303</v>
      </c>
      <c r="G260" s="147" t="s">
        <v>587</v>
      </c>
      <c r="H260" s="443">
        <f>VLOOKUP(G260,'условия, ФОТ'!$A$14:$I$32,9, FALSE)</f>
        <v>152.12</v>
      </c>
      <c r="I260" s="443">
        <v>0.5</v>
      </c>
      <c r="J260" s="443">
        <f t="shared" si="78"/>
        <v>76.06</v>
      </c>
      <c r="K260" s="443">
        <f t="shared" si="79"/>
        <v>22.97</v>
      </c>
      <c r="L260" s="443">
        <f t="shared" si="80"/>
        <v>99.03</v>
      </c>
      <c r="M260" s="456"/>
      <c r="N260" s="443"/>
      <c r="O260" s="443"/>
      <c r="P260" s="443"/>
      <c r="Q260" s="443"/>
      <c r="R260" s="443">
        <f t="shared" si="81"/>
        <v>99.03</v>
      </c>
      <c r="S260" s="443">
        <f t="shared" si="82"/>
        <v>120.92</v>
      </c>
      <c r="T260" s="442">
        <f t="shared" si="85"/>
        <v>241.67</v>
      </c>
      <c r="U260" s="442">
        <f t="shared" si="83"/>
        <v>48.33</v>
      </c>
      <c r="V260" s="442">
        <f t="shared" si="84"/>
        <v>290</v>
      </c>
      <c r="W260" s="442">
        <v>249</v>
      </c>
      <c r="X260" s="78">
        <f t="shared" si="73"/>
        <v>16.46586345381526</v>
      </c>
    </row>
    <row r="261" spans="1:24" ht="33" hidden="1" customHeight="1" x14ac:dyDescent="0.25">
      <c r="A261" s="446" t="s">
        <v>542</v>
      </c>
      <c r="B261" s="446" t="s">
        <v>27</v>
      </c>
      <c r="C261" s="446"/>
      <c r="D261" s="446"/>
      <c r="E261" s="444" t="s">
        <v>123</v>
      </c>
      <c r="F261" s="146" t="s">
        <v>303</v>
      </c>
      <c r="G261" s="147" t="s">
        <v>587</v>
      </c>
      <c r="H261" s="443">
        <f>VLOOKUP(G261,'условия, ФОТ'!$A$14:$I$32,9, FALSE)</f>
        <v>152.12</v>
      </c>
      <c r="I261" s="443">
        <v>0.4</v>
      </c>
      <c r="J261" s="443">
        <f t="shared" si="78"/>
        <v>60.85</v>
      </c>
      <c r="K261" s="443">
        <f t="shared" si="79"/>
        <v>18.38</v>
      </c>
      <c r="L261" s="443">
        <f t="shared" si="80"/>
        <v>79.23</v>
      </c>
      <c r="M261" s="456"/>
      <c r="N261" s="443"/>
      <c r="O261" s="443"/>
      <c r="P261" s="443"/>
      <c r="Q261" s="443"/>
      <c r="R261" s="443">
        <f t="shared" si="81"/>
        <v>79.23</v>
      </c>
      <c r="S261" s="443">
        <f t="shared" si="82"/>
        <v>96.74</v>
      </c>
      <c r="T261" s="442">
        <f t="shared" si="85"/>
        <v>193.33</v>
      </c>
      <c r="U261" s="442">
        <f t="shared" si="83"/>
        <v>38.67</v>
      </c>
      <c r="V261" s="442">
        <f t="shared" si="84"/>
        <v>232</v>
      </c>
      <c r="W261" s="442">
        <v>199</v>
      </c>
      <c r="X261" s="78">
        <f t="shared" si="73"/>
        <v>16.582914572864311</v>
      </c>
    </row>
    <row r="262" spans="1:24" ht="32.25" hidden="1" customHeight="1" x14ac:dyDescent="0.25">
      <c r="A262" s="446" t="s">
        <v>543</v>
      </c>
      <c r="B262" s="446" t="s">
        <v>27</v>
      </c>
      <c r="C262" s="446"/>
      <c r="D262" s="446"/>
      <c r="E262" s="444" t="s">
        <v>124</v>
      </c>
      <c r="F262" s="146" t="s">
        <v>303</v>
      </c>
      <c r="G262" s="147" t="s">
        <v>587</v>
      </c>
      <c r="H262" s="443">
        <f>VLOOKUP(G262,'условия, ФОТ'!$A$14:$I$32,9, FALSE)</f>
        <v>152.12</v>
      </c>
      <c r="I262" s="443">
        <v>0.6</v>
      </c>
      <c r="J262" s="443">
        <f t="shared" si="78"/>
        <v>91.27</v>
      </c>
      <c r="K262" s="443">
        <f t="shared" si="79"/>
        <v>27.56</v>
      </c>
      <c r="L262" s="443">
        <f t="shared" si="80"/>
        <v>118.83</v>
      </c>
      <c r="M262" s="456"/>
      <c r="N262" s="443"/>
      <c r="O262" s="443"/>
      <c r="P262" s="443"/>
      <c r="Q262" s="443"/>
      <c r="R262" s="443">
        <f t="shared" si="81"/>
        <v>118.83</v>
      </c>
      <c r="S262" s="443">
        <f t="shared" si="82"/>
        <v>145.09</v>
      </c>
      <c r="T262" s="442">
        <f t="shared" si="85"/>
        <v>290</v>
      </c>
      <c r="U262" s="442">
        <f t="shared" si="83"/>
        <v>58</v>
      </c>
      <c r="V262" s="442">
        <f t="shared" si="84"/>
        <v>348</v>
      </c>
      <c r="W262" s="442">
        <v>298</v>
      </c>
      <c r="X262" s="78">
        <f t="shared" si="73"/>
        <v>16.778523489932894</v>
      </c>
    </row>
    <row r="263" spans="1:24" ht="45.95" hidden="1" customHeight="1" x14ac:dyDescent="0.25">
      <c r="A263" s="446" t="s">
        <v>537</v>
      </c>
      <c r="B263" s="446" t="s">
        <v>27</v>
      </c>
      <c r="C263" s="446"/>
      <c r="D263" s="446"/>
      <c r="E263" s="444" t="s">
        <v>125</v>
      </c>
      <c r="F263" s="146" t="s">
        <v>303</v>
      </c>
      <c r="G263" s="147" t="s">
        <v>587</v>
      </c>
      <c r="H263" s="443">
        <f>VLOOKUP(G263,'условия, ФОТ'!$A$14:$I$32,9, FALSE)</f>
        <v>152.12</v>
      </c>
      <c r="I263" s="443">
        <v>0.8</v>
      </c>
      <c r="J263" s="443">
        <f t="shared" si="78"/>
        <v>121.7</v>
      </c>
      <c r="K263" s="443">
        <f t="shared" si="79"/>
        <v>36.75</v>
      </c>
      <c r="L263" s="443">
        <f t="shared" si="80"/>
        <v>158.44999999999999</v>
      </c>
      <c r="M263" s="456"/>
      <c r="N263" s="443"/>
      <c r="O263" s="443"/>
      <c r="P263" s="443"/>
      <c r="Q263" s="443"/>
      <c r="R263" s="443">
        <f t="shared" si="81"/>
        <v>158.44999999999999</v>
      </c>
      <c r="S263" s="443">
        <f t="shared" si="82"/>
        <v>193.47</v>
      </c>
      <c r="T263" s="442">
        <f t="shared" si="85"/>
        <v>387.5</v>
      </c>
      <c r="U263" s="442">
        <f t="shared" si="83"/>
        <v>77.5</v>
      </c>
      <c r="V263" s="442">
        <f t="shared" si="84"/>
        <v>465</v>
      </c>
      <c r="W263" s="442">
        <v>398</v>
      </c>
      <c r="X263" s="78">
        <f t="shared" si="73"/>
        <v>16.834170854271349</v>
      </c>
    </row>
    <row r="264" spans="1:24" ht="54" hidden="1" customHeight="1" x14ac:dyDescent="0.25">
      <c r="A264" s="446" t="s">
        <v>557</v>
      </c>
      <c r="B264" s="446" t="s">
        <v>27</v>
      </c>
      <c r="C264" s="446"/>
      <c r="D264" s="446"/>
      <c r="E264" s="444" t="s">
        <v>558</v>
      </c>
      <c r="F264" s="443" t="s">
        <v>316</v>
      </c>
      <c r="G264" s="147" t="s">
        <v>587</v>
      </c>
      <c r="H264" s="443">
        <f>VLOOKUP(G264,'условия, ФОТ'!$A$14:$I$32,9, FALSE)</f>
        <v>152.12</v>
      </c>
      <c r="I264" s="443">
        <v>0.12</v>
      </c>
      <c r="J264" s="443">
        <f t="shared" si="78"/>
        <v>18.25</v>
      </c>
      <c r="K264" s="443">
        <f t="shared" si="79"/>
        <v>5.51</v>
      </c>
      <c r="L264" s="443">
        <f t="shared" si="80"/>
        <v>23.759999999999998</v>
      </c>
      <c r="M264" s="456"/>
      <c r="N264" s="443"/>
      <c r="O264" s="443"/>
      <c r="P264" s="443"/>
      <c r="Q264" s="443"/>
      <c r="R264" s="443">
        <f t="shared" si="81"/>
        <v>23.759999999999998</v>
      </c>
      <c r="S264" s="443">
        <f t="shared" si="82"/>
        <v>29.01</v>
      </c>
      <c r="T264" s="442">
        <f t="shared" si="85"/>
        <v>58.33</v>
      </c>
      <c r="U264" s="442">
        <f t="shared" si="83"/>
        <v>11.67</v>
      </c>
      <c r="V264" s="442">
        <f t="shared" si="84"/>
        <v>70</v>
      </c>
      <c r="W264" s="442">
        <v>60</v>
      </c>
      <c r="X264" s="78">
        <f t="shared" si="73"/>
        <v>16.666666666666671</v>
      </c>
    </row>
    <row r="265" spans="1:24" s="86" customFormat="1" ht="25.5" hidden="1" customHeight="1" x14ac:dyDescent="0.25">
      <c r="A265" s="606" t="s">
        <v>317</v>
      </c>
      <c r="B265" s="606"/>
      <c r="C265" s="606"/>
      <c r="D265" s="606"/>
      <c r="E265" s="606"/>
      <c r="F265" s="606"/>
      <c r="G265" s="606"/>
      <c r="H265" s="606"/>
      <c r="I265" s="606"/>
      <c r="J265" s="606"/>
      <c r="K265" s="606"/>
      <c r="L265" s="606"/>
      <c r="M265" s="606"/>
      <c r="N265" s="606"/>
      <c r="O265" s="606"/>
      <c r="P265" s="606"/>
      <c r="Q265" s="606"/>
      <c r="R265" s="606"/>
      <c r="S265" s="606"/>
      <c r="T265" s="606"/>
      <c r="U265" s="606"/>
      <c r="V265" s="606"/>
      <c r="W265" s="95"/>
      <c r="X265" s="85"/>
    </row>
    <row r="266" spans="1:24" ht="25.5" hidden="1" x14ac:dyDescent="0.25">
      <c r="A266" s="446" t="s">
        <v>544</v>
      </c>
      <c r="B266" s="446" t="s">
        <v>27</v>
      </c>
      <c r="C266" s="446"/>
      <c r="D266" s="446"/>
      <c r="E266" s="444" t="s">
        <v>129</v>
      </c>
      <c r="F266" s="443" t="s">
        <v>308</v>
      </c>
      <c r="G266" s="454" t="s">
        <v>318</v>
      </c>
      <c r="H266" s="443">
        <f>VLOOKUP(G266,'условия, ФОТ'!$A$14:$I$32,9, FALSE)</f>
        <v>161.96</v>
      </c>
      <c r="I266" s="123">
        <v>1</v>
      </c>
      <c r="J266" s="443">
        <f t="shared" ref="J266:J286" si="86">ROUND(H266*I266,2)</f>
        <v>161.96</v>
      </c>
      <c r="K266" s="443">
        <f t="shared" ref="K266:K279" si="87">ROUND(J266*$K$7,2)</f>
        <v>48.91</v>
      </c>
      <c r="L266" s="443">
        <f t="shared" ref="L266:L286" si="88">J266+K266</f>
        <v>210.87</v>
      </c>
      <c r="M266" s="456"/>
      <c r="N266" s="443"/>
      <c r="O266" s="443"/>
      <c r="P266" s="443"/>
      <c r="Q266" s="443">
        <f>'расход ГСМ'!J6</f>
        <v>80.03</v>
      </c>
      <c r="R266" s="443">
        <f>L266+Q266</f>
        <v>290.89999999999998</v>
      </c>
      <c r="S266" s="443">
        <f t="shared" ref="S266:S282" si="89">ROUND(R266*$S$7,2)</f>
        <v>355.19</v>
      </c>
      <c r="T266" s="442">
        <f>ROUND(V266/1.2,2)</f>
        <v>710.83</v>
      </c>
      <c r="U266" s="442">
        <f t="shared" ref="U266:U282" si="90">ROUND(T266*$U$7,2)</f>
        <v>142.16999999999999</v>
      </c>
      <c r="V266" s="442">
        <f t="shared" ref="V266:V279" si="91">ROUND((R266+S266)*(1+$T$7)*1.2,0)</f>
        <v>853</v>
      </c>
      <c r="W266" s="442">
        <v>730</v>
      </c>
      <c r="X266" s="78">
        <f t="shared" si="73"/>
        <v>16.849315068493141</v>
      </c>
    </row>
    <row r="267" spans="1:24" ht="25.5" hidden="1" x14ac:dyDescent="0.25">
      <c r="A267" s="446" t="s">
        <v>539</v>
      </c>
      <c r="B267" s="446" t="s">
        <v>27</v>
      </c>
      <c r="C267" s="446"/>
      <c r="D267" s="446"/>
      <c r="E267" s="444" t="s">
        <v>129</v>
      </c>
      <c r="F267" s="443" t="s">
        <v>309</v>
      </c>
      <c r="G267" s="454" t="s">
        <v>318</v>
      </c>
      <c r="H267" s="443">
        <f>VLOOKUP(G267,'условия, ФОТ'!$A$14:$I$32,9, FALSE)</f>
        <v>161.96</v>
      </c>
      <c r="I267" s="443">
        <v>0.02</v>
      </c>
      <c r="J267" s="443">
        <f t="shared" si="86"/>
        <v>3.24</v>
      </c>
      <c r="K267" s="443">
        <f t="shared" si="87"/>
        <v>0.98</v>
      </c>
      <c r="L267" s="443">
        <f t="shared" si="88"/>
        <v>4.2200000000000006</v>
      </c>
      <c r="M267" s="456"/>
      <c r="N267" s="443"/>
      <c r="O267" s="443"/>
      <c r="P267" s="443"/>
      <c r="Q267" s="443">
        <f>'расход ГСМ'!K6</f>
        <v>1.63</v>
      </c>
      <c r="R267" s="443">
        <f>L267+Q267</f>
        <v>5.8500000000000005</v>
      </c>
      <c r="S267" s="443">
        <f t="shared" si="89"/>
        <v>7.14</v>
      </c>
      <c r="T267" s="442">
        <f t="shared" ref="T267:T277" si="92">ROUND(V267/1.2,2)</f>
        <v>14.17</v>
      </c>
      <c r="U267" s="442">
        <f t="shared" si="90"/>
        <v>2.83</v>
      </c>
      <c r="V267" s="442">
        <f t="shared" si="91"/>
        <v>17</v>
      </c>
      <c r="W267" s="442">
        <v>15</v>
      </c>
      <c r="X267" s="78">
        <f t="shared" si="73"/>
        <v>13.333333333333329</v>
      </c>
    </row>
    <row r="268" spans="1:24" ht="25.5" hidden="1" x14ac:dyDescent="0.25">
      <c r="A268" s="446"/>
      <c r="B268" s="446" t="s">
        <v>27</v>
      </c>
      <c r="C268" s="446"/>
      <c r="D268" s="446"/>
      <c r="E268" s="444" t="s">
        <v>126</v>
      </c>
      <c r="F268" s="443" t="s">
        <v>308</v>
      </c>
      <c r="G268" s="454" t="s">
        <v>320</v>
      </c>
      <c r="H268" s="443">
        <f>VLOOKUP(G268,'условия, ФОТ'!$A$14:$I$32,9, FALSE)</f>
        <v>141.72</v>
      </c>
      <c r="I268" s="123"/>
      <c r="J268" s="443">
        <f t="shared" si="86"/>
        <v>0</v>
      </c>
      <c r="K268" s="443">
        <f t="shared" si="87"/>
        <v>0</v>
      </c>
      <c r="L268" s="443">
        <f t="shared" si="88"/>
        <v>0</v>
      </c>
      <c r="M268" s="456"/>
      <c r="N268" s="443"/>
      <c r="O268" s="443"/>
      <c r="P268" s="443"/>
      <c r="Q268" s="443"/>
      <c r="R268" s="443">
        <f>L268+Q268</f>
        <v>0</v>
      </c>
      <c r="S268" s="443">
        <f t="shared" si="89"/>
        <v>0</v>
      </c>
      <c r="T268" s="442">
        <f t="shared" si="92"/>
        <v>0</v>
      </c>
      <c r="U268" s="442">
        <f t="shared" si="90"/>
        <v>0</v>
      </c>
      <c r="V268" s="442">
        <f t="shared" si="91"/>
        <v>0</v>
      </c>
      <c r="W268" s="442">
        <v>632</v>
      </c>
      <c r="X268" s="78">
        <f t="shared" si="73"/>
        <v>-100</v>
      </c>
    </row>
    <row r="269" spans="1:24" ht="25.5" hidden="1" x14ac:dyDescent="0.25">
      <c r="A269" s="446"/>
      <c r="B269" s="446" t="s">
        <v>27</v>
      </c>
      <c r="C269" s="446"/>
      <c r="D269" s="446"/>
      <c r="E269" s="444" t="s">
        <v>126</v>
      </c>
      <c r="F269" s="443" t="s">
        <v>309</v>
      </c>
      <c r="G269" s="454" t="s">
        <v>320</v>
      </c>
      <c r="H269" s="443">
        <f>VLOOKUP(G269,'условия, ФОТ'!$A$14:$I$32,9, FALSE)</f>
        <v>141.72</v>
      </c>
      <c r="I269" s="443"/>
      <c r="J269" s="443">
        <f t="shared" si="86"/>
        <v>0</v>
      </c>
      <c r="K269" s="443">
        <f t="shared" si="87"/>
        <v>0</v>
      </c>
      <c r="L269" s="443">
        <f t="shared" si="88"/>
        <v>0</v>
      </c>
      <c r="M269" s="456"/>
      <c r="N269" s="443"/>
      <c r="O269" s="443"/>
      <c r="P269" s="443"/>
      <c r="Q269" s="443"/>
      <c r="R269" s="443">
        <f>L269+Q269</f>
        <v>0</v>
      </c>
      <c r="S269" s="443">
        <f t="shared" si="89"/>
        <v>0</v>
      </c>
      <c r="T269" s="442">
        <f t="shared" si="92"/>
        <v>0</v>
      </c>
      <c r="U269" s="442">
        <f t="shared" si="90"/>
        <v>0</v>
      </c>
      <c r="V269" s="442">
        <f t="shared" si="91"/>
        <v>0</v>
      </c>
      <c r="W269" s="442">
        <v>13</v>
      </c>
      <c r="X269" s="78">
        <f t="shared" si="73"/>
        <v>-100</v>
      </c>
    </row>
    <row r="270" spans="1:24" ht="25.5" hidden="1" x14ac:dyDescent="0.25">
      <c r="A270" s="446" t="s">
        <v>545</v>
      </c>
      <c r="B270" s="446" t="s">
        <v>27</v>
      </c>
      <c r="C270" s="446"/>
      <c r="D270" s="446"/>
      <c r="E270" s="444" t="s">
        <v>127</v>
      </c>
      <c r="F270" s="443" t="s">
        <v>308</v>
      </c>
      <c r="G270" s="454" t="s">
        <v>319</v>
      </c>
      <c r="H270" s="443">
        <f>VLOOKUP(G270,'условия, ФОТ'!$A$14:$I$32,9, FALSE)</f>
        <v>161.96</v>
      </c>
      <c r="I270" s="123">
        <v>1</v>
      </c>
      <c r="J270" s="443">
        <f t="shared" si="86"/>
        <v>161.96</v>
      </c>
      <c r="K270" s="443">
        <f t="shared" si="87"/>
        <v>48.91</v>
      </c>
      <c r="L270" s="443">
        <f t="shared" si="88"/>
        <v>210.87</v>
      </c>
      <c r="M270" s="456"/>
      <c r="N270" s="443"/>
      <c r="O270" s="443"/>
      <c r="P270" s="443"/>
      <c r="Q270" s="443">
        <f>'расход ГСМ'!J8</f>
        <v>118.52</v>
      </c>
      <c r="R270" s="443">
        <f t="shared" ref="R270:R286" si="93">L270+Q270</f>
        <v>329.39</v>
      </c>
      <c r="S270" s="443">
        <f t="shared" si="89"/>
        <v>402.19</v>
      </c>
      <c r="T270" s="442">
        <f t="shared" si="92"/>
        <v>805</v>
      </c>
      <c r="U270" s="442">
        <f t="shared" si="90"/>
        <v>161</v>
      </c>
      <c r="V270" s="442">
        <f t="shared" si="91"/>
        <v>966</v>
      </c>
      <c r="W270" s="442">
        <v>827</v>
      </c>
      <c r="X270" s="78">
        <f t="shared" si="73"/>
        <v>16.807738814993954</v>
      </c>
    </row>
    <row r="271" spans="1:24" ht="25.5" hidden="1" x14ac:dyDescent="0.25">
      <c r="A271" s="446" t="s">
        <v>546</v>
      </c>
      <c r="B271" s="446" t="s">
        <v>27</v>
      </c>
      <c r="C271" s="446"/>
      <c r="D271" s="446"/>
      <c r="E271" s="444" t="s">
        <v>127</v>
      </c>
      <c r="F271" s="443" t="s">
        <v>309</v>
      </c>
      <c r="G271" s="454" t="s">
        <v>319</v>
      </c>
      <c r="H271" s="443">
        <f>VLOOKUP(G271,'условия, ФОТ'!$A$14:$I$32,9, FALSE)</f>
        <v>161.96</v>
      </c>
      <c r="I271" s="443">
        <v>0.02</v>
      </c>
      <c r="J271" s="443">
        <f t="shared" si="86"/>
        <v>3.24</v>
      </c>
      <c r="K271" s="443">
        <f t="shared" si="87"/>
        <v>0.98</v>
      </c>
      <c r="L271" s="443">
        <f t="shared" si="88"/>
        <v>4.2200000000000006</v>
      </c>
      <c r="M271" s="456"/>
      <c r="N271" s="443"/>
      <c r="O271" s="443"/>
      <c r="P271" s="443"/>
      <c r="Q271" s="443">
        <f>'расход ГСМ'!K8</f>
        <v>2.42</v>
      </c>
      <c r="R271" s="443">
        <f t="shared" si="93"/>
        <v>6.6400000000000006</v>
      </c>
      <c r="S271" s="443">
        <f t="shared" si="89"/>
        <v>8.11</v>
      </c>
      <c r="T271" s="442">
        <f t="shared" si="92"/>
        <v>15.83</v>
      </c>
      <c r="U271" s="442">
        <f t="shared" si="90"/>
        <v>3.17</v>
      </c>
      <c r="V271" s="442">
        <f t="shared" si="91"/>
        <v>19</v>
      </c>
      <c r="W271" s="442">
        <v>17</v>
      </c>
      <c r="X271" s="78">
        <f t="shared" si="73"/>
        <v>11.764705882352942</v>
      </c>
    </row>
    <row r="272" spans="1:24" ht="25.5" hidden="1" customHeight="1" x14ac:dyDescent="0.25">
      <c r="A272" s="446" t="s">
        <v>547</v>
      </c>
      <c r="B272" s="446" t="s">
        <v>27</v>
      </c>
      <c r="C272" s="446"/>
      <c r="D272" s="446"/>
      <c r="E272" s="444" t="s">
        <v>128</v>
      </c>
      <c r="F272" s="443" t="s">
        <v>308</v>
      </c>
      <c r="G272" s="454" t="s">
        <v>321</v>
      </c>
      <c r="H272" s="443">
        <f>VLOOKUP(G272,'условия, ФОТ'!$A$14:$I$32,9, FALSE)</f>
        <v>141.72</v>
      </c>
      <c r="I272" s="123"/>
      <c r="J272" s="443">
        <f t="shared" si="86"/>
        <v>0</v>
      </c>
      <c r="K272" s="443">
        <f t="shared" si="87"/>
        <v>0</v>
      </c>
      <c r="L272" s="443">
        <f t="shared" si="88"/>
        <v>0</v>
      </c>
      <c r="M272" s="456"/>
      <c r="N272" s="443"/>
      <c r="O272" s="443"/>
      <c r="P272" s="443"/>
      <c r="Q272" s="443"/>
      <c r="R272" s="443">
        <f t="shared" si="93"/>
        <v>0</v>
      </c>
      <c r="S272" s="443">
        <f t="shared" si="89"/>
        <v>0</v>
      </c>
      <c r="T272" s="442">
        <f t="shared" si="92"/>
        <v>0</v>
      </c>
      <c r="U272" s="442">
        <f t="shared" si="90"/>
        <v>0</v>
      </c>
      <c r="V272" s="442">
        <f t="shared" si="91"/>
        <v>0</v>
      </c>
      <c r="W272" s="442">
        <v>617</v>
      </c>
      <c r="X272" s="78">
        <f t="shared" si="73"/>
        <v>-100</v>
      </c>
    </row>
    <row r="273" spans="1:24" ht="25.5" hidden="1" customHeight="1" x14ac:dyDescent="0.25">
      <c r="A273" s="446" t="s">
        <v>548</v>
      </c>
      <c r="B273" s="446" t="s">
        <v>27</v>
      </c>
      <c r="C273" s="446"/>
      <c r="D273" s="446"/>
      <c r="E273" s="444" t="s">
        <v>128</v>
      </c>
      <c r="F273" s="443" t="s">
        <v>309</v>
      </c>
      <c r="G273" s="454" t="s">
        <v>321</v>
      </c>
      <c r="H273" s="443">
        <f>VLOOKUP(G273,'условия, ФОТ'!$A$14:$I$32,9, FALSE)</f>
        <v>141.72</v>
      </c>
      <c r="I273" s="443"/>
      <c r="J273" s="443">
        <f t="shared" si="86"/>
        <v>0</v>
      </c>
      <c r="K273" s="443">
        <f t="shared" si="87"/>
        <v>0</v>
      </c>
      <c r="L273" s="443">
        <f t="shared" si="88"/>
        <v>0</v>
      </c>
      <c r="M273" s="456"/>
      <c r="N273" s="443"/>
      <c r="O273" s="443"/>
      <c r="P273" s="443"/>
      <c r="Q273" s="443"/>
      <c r="R273" s="443">
        <f t="shared" si="93"/>
        <v>0</v>
      </c>
      <c r="S273" s="443">
        <f t="shared" si="89"/>
        <v>0</v>
      </c>
      <c r="T273" s="442">
        <f>ROUND(V273/1.2,2)</f>
        <v>0</v>
      </c>
      <c r="U273" s="442">
        <f t="shared" si="90"/>
        <v>0</v>
      </c>
      <c r="V273" s="442">
        <f t="shared" si="91"/>
        <v>0</v>
      </c>
      <c r="W273" s="442">
        <v>12</v>
      </c>
      <c r="X273" s="78">
        <f t="shared" si="73"/>
        <v>-100</v>
      </c>
    </row>
    <row r="274" spans="1:24" ht="29.25" hidden="1" customHeight="1" x14ac:dyDescent="0.25">
      <c r="A274" s="446" t="s">
        <v>547</v>
      </c>
      <c r="B274" s="446" t="s">
        <v>310</v>
      </c>
      <c r="C274" s="446"/>
      <c r="D274" s="446"/>
      <c r="E274" s="444" t="s">
        <v>130</v>
      </c>
      <c r="F274" s="443" t="s">
        <v>18</v>
      </c>
      <c r="G274" s="443" t="s">
        <v>29</v>
      </c>
      <c r="H274" s="443">
        <f>VLOOKUP(G274,'условия, ФОТ'!$A$14:$I$32,9, FALSE)</f>
        <v>146.63</v>
      </c>
      <c r="I274" s="443">
        <v>0.4</v>
      </c>
      <c r="J274" s="443">
        <f t="shared" si="86"/>
        <v>58.65</v>
      </c>
      <c r="K274" s="443">
        <f t="shared" si="87"/>
        <v>17.71</v>
      </c>
      <c r="L274" s="443">
        <f t="shared" si="88"/>
        <v>76.36</v>
      </c>
      <c r="M274" s="456"/>
      <c r="N274" s="443"/>
      <c r="O274" s="443"/>
      <c r="P274" s="443"/>
      <c r="Q274" s="443"/>
      <c r="R274" s="443">
        <f t="shared" si="93"/>
        <v>76.36</v>
      </c>
      <c r="S274" s="443">
        <f t="shared" si="89"/>
        <v>93.24</v>
      </c>
      <c r="T274" s="442">
        <f t="shared" si="92"/>
        <v>186.67</v>
      </c>
      <c r="U274" s="442">
        <f t="shared" si="90"/>
        <v>37.33</v>
      </c>
      <c r="V274" s="442">
        <f t="shared" si="91"/>
        <v>224</v>
      </c>
      <c r="W274" s="442">
        <v>192</v>
      </c>
      <c r="X274" s="78">
        <f t="shared" si="73"/>
        <v>16.666666666666671</v>
      </c>
    </row>
    <row r="275" spans="1:24" ht="29.25" hidden="1" customHeight="1" x14ac:dyDescent="0.25">
      <c r="A275" s="446" t="s">
        <v>548</v>
      </c>
      <c r="B275" s="443" t="s">
        <v>27</v>
      </c>
      <c r="C275" s="443"/>
      <c r="D275" s="443"/>
      <c r="E275" s="444" t="s">
        <v>131</v>
      </c>
      <c r="F275" s="443" t="s">
        <v>311</v>
      </c>
      <c r="G275" s="454" t="s">
        <v>312</v>
      </c>
      <c r="H275" s="443">
        <f>VLOOKUP(G275,'условия, ФОТ'!$A$14:$I$32,9, FALSE)</f>
        <v>134.71</v>
      </c>
      <c r="I275" s="443">
        <v>0.15</v>
      </c>
      <c r="J275" s="443">
        <f t="shared" si="86"/>
        <v>20.21</v>
      </c>
      <c r="K275" s="443">
        <f t="shared" si="87"/>
        <v>6.1</v>
      </c>
      <c r="L275" s="443">
        <f t="shared" si="88"/>
        <v>26.310000000000002</v>
      </c>
      <c r="M275" s="456"/>
      <c r="N275" s="443"/>
      <c r="O275" s="443"/>
      <c r="P275" s="443"/>
      <c r="Q275" s="443"/>
      <c r="R275" s="443">
        <f t="shared" si="93"/>
        <v>26.310000000000002</v>
      </c>
      <c r="S275" s="443">
        <f t="shared" si="89"/>
        <v>32.119999999999997</v>
      </c>
      <c r="T275" s="442">
        <f t="shared" si="92"/>
        <v>64.17</v>
      </c>
      <c r="U275" s="442">
        <f t="shared" si="90"/>
        <v>12.83</v>
      </c>
      <c r="V275" s="442">
        <f t="shared" si="91"/>
        <v>77</v>
      </c>
      <c r="W275" s="442">
        <v>66</v>
      </c>
      <c r="X275" s="78">
        <f t="shared" si="73"/>
        <v>16.666666666666671</v>
      </c>
    </row>
    <row r="276" spans="1:24" ht="26.25" hidden="1" x14ac:dyDescent="0.25">
      <c r="A276" s="175" t="s">
        <v>549</v>
      </c>
      <c r="B276" s="443" t="s">
        <v>27</v>
      </c>
      <c r="C276" s="443"/>
      <c r="D276" s="443"/>
      <c r="E276" s="444" t="s">
        <v>132</v>
      </c>
      <c r="F276" s="443" t="s">
        <v>311</v>
      </c>
      <c r="G276" s="124" t="s">
        <v>363</v>
      </c>
      <c r="H276" s="443">
        <f>VLOOKUP(G276,'условия, ФОТ'!$A$14:$I$32,9, FALSE)</f>
        <v>91.64</v>
      </c>
      <c r="I276" s="443">
        <v>0.13</v>
      </c>
      <c r="J276" s="443">
        <f t="shared" si="86"/>
        <v>11.91</v>
      </c>
      <c r="K276" s="443">
        <f t="shared" si="87"/>
        <v>3.6</v>
      </c>
      <c r="L276" s="443">
        <f t="shared" si="88"/>
        <v>15.51</v>
      </c>
      <c r="M276" s="456"/>
      <c r="N276" s="443"/>
      <c r="O276" s="443"/>
      <c r="P276" s="443"/>
      <c r="Q276" s="443"/>
      <c r="R276" s="443">
        <f t="shared" si="93"/>
        <v>15.51</v>
      </c>
      <c r="S276" s="443">
        <f t="shared" si="89"/>
        <v>18.940000000000001</v>
      </c>
      <c r="T276" s="442">
        <f t="shared" si="92"/>
        <v>37.5</v>
      </c>
      <c r="U276" s="442">
        <f t="shared" si="90"/>
        <v>7.5</v>
      </c>
      <c r="V276" s="442">
        <f t="shared" si="91"/>
        <v>45</v>
      </c>
      <c r="W276" s="442">
        <v>39</v>
      </c>
      <c r="X276" s="78">
        <f t="shared" si="73"/>
        <v>15.384615384615373</v>
      </c>
    </row>
    <row r="277" spans="1:24" ht="22.7" hidden="1" customHeight="1" x14ac:dyDescent="0.25">
      <c r="A277" s="175" t="s">
        <v>550</v>
      </c>
      <c r="B277" s="443" t="s">
        <v>27</v>
      </c>
      <c r="C277" s="443"/>
      <c r="D277" s="443"/>
      <c r="E277" s="444" t="s">
        <v>133</v>
      </c>
      <c r="F277" s="443" t="s">
        <v>316</v>
      </c>
      <c r="G277" s="443" t="s">
        <v>315</v>
      </c>
      <c r="H277" s="443">
        <f>VLOOKUP(G277,'условия, ФОТ'!$A$14:$I$32,9, FALSE)</f>
        <v>109.97</v>
      </c>
      <c r="I277" s="443">
        <v>0.03</v>
      </c>
      <c r="J277" s="443">
        <f t="shared" si="86"/>
        <v>3.3</v>
      </c>
      <c r="K277" s="443">
        <f t="shared" si="87"/>
        <v>1</v>
      </c>
      <c r="L277" s="443">
        <f t="shared" si="88"/>
        <v>4.3</v>
      </c>
      <c r="M277" s="456"/>
      <c r="N277" s="443"/>
      <c r="O277" s="443"/>
      <c r="P277" s="443"/>
      <c r="Q277" s="443"/>
      <c r="R277" s="443">
        <f t="shared" si="93"/>
        <v>4.3</v>
      </c>
      <c r="S277" s="443">
        <f t="shared" si="89"/>
        <v>5.25</v>
      </c>
      <c r="T277" s="442">
        <f t="shared" si="92"/>
        <v>10.83</v>
      </c>
      <c r="U277" s="442">
        <f t="shared" si="90"/>
        <v>2.17</v>
      </c>
      <c r="V277" s="442">
        <f t="shared" si="91"/>
        <v>13</v>
      </c>
      <c r="W277" s="442">
        <v>11</v>
      </c>
      <c r="X277" s="78">
        <f t="shared" si="73"/>
        <v>18.181818181818187</v>
      </c>
    </row>
    <row r="278" spans="1:24" ht="29.25" hidden="1" customHeight="1" x14ac:dyDescent="0.25">
      <c r="A278" s="175" t="s">
        <v>435</v>
      </c>
      <c r="B278" s="443" t="s">
        <v>27</v>
      </c>
      <c r="C278" s="443"/>
      <c r="D278" s="443"/>
      <c r="E278" s="444" t="s">
        <v>134</v>
      </c>
      <c r="F278" s="443" t="s">
        <v>316</v>
      </c>
      <c r="G278" s="454" t="s">
        <v>312</v>
      </c>
      <c r="H278" s="443">
        <f>VLOOKUP(G278,'условия, ФОТ'!$A$14:$I$32,9, FALSE)</f>
        <v>134.71</v>
      </c>
      <c r="I278" s="443">
        <v>0.12</v>
      </c>
      <c r="J278" s="443">
        <f t="shared" si="86"/>
        <v>16.170000000000002</v>
      </c>
      <c r="K278" s="443">
        <f t="shared" si="87"/>
        <v>4.88</v>
      </c>
      <c r="L278" s="443">
        <f t="shared" si="88"/>
        <v>21.05</v>
      </c>
      <c r="M278" s="456"/>
      <c r="N278" s="443"/>
      <c r="O278" s="443"/>
      <c r="P278" s="443"/>
      <c r="Q278" s="443"/>
      <c r="R278" s="443">
        <f t="shared" si="93"/>
        <v>21.05</v>
      </c>
      <c r="S278" s="443">
        <f t="shared" si="89"/>
        <v>25.7</v>
      </c>
      <c r="T278" s="442">
        <f>ROUND(V278/1.2,2)</f>
        <v>51.67</v>
      </c>
      <c r="U278" s="442">
        <f t="shared" si="90"/>
        <v>10.33</v>
      </c>
      <c r="V278" s="442">
        <f t="shared" si="91"/>
        <v>62</v>
      </c>
      <c r="W278" s="442">
        <v>53</v>
      </c>
      <c r="X278" s="78">
        <f t="shared" si="73"/>
        <v>16.981132075471692</v>
      </c>
    </row>
    <row r="279" spans="1:24" ht="16.5" hidden="1" customHeight="1" x14ac:dyDescent="0.25">
      <c r="A279" s="604" t="s">
        <v>551</v>
      </c>
      <c r="B279" s="592" t="s">
        <v>27</v>
      </c>
      <c r="C279" s="443"/>
      <c r="D279" s="443"/>
      <c r="E279" s="589" t="s">
        <v>135</v>
      </c>
      <c r="F279" s="593" t="s">
        <v>18</v>
      </c>
      <c r="G279" s="454" t="s">
        <v>162</v>
      </c>
      <c r="H279" s="443">
        <f>VLOOKUP(G279,'условия, ФОТ'!$A$14:$I$32,9, FALSE)</f>
        <v>164.09</v>
      </c>
      <c r="I279" s="443">
        <v>1.1200000000000001</v>
      </c>
      <c r="J279" s="592">
        <f>ROUND(H279*I279+H280*I280,2)</f>
        <v>220.44</v>
      </c>
      <c r="K279" s="592">
        <f t="shared" si="87"/>
        <v>66.569999999999993</v>
      </c>
      <c r="L279" s="592">
        <f t="shared" si="88"/>
        <v>287.01</v>
      </c>
      <c r="M279" s="456"/>
      <c r="N279" s="443"/>
      <c r="O279" s="443"/>
      <c r="P279" s="443"/>
      <c r="Q279" s="443"/>
      <c r="R279" s="592">
        <f t="shared" si="93"/>
        <v>287.01</v>
      </c>
      <c r="S279" s="592">
        <f t="shared" si="89"/>
        <v>350.44</v>
      </c>
      <c r="T279" s="596">
        <f>ROUND(V279/1.2,2)</f>
        <v>700.83</v>
      </c>
      <c r="U279" s="596">
        <f t="shared" si="90"/>
        <v>140.16999999999999</v>
      </c>
      <c r="V279" s="596">
        <f t="shared" si="91"/>
        <v>841</v>
      </c>
      <c r="W279" s="596">
        <v>583</v>
      </c>
      <c r="X279" s="601">
        <f t="shared" si="73"/>
        <v>44.253859348198972</v>
      </c>
    </row>
    <row r="280" spans="1:24" ht="25.5" hidden="1" x14ac:dyDescent="0.25">
      <c r="A280" s="605"/>
      <c r="B280" s="592"/>
      <c r="C280" s="443"/>
      <c r="D280" s="443"/>
      <c r="E280" s="589"/>
      <c r="F280" s="593"/>
      <c r="G280" s="458" t="s">
        <v>363</v>
      </c>
      <c r="H280" s="443">
        <f>VLOOKUP(G280,'условия, ФОТ'!$A$14:$I$32,9, FALSE)</f>
        <v>91.64</v>
      </c>
      <c r="I280" s="443">
        <v>0.4</v>
      </c>
      <c r="J280" s="592"/>
      <c r="K280" s="592"/>
      <c r="L280" s="592"/>
      <c r="M280" s="456"/>
      <c r="N280" s="443"/>
      <c r="O280" s="443"/>
      <c r="P280" s="443"/>
      <c r="Q280" s="443"/>
      <c r="R280" s="592">
        <f t="shared" si="93"/>
        <v>0</v>
      </c>
      <c r="S280" s="592">
        <f t="shared" si="89"/>
        <v>0</v>
      </c>
      <c r="T280" s="596">
        <f t="shared" ref="T280" si="94">ROUND(V280/1.18,2)</f>
        <v>0</v>
      </c>
      <c r="U280" s="596">
        <f t="shared" si="90"/>
        <v>0</v>
      </c>
      <c r="V280" s="596">
        <f>ROUND((R280+S280)*(1+$T$7)*1.18,0)</f>
        <v>0</v>
      </c>
      <c r="W280" s="596"/>
      <c r="X280" s="601"/>
    </row>
    <row r="281" spans="1:24" ht="25.5" hidden="1" x14ac:dyDescent="0.25">
      <c r="A281" s="175" t="s">
        <v>552</v>
      </c>
      <c r="B281" s="443" t="s">
        <v>27</v>
      </c>
      <c r="C281" s="443"/>
      <c r="D281" s="443"/>
      <c r="E281" s="444" t="s">
        <v>136</v>
      </c>
      <c r="F281" s="443" t="s">
        <v>316</v>
      </c>
      <c r="G281" s="447" t="s">
        <v>163</v>
      </c>
      <c r="H281" s="443">
        <f>VLOOKUP(G281,'условия, ФОТ'!$A$14:$I$32,9, FALSE)</f>
        <v>181.45</v>
      </c>
      <c r="I281" s="443">
        <v>0.34</v>
      </c>
      <c r="J281" s="443">
        <f t="shared" si="86"/>
        <v>61.69</v>
      </c>
      <c r="K281" s="443">
        <f>ROUND(J281*$K$7,2)</f>
        <v>18.63</v>
      </c>
      <c r="L281" s="443">
        <f t="shared" si="88"/>
        <v>80.319999999999993</v>
      </c>
      <c r="M281" s="456"/>
      <c r="N281" s="443"/>
      <c r="O281" s="443"/>
      <c r="P281" s="443"/>
      <c r="Q281" s="443"/>
      <c r="R281" s="443">
        <f t="shared" si="93"/>
        <v>80.319999999999993</v>
      </c>
      <c r="S281" s="443">
        <f t="shared" si="89"/>
        <v>98.07</v>
      </c>
      <c r="T281" s="442">
        <f>ROUND(V281/1.2,2)</f>
        <v>195.83</v>
      </c>
      <c r="U281" s="442">
        <f t="shared" si="90"/>
        <v>39.17</v>
      </c>
      <c r="V281" s="442">
        <f>ROUND((R281+S281)*(1+$T$7)*1.2,0)</f>
        <v>235</v>
      </c>
      <c r="W281" s="442">
        <v>202</v>
      </c>
      <c r="X281" s="78">
        <f t="shared" si="73"/>
        <v>16.336633663366328</v>
      </c>
    </row>
    <row r="282" spans="1:24" ht="19.5" hidden="1" customHeight="1" x14ac:dyDescent="0.25">
      <c r="A282" s="604" t="s">
        <v>553</v>
      </c>
      <c r="B282" s="592" t="s">
        <v>27</v>
      </c>
      <c r="C282" s="443"/>
      <c r="D282" s="443"/>
      <c r="E282" s="589" t="s">
        <v>137</v>
      </c>
      <c r="F282" s="592" t="s">
        <v>328</v>
      </c>
      <c r="G282" s="443" t="s">
        <v>350</v>
      </c>
      <c r="H282" s="443">
        <f>VLOOKUP(G282,'условия, ФОТ'!$A$14:$I$32,9, FALSE)</f>
        <v>125.37</v>
      </c>
      <c r="I282" s="471">
        <v>0.2</v>
      </c>
      <c r="J282" s="592">
        <f>ROUND(H282*I282+H283*I283,2)</f>
        <v>58.43</v>
      </c>
      <c r="K282" s="592">
        <f>ROUND(J282*$K$7,2)</f>
        <v>17.649999999999999</v>
      </c>
      <c r="L282" s="592">
        <f t="shared" si="88"/>
        <v>76.08</v>
      </c>
      <c r="M282" s="456"/>
      <c r="N282" s="443"/>
      <c r="O282" s="443"/>
      <c r="P282" s="443"/>
      <c r="Q282" s="592">
        <f>ROUND('расход ГСМ'!J4/4,2)</f>
        <v>52.62</v>
      </c>
      <c r="R282" s="592">
        <f>L282+Q282</f>
        <v>128.69999999999999</v>
      </c>
      <c r="S282" s="592">
        <f t="shared" si="89"/>
        <v>157.13999999999999</v>
      </c>
      <c r="T282" s="596">
        <f>ROUND(V282/1.2,2)</f>
        <v>314.17</v>
      </c>
      <c r="U282" s="596">
        <f t="shared" si="90"/>
        <v>62.83</v>
      </c>
      <c r="V282" s="596">
        <f>ROUND((R282+S282)*(1+$T$7)*1.2,0)</f>
        <v>377</v>
      </c>
      <c r="W282" s="596">
        <v>323</v>
      </c>
      <c r="X282" s="601">
        <f t="shared" si="73"/>
        <v>16.718266253869956</v>
      </c>
    </row>
    <row r="283" spans="1:24" ht="24" hidden="1" customHeight="1" x14ac:dyDescent="0.25">
      <c r="A283" s="605"/>
      <c r="B283" s="592"/>
      <c r="C283" s="443"/>
      <c r="D283" s="443"/>
      <c r="E283" s="589"/>
      <c r="F283" s="592"/>
      <c r="G283" s="447" t="s">
        <v>349</v>
      </c>
      <c r="H283" s="443">
        <f>VLOOKUP(G283,'условия, ФОТ'!$A$14:$I$32,9, FALSE)</f>
        <v>166.76</v>
      </c>
      <c r="I283" s="471">
        <v>0.2</v>
      </c>
      <c r="J283" s="592"/>
      <c r="K283" s="592"/>
      <c r="L283" s="592">
        <f t="shared" si="88"/>
        <v>0</v>
      </c>
      <c r="M283" s="456"/>
      <c r="N283" s="443"/>
      <c r="O283" s="443"/>
      <c r="P283" s="443"/>
      <c r="Q283" s="592"/>
      <c r="R283" s="592"/>
      <c r="S283" s="592"/>
      <c r="T283" s="596"/>
      <c r="U283" s="596"/>
      <c r="V283" s="596"/>
      <c r="W283" s="596"/>
      <c r="X283" s="601"/>
    </row>
    <row r="284" spans="1:24" ht="39.75" hidden="1" customHeight="1" x14ac:dyDescent="0.25">
      <c r="A284" s="175" t="s">
        <v>554</v>
      </c>
      <c r="B284" s="443" t="s">
        <v>27</v>
      </c>
      <c r="C284" s="443"/>
      <c r="D284" s="443"/>
      <c r="E284" s="459" t="s">
        <v>138</v>
      </c>
      <c r="F284" s="443" t="s">
        <v>311</v>
      </c>
      <c r="G284" s="443" t="s">
        <v>161</v>
      </c>
      <c r="H284" s="443">
        <f>VLOOKUP(G284,'условия, ФОТ'!$A$14:$I$32,9, FALSE)</f>
        <v>111.79</v>
      </c>
      <c r="I284" s="443">
        <v>1.4</v>
      </c>
      <c r="J284" s="443">
        <f t="shared" si="86"/>
        <v>156.51</v>
      </c>
      <c r="K284" s="443">
        <f>ROUND(J284*$K$7,2)</f>
        <v>47.27</v>
      </c>
      <c r="L284" s="443">
        <f t="shared" si="88"/>
        <v>203.78</v>
      </c>
      <c r="M284" s="456"/>
      <c r="N284" s="443"/>
      <c r="O284" s="443"/>
      <c r="P284" s="443"/>
      <c r="Q284" s="443"/>
      <c r="R284" s="443">
        <f t="shared" si="93"/>
        <v>203.78</v>
      </c>
      <c r="S284" s="443">
        <f>ROUND(R284*$S$7,2)</f>
        <v>248.82</v>
      </c>
      <c r="T284" s="442">
        <f>ROUND(V284/1.2,2)</f>
        <v>497.5</v>
      </c>
      <c r="U284" s="442">
        <f>ROUND(T284*$U$7,2)</f>
        <v>99.5</v>
      </c>
      <c r="V284" s="442">
        <f>ROUND((R284+S284)*(1+$T$7)*1.2,0)</f>
        <v>597</v>
      </c>
      <c r="W284" s="442">
        <v>512</v>
      </c>
      <c r="X284" s="78">
        <f t="shared" si="73"/>
        <v>16.6015625</v>
      </c>
    </row>
    <row r="285" spans="1:24" ht="43.5" hidden="1" customHeight="1" x14ac:dyDescent="0.25">
      <c r="A285" s="445" t="s">
        <v>555</v>
      </c>
      <c r="B285" s="443" t="s">
        <v>27</v>
      </c>
      <c r="C285" s="443"/>
      <c r="D285" s="443"/>
      <c r="E285" s="444" t="s">
        <v>139</v>
      </c>
      <c r="F285" s="443" t="s">
        <v>348</v>
      </c>
      <c r="G285" s="447" t="s">
        <v>163</v>
      </c>
      <c r="H285" s="443">
        <f>VLOOKUP(G285,'условия, ФОТ'!$A$14:$I$32,9, FALSE)</f>
        <v>181.45</v>
      </c>
      <c r="I285" s="443">
        <v>0.5</v>
      </c>
      <c r="J285" s="443">
        <f t="shared" si="86"/>
        <v>90.73</v>
      </c>
      <c r="K285" s="443">
        <f>ROUND(J285*$K$7,2)</f>
        <v>27.4</v>
      </c>
      <c r="L285" s="443">
        <f t="shared" si="88"/>
        <v>118.13</v>
      </c>
      <c r="M285" s="456"/>
      <c r="N285" s="443"/>
      <c r="O285" s="443"/>
      <c r="P285" s="443"/>
      <c r="Q285" s="443"/>
      <c r="R285" s="443">
        <f t="shared" si="93"/>
        <v>118.13</v>
      </c>
      <c r="S285" s="443">
        <f>ROUND(R285*$S$7,2)</f>
        <v>144.24</v>
      </c>
      <c r="T285" s="442">
        <f>ROUND(V285/1.2,2)</f>
        <v>288.33</v>
      </c>
      <c r="U285" s="442">
        <f>ROUND(T285*$U$7,2)</f>
        <v>57.67</v>
      </c>
      <c r="V285" s="442">
        <f>ROUND((R285+S285)*(1+$T$7)*1.2,0)</f>
        <v>346</v>
      </c>
      <c r="W285" s="442">
        <v>297</v>
      </c>
      <c r="X285" s="78">
        <f t="shared" si="73"/>
        <v>16.498316498316498</v>
      </c>
    </row>
    <row r="286" spans="1:24" ht="66.75" hidden="1" customHeight="1" x14ac:dyDescent="0.25">
      <c r="A286" s="175" t="s">
        <v>556</v>
      </c>
      <c r="B286" s="443" t="s">
        <v>27</v>
      </c>
      <c r="C286" s="443"/>
      <c r="D286" s="443"/>
      <c r="E286" s="459" t="s">
        <v>314</v>
      </c>
      <c r="F286" s="443" t="s">
        <v>18</v>
      </c>
      <c r="G286" s="443" t="s">
        <v>161</v>
      </c>
      <c r="H286" s="443">
        <f>VLOOKUP(G286,'условия, ФОТ'!$A$14:$I$32,9, FALSE)</f>
        <v>111.79</v>
      </c>
      <c r="I286" s="443">
        <v>1.4</v>
      </c>
      <c r="J286" s="443">
        <f t="shared" si="86"/>
        <v>156.51</v>
      </c>
      <c r="K286" s="443">
        <f>ROUND(J286*$K$7,2)</f>
        <v>47.27</v>
      </c>
      <c r="L286" s="443">
        <f t="shared" si="88"/>
        <v>203.78</v>
      </c>
      <c r="M286" s="456"/>
      <c r="N286" s="443"/>
      <c r="O286" s="443"/>
      <c r="P286" s="443"/>
      <c r="Q286" s="443"/>
      <c r="R286" s="443">
        <f t="shared" si="93"/>
        <v>203.78</v>
      </c>
      <c r="S286" s="443">
        <f>ROUND(R286*$S$7,2)</f>
        <v>248.82</v>
      </c>
      <c r="T286" s="442">
        <f>ROUND(V286/1.2,2)</f>
        <v>497.5</v>
      </c>
      <c r="U286" s="442">
        <f>ROUND(T286*$U$7,2)</f>
        <v>99.5</v>
      </c>
      <c r="V286" s="442">
        <f>ROUND((R286+S286)*(1+$T$7)*1.2,0)</f>
        <v>597</v>
      </c>
      <c r="W286" s="442">
        <v>512</v>
      </c>
      <c r="X286" s="78">
        <f t="shared" si="73"/>
        <v>16.6015625</v>
      </c>
    </row>
    <row r="287" spans="1:24" hidden="1" x14ac:dyDescent="0.25">
      <c r="B287" s="77"/>
      <c r="C287" s="77"/>
      <c r="D287" s="77"/>
      <c r="E287" s="108"/>
      <c r="F287" s="77"/>
      <c r="G287" s="77"/>
      <c r="H287" s="77"/>
      <c r="I287" s="77"/>
      <c r="J287" s="77"/>
      <c r="K287" s="77"/>
      <c r="L287" s="77"/>
      <c r="M287" s="108"/>
      <c r="N287" s="109"/>
      <c r="O287" s="109"/>
      <c r="P287" s="109"/>
      <c r="Q287" s="109"/>
      <c r="R287" s="77"/>
      <c r="S287" s="77"/>
      <c r="T287" s="138"/>
      <c r="U287" s="138"/>
      <c r="V287" s="138"/>
    </row>
    <row r="288" spans="1:24" hidden="1" x14ac:dyDescent="0.25">
      <c r="B288" s="587" t="s">
        <v>573</v>
      </c>
      <c r="C288" s="587"/>
      <c r="D288" s="587"/>
      <c r="E288" s="587"/>
      <c r="F288" s="77"/>
      <c r="G288" s="77"/>
      <c r="H288" s="77"/>
      <c r="I288" s="77"/>
      <c r="J288" s="77"/>
      <c r="K288" s="77"/>
      <c r="L288" s="77"/>
      <c r="M288" s="108"/>
      <c r="N288" s="109"/>
      <c r="O288" s="109"/>
      <c r="P288" s="109"/>
      <c r="Q288" s="109"/>
      <c r="R288" s="77"/>
      <c r="S288" s="77"/>
      <c r="T288" s="138"/>
      <c r="U288" s="138"/>
      <c r="V288" s="138"/>
    </row>
    <row r="289" spans="1:22" ht="53.25" hidden="1" customHeight="1" x14ac:dyDescent="0.25">
      <c r="A289" s="583" t="s">
        <v>572</v>
      </c>
      <c r="B289" s="583"/>
      <c r="C289" s="583"/>
      <c r="D289" s="583"/>
      <c r="E289" s="583"/>
      <c r="F289" s="583"/>
      <c r="G289" s="583"/>
      <c r="H289" s="583"/>
      <c r="I289" s="583"/>
      <c r="J289" s="583"/>
      <c r="K289" s="583"/>
      <c r="L289" s="583"/>
      <c r="M289" s="583"/>
      <c r="N289" s="583"/>
      <c r="O289" s="583"/>
      <c r="P289" s="583"/>
      <c r="Q289" s="583"/>
      <c r="R289" s="583"/>
      <c r="S289" s="583"/>
      <c r="T289" s="583"/>
      <c r="U289" s="583"/>
      <c r="V289" s="583"/>
    </row>
    <row r="290" spans="1:22" ht="38.25" hidden="1" customHeight="1" x14ac:dyDescent="0.25">
      <c r="B290" s="77"/>
      <c r="C290" s="77"/>
      <c r="D290" s="77"/>
      <c r="E290" s="110" t="s">
        <v>561</v>
      </c>
      <c r="F290" s="85"/>
      <c r="G290" s="85"/>
      <c r="H290" s="85"/>
      <c r="I290" s="85" t="s">
        <v>562</v>
      </c>
      <c r="J290" s="85"/>
      <c r="K290" s="85" t="s">
        <v>563</v>
      </c>
      <c r="L290" s="85"/>
      <c r="M290" s="108"/>
      <c r="N290" s="109"/>
      <c r="O290" s="109"/>
      <c r="P290" s="109"/>
      <c r="Q290" s="109"/>
      <c r="R290" s="77"/>
      <c r="S290" s="77"/>
      <c r="T290" s="138"/>
      <c r="U290" s="138"/>
      <c r="V290" s="138"/>
    </row>
    <row r="291" spans="1:22" ht="15.75" hidden="1" x14ac:dyDescent="0.25">
      <c r="E291" s="110"/>
      <c r="F291" s="85"/>
      <c r="G291" s="85"/>
      <c r="H291" s="85"/>
      <c r="I291" s="85"/>
      <c r="J291" s="85"/>
      <c r="K291" s="85"/>
      <c r="L291" s="85"/>
      <c r="M291" s="108"/>
    </row>
    <row r="292" spans="1:22" ht="45" hidden="1" customHeight="1" x14ac:dyDescent="0.25">
      <c r="E292" s="110" t="s">
        <v>564</v>
      </c>
      <c r="F292" s="85"/>
      <c r="G292" s="85"/>
      <c r="H292" s="85"/>
      <c r="I292" s="85" t="s">
        <v>562</v>
      </c>
      <c r="J292" s="85"/>
      <c r="K292" s="85" t="s">
        <v>565</v>
      </c>
      <c r="L292" s="85"/>
      <c r="M292" s="108"/>
    </row>
    <row r="293" spans="1:22" hidden="1" x14ac:dyDescent="0.25">
      <c r="E293" s="108"/>
      <c r="F293" s="77"/>
      <c r="G293" s="77"/>
      <c r="H293" s="77"/>
      <c r="I293" s="77"/>
      <c r="J293" s="77"/>
      <c r="K293" s="77"/>
      <c r="L293" s="77"/>
      <c r="M293" s="108"/>
    </row>
    <row r="294" spans="1:22" hidden="1" x14ac:dyDescent="0.25">
      <c r="E294" s="108"/>
      <c r="F294" s="77"/>
      <c r="G294" s="77"/>
      <c r="H294" s="77"/>
      <c r="I294" s="77"/>
      <c r="J294" s="77"/>
      <c r="K294" s="77"/>
      <c r="L294" s="77"/>
      <c r="M294" s="108"/>
    </row>
    <row r="295" spans="1:22" hidden="1" x14ac:dyDescent="0.25"/>
  </sheetData>
  <mergeCells count="325">
    <mergeCell ref="X282:X283"/>
    <mergeCell ref="B288:E288"/>
    <mergeCell ref="A289:V289"/>
    <mergeCell ref="R282:R283"/>
    <mergeCell ref="S282:S283"/>
    <mergeCell ref="T282:T283"/>
    <mergeCell ref="U282:U283"/>
    <mergeCell ref="V282:V283"/>
    <mergeCell ref="W282:W283"/>
    <mergeCell ref="A282:A283"/>
    <mergeCell ref="B282:B283"/>
    <mergeCell ref="E282:E283"/>
    <mergeCell ref="F282:F283"/>
    <mergeCell ref="J282:J283"/>
    <mergeCell ref="K282:K283"/>
    <mergeCell ref="L282:L283"/>
    <mergeCell ref="Q282:Q283"/>
    <mergeCell ref="L279:L280"/>
    <mergeCell ref="W249:W250"/>
    <mergeCell ref="X249:X250"/>
    <mergeCell ref="A255:V255"/>
    <mergeCell ref="A265:V265"/>
    <mergeCell ref="A279:A280"/>
    <mergeCell ref="B279:B280"/>
    <mergeCell ref="E279:E280"/>
    <mergeCell ref="F279:F280"/>
    <mergeCell ref="J279:J280"/>
    <mergeCell ref="K279:K280"/>
    <mergeCell ref="L249:L250"/>
    <mergeCell ref="R249:R250"/>
    <mergeCell ref="S249:S250"/>
    <mergeCell ref="T249:T250"/>
    <mergeCell ref="U249:U250"/>
    <mergeCell ref="V249:V250"/>
    <mergeCell ref="W279:W280"/>
    <mergeCell ref="X279:X280"/>
    <mergeCell ref="R279:R280"/>
    <mergeCell ref="S279:S280"/>
    <mergeCell ref="T279:T280"/>
    <mergeCell ref="U279:U280"/>
    <mergeCell ref="V279:V280"/>
    <mergeCell ref="A246:V246"/>
    <mergeCell ref="A249:A250"/>
    <mergeCell ref="B249:B250"/>
    <mergeCell ref="E249:E250"/>
    <mergeCell ref="F249:F250"/>
    <mergeCell ref="J249:J250"/>
    <mergeCell ref="K249:K250"/>
    <mergeCell ref="P231:P232"/>
    <mergeCell ref="Q231:Q232"/>
    <mergeCell ref="R231:R232"/>
    <mergeCell ref="S231:S232"/>
    <mergeCell ref="T231:T232"/>
    <mergeCell ref="U231:U232"/>
    <mergeCell ref="J231:J232"/>
    <mergeCell ref="K231:K232"/>
    <mergeCell ref="L231:L232"/>
    <mergeCell ref="M231:M232"/>
    <mergeCell ref="N231:N232"/>
    <mergeCell ref="O231:O232"/>
    <mergeCell ref="V228:V229"/>
    <mergeCell ref="W228:W229"/>
    <mergeCell ref="X228:X229"/>
    <mergeCell ref="A231:A232"/>
    <mergeCell ref="B231:B232"/>
    <mergeCell ref="E231:E232"/>
    <mergeCell ref="F231:F232"/>
    <mergeCell ref="I231:I232"/>
    <mergeCell ref="N228:N229"/>
    <mergeCell ref="O228:O229"/>
    <mergeCell ref="P228:P229"/>
    <mergeCell ref="Q228:Q229"/>
    <mergeCell ref="R228:R229"/>
    <mergeCell ref="S228:S229"/>
    <mergeCell ref="V231:V232"/>
    <mergeCell ref="W231:W232"/>
    <mergeCell ref="X231:X232"/>
    <mergeCell ref="X220:X221"/>
    <mergeCell ref="A228:A229"/>
    <mergeCell ref="B228:B229"/>
    <mergeCell ref="E228:E229"/>
    <mergeCell ref="F228:F229"/>
    <mergeCell ref="I228:I229"/>
    <mergeCell ref="J228:J229"/>
    <mergeCell ref="K228:K229"/>
    <mergeCell ref="L228:L229"/>
    <mergeCell ref="M228:M229"/>
    <mergeCell ref="R220:R221"/>
    <mergeCell ref="S220:S221"/>
    <mergeCell ref="T220:T221"/>
    <mergeCell ref="U220:U221"/>
    <mergeCell ref="V220:V221"/>
    <mergeCell ref="W220:W221"/>
    <mergeCell ref="L220:L221"/>
    <mergeCell ref="M220:M221"/>
    <mergeCell ref="N220:N221"/>
    <mergeCell ref="O220:O221"/>
    <mergeCell ref="P220:P221"/>
    <mergeCell ref="Q220:Q221"/>
    <mergeCell ref="T228:T229"/>
    <mergeCell ref="U228:U229"/>
    <mergeCell ref="A220:A221"/>
    <mergeCell ref="B220:B221"/>
    <mergeCell ref="E220:E221"/>
    <mergeCell ref="F220:F221"/>
    <mergeCell ref="I220:I221"/>
    <mergeCell ref="J220:J221"/>
    <mergeCell ref="K220:K221"/>
    <mergeCell ref="P212:P213"/>
    <mergeCell ref="Q212:Q213"/>
    <mergeCell ref="J212:J213"/>
    <mergeCell ref="K212:K213"/>
    <mergeCell ref="L212:L213"/>
    <mergeCell ref="M212:M213"/>
    <mergeCell ref="N212:N213"/>
    <mergeCell ref="O212:O213"/>
    <mergeCell ref="W147:W148"/>
    <mergeCell ref="X147:X148"/>
    <mergeCell ref="A207:W207"/>
    <mergeCell ref="A212:A213"/>
    <mergeCell ref="B212:B213"/>
    <mergeCell ref="E212:E213"/>
    <mergeCell ref="F212:F213"/>
    <mergeCell ref="I212:I213"/>
    <mergeCell ref="O147:O148"/>
    <mergeCell ref="P147:P148"/>
    <mergeCell ref="Q147:Q148"/>
    <mergeCell ref="R147:R148"/>
    <mergeCell ref="S147:S148"/>
    <mergeCell ref="T147:T148"/>
    <mergeCell ref="V212:V213"/>
    <mergeCell ref="W212:W213"/>
    <mergeCell ref="X212:X213"/>
    <mergeCell ref="R212:R213"/>
    <mergeCell ref="S212:S213"/>
    <mergeCell ref="T212:T213"/>
    <mergeCell ref="U212:U213"/>
    <mergeCell ref="X138:X139"/>
    <mergeCell ref="A147:A148"/>
    <mergeCell ref="B147:B148"/>
    <mergeCell ref="E147:E148"/>
    <mergeCell ref="F147:F148"/>
    <mergeCell ref="J147:J148"/>
    <mergeCell ref="K147:K148"/>
    <mergeCell ref="L147:L148"/>
    <mergeCell ref="M147:M148"/>
    <mergeCell ref="N147:N148"/>
    <mergeCell ref="R138:R139"/>
    <mergeCell ref="S138:S139"/>
    <mergeCell ref="T138:T139"/>
    <mergeCell ref="U138:U139"/>
    <mergeCell ref="V138:V139"/>
    <mergeCell ref="W138:W139"/>
    <mergeCell ref="L138:L139"/>
    <mergeCell ref="M138:M139"/>
    <mergeCell ref="N138:N139"/>
    <mergeCell ref="O138:O139"/>
    <mergeCell ref="P138:P139"/>
    <mergeCell ref="Q138:Q139"/>
    <mergeCell ref="U147:U148"/>
    <mergeCell ref="V147:V148"/>
    <mergeCell ref="W67:W68"/>
    <mergeCell ref="A124:W124"/>
    <mergeCell ref="A138:A139"/>
    <mergeCell ref="B138:B139"/>
    <mergeCell ref="E138:E139"/>
    <mergeCell ref="F138:F139"/>
    <mergeCell ref="J138:J139"/>
    <mergeCell ref="K138:K139"/>
    <mergeCell ref="O67:O68"/>
    <mergeCell ref="P67:P68"/>
    <mergeCell ref="Q67:Q68"/>
    <mergeCell ref="R67:R68"/>
    <mergeCell ref="S67:S68"/>
    <mergeCell ref="T67:T68"/>
    <mergeCell ref="W52:W53"/>
    <mergeCell ref="A64:K66"/>
    <mergeCell ref="A67:A68"/>
    <mergeCell ref="E67:E68"/>
    <mergeCell ref="F67:F68"/>
    <mergeCell ref="J67:J68"/>
    <mergeCell ref="K67:K68"/>
    <mergeCell ref="L67:L68"/>
    <mergeCell ref="M67:M68"/>
    <mergeCell ref="N67:N68"/>
    <mergeCell ref="Q52:Q53"/>
    <mergeCell ref="R52:R53"/>
    <mergeCell ref="S52:S53"/>
    <mergeCell ref="T52:T53"/>
    <mergeCell ref="U52:U53"/>
    <mergeCell ref="V52:V53"/>
    <mergeCell ref="K52:K53"/>
    <mergeCell ref="L52:L53"/>
    <mergeCell ref="M52:M53"/>
    <mergeCell ref="N52:N53"/>
    <mergeCell ref="O52:O53"/>
    <mergeCell ref="P52:P53"/>
    <mergeCell ref="U67:U68"/>
    <mergeCell ref="V67:V68"/>
    <mergeCell ref="B50:E50"/>
    <mergeCell ref="A51:A63"/>
    <mergeCell ref="B52:B53"/>
    <mergeCell ref="E52:E53"/>
    <mergeCell ref="F52:F53"/>
    <mergeCell ref="J52:J53"/>
    <mergeCell ref="S39:S40"/>
    <mergeCell ref="T39:T40"/>
    <mergeCell ref="U39:U40"/>
    <mergeCell ref="V39:V40"/>
    <mergeCell ref="W39:W40"/>
    <mergeCell ref="A47:K49"/>
    <mergeCell ref="M39:M40"/>
    <mergeCell ref="N39:N40"/>
    <mergeCell ref="O39:O40"/>
    <mergeCell ref="P39:P40"/>
    <mergeCell ref="Q39:Q40"/>
    <mergeCell ref="R39:R40"/>
    <mergeCell ref="B39:B40"/>
    <mergeCell ref="E39:E40"/>
    <mergeCell ref="F39:F40"/>
    <mergeCell ref="J39:J40"/>
    <mergeCell ref="K39:K40"/>
    <mergeCell ref="L39:L40"/>
    <mergeCell ref="T30:T31"/>
    <mergeCell ref="U30:U31"/>
    <mergeCell ref="V30:V31"/>
    <mergeCell ref="W30:W31"/>
    <mergeCell ref="L30:L31"/>
    <mergeCell ref="M30:M31"/>
    <mergeCell ref="N30:N31"/>
    <mergeCell ref="O30:O31"/>
    <mergeCell ref="P30:P31"/>
    <mergeCell ref="Q30:Q31"/>
    <mergeCell ref="E25:F25"/>
    <mergeCell ref="C26:V26"/>
    <mergeCell ref="A30:A46"/>
    <mergeCell ref="B30:B31"/>
    <mergeCell ref="E30:E31"/>
    <mergeCell ref="F30:F31"/>
    <mergeCell ref="J30:J31"/>
    <mergeCell ref="K30:K31"/>
    <mergeCell ref="N21:N22"/>
    <mergeCell ref="O21:O22"/>
    <mergeCell ref="P21:P22"/>
    <mergeCell ref="Q21:Q22"/>
    <mergeCell ref="R21:R22"/>
    <mergeCell ref="V21:V22"/>
    <mergeCell ref="G21:G22"/>
    <mergeCell ref="H21:H22"/>
    <mergeCell ref="I21:I22"/>
    <mergeCell ref="J21:J22"/>
    <mergeCell ref="L21:L22"/>
    <mergeCell ref="M21:M22"/>
    <mergeCell ref="A21:A22"/>
    <mergeCell ref="B21:B22"/>
    <mergeCell ref="R30:R31"/>
    <mergeCell ref="S30:S31"/>
    <mergeCell ref="C21:C22"/>
    <mergeCell ref="D21:D22"/>
    <mergeCell ref="E21:E22"/>
    <mergeCell ref="F21:F22"/>
    <mergeCell ref="Q16:Q17"/>
    <mergeCell ref="R16:R17"/>
    <mergeCell ref="V16:V17"/>
    <mergeCell ref="W16:W17"/>
    <mergeCell ref="X16:X17"/>
    <mergeCell ref="A20:W20"/>
    <mergeCell ref="J16:J17"/>
    <mergeCell ref="L16:L17"/>
    <mergeCell ref="M16:M17"/>
    <mergeCell ref="N16:N17"/>
    <mergeCell ref="O16:O17"/>
    <mergeCell ref="P16:P17"/>
    <mergeCell ref="W21:W22"/>
    <mergeCell ref="X21:X22"/>
    <mergeCell ref="X11:X12"/>
    <mergeCell ref="A16:A17"/>
    <mergeCell ref="B16:B17"/>
    <mergeCell ref="E16:E17"/>
    <mergeCell ref="F16:F17"/>
    <mergeCell ref="G16:G17"/>
    <mergeCell ref="H16:H17"/>
    <mergeCell ref="I16:I17"/>
    <mergeCell ref="M11:M12"/>
    <mergeCell ref="N11:N12"/>
    <mergeCell ref="O11:O12"/>
    <mergeCell ref="P11:P12"/>
    <mergeCell ref="Q11:Q12"/>
    <mergeCell ref="R11:R12"/>
    <mergeCell ref="A10:W10"/>
    <mergeCell ref="A11:A12"/>
    <mergeCell ref="B11:B12"/>
    <mergeCell ref="E11:E12"/>
    <mergeCell ref="F11:F12"/>
    <mergeCell ref="G11:G12"/>
    <mergeCell ref="H11:H12"/>
    <mergeCell ref="I11:I12"/>
    <mergeCell ref="J11:J12"/>
    <mergeCell ref="L11:L12"/>
    <mergeCell ref="V11:V12"/>
    <mergeCell ref="W11:W12"/>
    <mergeCell ref="Y21:Y22"/>
    <mergeCell ref="Z21:Z22"/>
    <mergeCell ref="R1:V1"/>
    <mergeCell ref="A2:V2"/>
    <mergeCell ref="S3:V3"/>
    <mergeCell ref="C4:V4"/>
    <mergeCell ref="A6:A7"/>
    <mergeCell ref="B6:B7"/>
    <mergeCell ref="E6:E7"/>
    <mergeCell ref="F6:F7"/>
    <mergeCell ref="G6:G7"/>
    <mergeCell ref="H6:H7"/>
    <mergeCell ref="P6:P7"/>
    <mergeCell ref="Q6:Q7"/>
    <mergeCell ref="R6:R7"/>
    <mergeCell ref="V6:V7"/>
    <mergeCell ref="W6:W7"/>
    <mergeCell ref="X6:X7"/>
    <mergeCell ref="I6:I7"/>
    <mergeCell ref="J6:J7"/>
    <mergeCell ref="L6:L7"/>
    <mergeCell ref="M6:M7"/>
    <mergeCell ref="N6:N7"/>
    <mergeCell ref="O6:O7"/>
  </mergeCells>
  <pageMargins left="0.70866141732283472" right="0.70866141732283472" top="0.74803149606299213" bottom="0.74803149606299213" header="0.31496062992125984" footer="0.31496062992125984"/>
  <pageSetup paperSize="9" scale="57" fitToHeight="0" orientation="landscape" r:id="rId1"/>
  <headerFooter>
    <oddFooter>&amp;R&amp;P</oddFooter>
  </headerFooter>
  <rowBreaks count="7" manualBreakCount="7">
    <brk id="49" max="21" man="1"/>
    <brk id="79" max="21" man="1"/>
    <brk id="118" max="21" man="1"/>
    <brk id="154" max="21" man="1"/>
    <brk id="200" max="21" man="1"/>
    <brk id="238" max="21" man="1"/>
    <brk id="264"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95"/>
  <sheetViews>
    <sheetView tabSelected="1" view="pageBreakPreview" topLeftCell="C3" zoomScale="90" zoomScaleSheetLayoutView="90" workbookViewId="0">
      <selection activeCell="C26" sqref="C26:J26"/>
    </sheetView>
  </sheetViews>
  <sheetFormatPr defaultRowHeight="15" outlineLevelRow="1" x14ac:dyDescent="0.25"/>
  <cols>
    <col min="1" max="1" width="8.42578125" style="47" hidden="1" customWidth="1"/>
    <col min="2" max="2" width="8.7109375" hidden="1" customWidth="1"/>
    <col min="3" max="3" width="7.28515625" customWidth="1"/>
    <col min="4" max="4" width="8.7109375" customWidth="1"/>
    <col min="5" max="5" width="37.5703125" style="45" customWidth="1"/>
    <col min="6" max="6" width="11.28515625" customWidth="1"/>
    <col min="7" max="7" width="12.28515625" hidden="1" customWidth="1"/>
    <col min="8" max="8" width="10.28515625" style="140" customWidth="1"/>
    <col min="9" max="9" width="9.140625" style="140"/>
    <col min="10" max="10" width="14.7109375" style="140" customWidth="1"/>
    <col min="11" max="11" width="14" customWidth="1"/>
  </cols>
  <sheetData>
    <row r="1" spans="1:12" ht="93.75" hidden="1" customHeight="1" x14ac:dyDescent="0.25">
      <c r="A1" s="107"/>
      <c r="B1" s="77"/>
      <c r="C1" s="77"/>
      <c r="D1" s="77"/>
      <c r="E1" s="108"/>
      <c r="F1" s="77"/>
      <c r="G1" s="77"/>
      <c r="H1" s="584"/>
      <c r="I1" s="584"/>
      <c r="J1" s="584"/>
    </row>
    <row r="2" spans="1:12" ht="78.75" hidden="1" customHeight="1" x14ac:dyDescent="0.25">
      <c r="A2" s="585" t="s">
        <v>560</v>
      </c>
      <c r="B2" s="586"/>
      <c r="C2" s="586"/>
      <c r="D2" s="586"/>
      <c r="E2" s="586"/>
      <c r="F2" s="586"/>
      <c r="G2" s="586"/>
      <c r="H2" s="586"/>
      <c r="I2" s="586"/>
      <c r="J2" s="586"/>
    </row>
    <row r="3" spans="1:12" ht="78.75" customHeight="1" x14ac:dyDescent="0.25">
      <c r="A3" s="462"/>
      <c r="B3" s="463"/>
      <c r="C3" s="463"/>
      <c r="D3" s="463"/>
      <c r="E3" s="463"/>
      <c r="F3" s="576"/>
      <c r="G3" s="576"/>
      <c r="H3" s="584" t="s">
        <v>706</v>
      </c>
      <c r="I3" s="584"/>
      <c r="J3" s="584"/>
      <c r="K3" s="577"/>
    </row>
    <row r="4" spans="1:12" ht="95.25" customHeight="1" x14ac:dyDescent="0.3">
      <c r="A4" s="462"/>
      <c r="B4" s="463"/>
      <c r="C4" s="756" t="s">
        <v>728</v>
      </c>
      <c r="D4" s="757"/>
      <c r="E4" s="757"/>
      <c r="F4" s="757"/>
      <c r="G4" s="757"/>
      <c r="H4" s="757"/>
      <c r="I4" s="757"/>
      <c r="J4" s="757"/>
    </row>
    <row r="5" spans="1:12" ht="37.5" customHeight="1" x14ac:dyDescent="0.25">
      <c r="A5" s="107"/>
      <c r="B5" s="77"/>
      <c r="C5" s="77"/>
      <c r="D5" s="77"/>
      <c r="E5" s="108"/>
      <c r="F5" s="77"/>
      <c r="G5" s="77"/>
      <c r="H5" s="138"/>
      <c r="I5" s="138"/>
      <c r="J5" s="138"/>
      <c r="K5" s="575"/>
    </row>
    <row r="6" spans="1:12" s="82" customFormat="1" ht="39.75" hidden="1" customHeight="1" x14ac:dyDescent="0.2">
      <c r="A6" s="615" t="s">
        <v>0</v>
      </c>
      <c r="B6" s="602" t="s">
        <v>1</v>
      </c>
      <c r="C6" s="449"/>
      <c r="D6" s="449"/>
      <c r="E6" s="600" t="s">
        <v>2</v>
      </c>
      <c r="F6" s="600" t="s">
        <v>590</v>
      </c>
      <c r="G6" s="600" t="s">
        <v>4</v>
      </c>
      <c r="H6" s="455" t="s">
        <v>16</v>
      </c>
      <c r="I6" s="455" t="s">
        <v>20</v>
      </c>
      <c r="J6" s="613" t="s">
        <v>15</v>
      </c>
      <c r="K6" s="765"/>
      <c r="L6" s="602"/>
    </row>
    <row r="7" spans="1:12" s="82" customFormat="1" ht="13.7" hidden="1" customHeight="1" x14ac:dyDescent="0.2">
      <c r="A7" s="616"/>
      <c r="B7" s="617"/>
      <c r="C7" s="450"/>
      <c r="D7" s="450"/>
      <c r="E7" s="600"/>
      <c r="F7" s="618"/>
      <c r="G7" s="618"/>
      <c r="H7" s="141">
        <f>'условия, ФОТ'!$C$8</f>
        <v>0.1</v>
      </c>
      <c r="I7" s="141">
        <v>0.2</v>
      </c>
      <c r="J7" s="614"/>
      <c r="K7" s="603"/>
      <c r="L7" s="603"/>
    </row>
    <row r="8" spans="1:12" ht="39" hidden="1" customHeight="1" x14ac:dyDescent="0.25">
      <c r="A8" s="446" t="s">
        <v>426</v>
      </c>
      <c r="B8" s="112" t="s">
        <v>343</v>
      </c>
      <c r="C8" s="112"/>
      <c r="D8" s="112"/>
      <c r="E8" s="444" t="s">
        <v>361</v>
      </c>
      <c r="F8" s="448">
        <v>11280</v>
      </c>
      <c r="G8" s="454" t="s">
        <v>162</v>
      </c>
      <c r="H8" s="442" t="e">
        <f>ROUND(J8/1.2,2)</f>
        <v>#REF!</v>
      </c>
      <c r="I8" s="442" t="e">
        <f>ROUND(H8*$I$7,2)</f>
        <v>#REF!</v>
      </c>
      <c r="J8" s="442" t="e">
        <f>ROUND((#REF!+#REF!)*(1+$H$7)*1.2,0)</f>
        <v>#REF!</v>
      </c>
      <c r="K8" s="442"/>
      <c r="L8" s="78"/>
    </row>
    <row r="9" spans="1:12" ht="39" hidden="1" customHeight="1" x14ac:dyDescent="0.25">
      <c r="A9" s="446" t="s">
        <v>426</v>
      </c>
      <c r="B9" s="112" t="s">
        <v>343</v>
      </c>
      <c r="C9" s="112"/>
      <c r="D9" s="112"/>
      <c r="E9" s="444" t="s">
        <v>361</v>
      </c>
      <c r="F9" s="448">
        <v>12634</v>
      </c>
      <c r="G9" s="454" t="s">
        <v>162</v>
      </c>
      <c r="H9" s="442" t="e">
        <f>ROUND(J9/1.2,2)</f>
        <v>#REF!</v>
      </c>
      <c r="I9" s="442" t="e">
        <f>ROUND(H9*$I$7,2)</f>
        <v>#REF!</v>
      </c>
      <c r="J9" s="442" t="e">
        <f>ROUND((#REF!+#REF!)*(1+$H$7)*1.2,0)</f>
        <v>#REF!</v>
      </c>
      <c r="K9" s="442"/>
      <c r="L9" s="78"/>
    </row>
    <row r="10" spans="1:12" ht="31.7" hidden="1" customHeight="1" x14ac:dyDescent="0.25">
      <c r="A10" s="610"/>
      <c r="B10" s="610"/>
      <c r="C10" s="610"/>
      <c r="D10" s="610"/>
      <c r="E10" s="610"/>
      <c r="F10" s="610"/>
      <c r="G10" s="610"/>
      <c r="H10" s="610"/>
      <c r="I10" s="610"/>
      <c r="J10" s="610"/>
      <c r="K10" s="610"/>
      <c r="L10" s="77"/>
    </row>
    <row r="11" spans="1:12" s="82" customFormat="1" ht="39.75" hidden="1" customHeight="1" x14ac:dyDescent="0.2">
      <c r="A11" s="615" t="s">
        <v>0</v>
      </c>
      <c r="B11" s="602" t="s">
        <v>1</v>
      </c>
      <c r="C11" s="449"/>
      <c r="D11" s="449"/>
      <c r="E11" s="600" t="s">
        <v>2</v>
      </c>
      <c r="F11" s="600" t="s">
        <v>590</v>
      </c>
      <c r="G11" s="600" t="s">
        <v>4</v>
      </c>
      <c r="H11" s="455" t="s">
        <v>16</v>
      </c>
      <c r="I11" s="455" t="s">
        <v>20</v>
      </c>
      <c r="J11" s="613" t="s">
        <v>15</v>
      </c>
      <c r="K11" s="602"/>
      <c r="L11" s="602"/>
    </row>
    <row r="12" spans="1:12" s="82" customFormat="1" ht="13.7" hidden="1" customHeight="1" x14ac:dyDescent="0.2">
      <c r="A12" s="616"/>
      <c r="B12" s="617"/>
      <c r="C12" s="450"/>
      <c r="D12" s="450"/>
      <c r="E12" s="600"/>
      <c r="F12" s="618"/>
      <c r="G12" s="618"/>
      <c r="H12" s="141">
        <f>'условия, ФОТ'!$C$8</f>
        <v>0.1</v>
      </c>
      <c r="I12" s="141">
        <v>0.2</v>
      </c>
      <c r="J12" s="614"/>
      <c r="K12" s="603"/>
      <c r="L12" s="603"/>
    </row>
    <row r="13" spans="1:12" ht="39" hidden="1" customHeight="1" x14ac:dyDescent="0.25">
      <c r="A13" s="446" t="s">
        <v>426</v>
      </c>
      <c r="B13" s="112" t="s">
        <v>343</v>
      </c>
      <c r="C13" s="112"/>
      <c r="D13" s="112"/>
      <c r="E13" s="444" t="s">
        <v>361</v>
      </c>
      <c r="F13" s="448">
        <v>11280</v>
      </c>
      <c r="G13" s="454" t="s">
        <v>162</v>
      </c>
      <c r="H13" s="442" t="e">
        <f>ROUND(J13/1.2,2)</f>
        <v>#REF!</v>
      </c>
      <c r="I13" s="442" t="e">
        <f>ROUND(H13*$I$7,2)</f>
        <v>#REF!</v>
      </c>
      <c r="J13" s="442" t="e">
        <f>ROUND((#REF!+#REF!)*(1+$H$7)*1.2,0)</f>
        <v>#REF!</v>
      </c>
      <c r="K13" s="442"/>
      <c r="L13" s="78"/>
    </row>
    <row r="14" spans="1:12" ht="39" hidden="1" customHeight="1" x14ac:dyDescent="0.25">
      <c r="A14" s="446" t="s">
        <v>426</v>
      </c>
      <c r="B14" s="112" t="s">
        <v>343</v>
      </c>
      <c r="C14" s="112"/>
      <c r="D14" s="112"/>
      <c r="E14" s="444" t="s">
        <v>361</v>
      </c>
      <c r="F14" s="448">
        <v>12634</v>
      </c>
      <c r="G14" s="454" t="s">
        <v>162</v>
      </c>
      <c r="H14" s="442" t="e">
        <f>ROUND(J14/1.2,2)</f>
        <v>#REF!</v>
      </c>
      <c r="I14" s="442" t="e">
        <f>ROUND(H14*$I$7,2)</f>
        <v>#REF!</v>
      </c>
      <c r="J14" s="442" t="e">
        <f>ROUND((#REF!+#REF!)*(1+$H$7)*1.2,0)</f>
        <v>#REF!</v>
      </c>
      <c r="K14" s="442"/>
      <c r="L14" s="78"/>
    </row>
    <row r="15" spans="1:12" ht="37.5" hidden="1" customHeight="1" x14ac:dyDescent="0.25">
      <c r="A15" s="446" t="s">
        <v>427</v>
      </c>
      <c r="B15" s="453" t="s">
        <v>171</v>
      </c>
      <c r="C15" s="453"/>
      <c r="D15" s="453"/>
      <c r="E15" s="444"/>
      <c r="F15" s="448"/>
      <c r="G15" s="454"/>
      <c r="H15" s="442"/>
      <c r="I15" s="442"/>
      <c r="J15" s="442"/>
      <c r="K15" s="442">
        <v>423</v>
      </c>
      <c r="L15" s="78">
        <f>J15/K15*100-100</f>
        <v>-100</v>
      </c>
    </row>
    <row r="16" spans="1:12" s="82" customFormat="1" ht="39.75" hidden="1" customHeight="1" x14ac:dyDescent="0.2">
      <c r="A16" s="615" t="s">
        <v>0</v>
      </c>
      <c r="B16" s="602" t="s">
        <v>1</v>
      </c>
      <c r="C16" s="449"/>
      <c r="D16" s="449"/>
      <c r="E16" s="600" t="s">
        <v>2</v>
      </c>
      <c r="F16" s="600" t="s">
        <v>590</v>
      </c>
      <c r="G16" s="600" t="s">
        <v>4</v>
      </c>
      <c r="H16" s="455" t="s">
        <v>16</v>
      </c>
      <c r="I16" s="455" t="s">
        <v>20</v>
      </c>
      <c r="J16" s="613" t="s">
        <v>15</v>
      </c>
      <c r="K16" s="602"/>
      <c r="L16" s="602"/>
    </row>
    <row r="17" spans="1:12" s="82" customFormat="1" ht="13.7" hidden="1" customHeight="1" x14ac:dyDescent="0.2">
      <c r="A17" s="616"/>
      <c r="B17" s="617"/>
      <c r="C17" s="450"/>
      <c r="D17" s="450"/>
      <c r="E17" s="600"/>
      <c r="F17" s="618"/>
      <c r="G17" s="618"/>
      <c r="H17" s="141">
        <f>'условия, ФОТ'!$C$8</f>
        <v>0.1</v>
      </c>
      <c r="I17" s="141">
        <v>0.2</v>
      </c>
      <c r="J17" s="614"/>
      <c r="K17" s="603"/>
      <c r="L17" s="603"/>
    </row>
    <row r="18" spans="1:12" ht="39" hidden="1" customHeight="1" x14ac:dyDescent="0.25">
      <c r="A18" s="446" t="s">
        <v>426</v>
      </c>
      <c r="B18" s="112" t="s">
        <v>343</v>
      </c>
      <c r="C18" s="112"/>
      <c r="D18" s="112"/>
      <c r="E18" s="444" t="s">
        <v>361</v>
      </c>
      <c r="F18" s="448">
        <v>11280</v>
      </c>
      <c r="G18" s="454" t="s">
        <v>162</v>
      </c>
      <c r="H18" s="442" t="e">
        <f>ROUND(J18/1.2,2)</f>
        <v>#REF!</v>
      </c>
      <c r="I18" s="442" t="e">
        <f>ROUND(H18*$I$7,2)</f>
        <v>#REF!</v>
      </c>
      <c r="J18" s="442" t="e">
        <f>ROUND((#REF!+#REF!)*(1+$H$7)*1.2,0)</f>
        <v>#REF!</v>
      </c>
      <c r="K18" s="442"/>
      <c r="L18" s="78"/>
    </row>
    <row r="19" spans="1:12" ht="39" hidden="1" customHeight="1" x14ac:dyDescent="0.25">
      <c r="A19" s="446" t="s">
        <v>426</v>
      </c>
      <c r="B19" s="112" t="s">
        <v>343</v>
      </c>
      <c r="C19" s="112"/>
      <c r="D19" s="112"/>
      <c r="E19" s="444" t="s">
        <v>361</v>
      </c>
      <c r="F19" s="448">
        <v>12634</v>
      </c>
      <c r="G19" s="454" t="s">
        <v>162</v>
      </c>
      <c r="H19" s="442" t="e">
        <f>ROUND(J19/1.2,2)</f>
        <v>#REF!</v>
      </c>
      <c r="I19" s="442" t="e">
        <f>ROUND(H19*$I$7,2)</f>
        <v>#REF!</v>
      </c>
      <c r="J19" s="442" t="e">
        <f>ROUND((#REF!+#REF!)*(1+$H$7)*1.2,0)</f>
        <v>#REF!</v>
      </c>
      <c r="K19" s="442"/>
      <c r="L19" s="78"/>
    </row>
    <row r="20" spans="1:12" ht="31.7" hidden="1" customHeight="1" x14ac:dyDescent="0.25">
      <c r="A20" s="610"/>
      <c r="B20" s="610"/>
      <c r="C20" s="610"/>
      <c r="D20" s="610"/>
      <c r="E20" s="610"/>
      <c r="F20" s="610"/>
      <c r="G20" s="610"/>
      <c r="H20" s="610"/>
      <c r="I20" s="610"/>
      <c r="J20" s="610"/>
      <c r="K20" s="610"/>
      <c r="L20" s="77"/>
    </row>
    <row r="21" spans="1:12" s="82" customFormat="1" ht="45.75" customHeight="1" x14ac:dyDescent="0.2">
      <c r="A21" s="615" t="s">
        <v>0</v>
      </c>
      <c r="B21" s="602" t="s">
        <v>1</v>
      </c>
      <c r="C21" s="602" t="s">
        <v>0</v>
      </c>
      <c r="D21" s="602" t="s">
        <v>710</v>
      </c>
      <c r="E21" s="600" t="s">
        <v>2</v>
      </c>
      <c r="F21" s="600" t="s">
        <v>3</v>
      </c>
      <c r="G21" s="600" t="s">
        <v>4</v>
      </c>
      <c r="H21" s="573" t="s">
        <v>16</v>
      </c>
      <c r="I21" s="573" t="s">
        <v>20</v>
      </c>
      <c r="J21" s="613" t="s">
        <v>708</v>
      </c>
      <c r="K21" s="766"/>
      <c r="L21" s="767"/>
    </row>
    <row r="22" spans="1:12" s="82" customFormat="1" ht="36" customHeight="1" x14ac:dyDescent="0.2">
      <c r="A22" s="616"/>
      <c r="B22" s="617"/>
      <c r="C22" s="603"/>
      <c r="D22" s="758"/>
      <c r="E22" s="600"/>
      <c r="F22" s="618"/>
      <c r="G22" s="618"/>
      <c r="H22" s="562">
        <v>7.6399999999999996E-2</v>
      </c>
      <c r="I22" s="141">
        <v>0.2</v>
      </c>
      <c r="J22" s="614"/>
      <c r="K22" s="767"/>
      <c r="L22" s="767"/>
    </row>
    <row r="23" spans="1:12" ht="62.25" customHeight="1" x14ac:dyDescent="0.25">
      <c r="A23" s="446" t="s">
        <v>426</v>
      </c>
      <c r="B23" s="112" t="s">
        <v>343</v>
      </c>
      <c r="C23" s="555" t="s">
        <v>580</v>
      </c>
      <c r="D23" s="555" t="s">
        <v>27</v>
      </c>
      <c r="E23" s="578" t="s">
        <v>729</v>
      </c>
      <c r="F23" s="557" t="s">
        <v>167</v>
      </c>
      <c r="G23" s="558" t="s">
        <v>161</v>
      </c>
      <c r="H23" s="557">
        <f>'калькуляция новое)'!T23</f>
        <v>1747.5</v>
      </c>
      <c r="I23" s="557">
        <f>'калькуляция новое)'!U23</f>
        <v>349.5</v>
      </c>
      <c r="J23" s="557">
        <f>'калькуляция новое)'!V23</f>
        <v>2097</v>
      </c>
      <c r="K23" s="196"/>
      <c r="L23" s="78"/>
    </row>
    <row r="24" spans="1:12" ht="39" hidden="1" customHeight="1" x14ac:dyDescent="0.25">
      <c r="A24" s="446" t="s">
        <v>426</v>
      </c>
      <c r="B24" s="112" t="s">
        <v>343</v>
      </c>
      <c r="C24" s="112"/>
      <c r="D24" s="112"/>
      <c r="E24" s="444" t="s">
        <v>361</v>
      </c>
      <c r="F24" s="448">
        <v>12634</v>
      </c>
      <c r="G24" s="454" t="s">
        <v>162</v>
      </c>
      <c r="H24" s="442" t="e">
        <f>ROUND(J24/1.2,2)</f>
        <v>#REF!</v>
      </c>
      <c r="I24" s="442" t="e">
        <f>ROUND(H24*$I$7,2)</f>
        <v>#REF!</v>
      </c>
      <c r="J24" s="442" t="e">
        <f>ROUND((#REF!+#REF!)*(1+$H$7)*1.2,0)</f>
        <v>#REF!</v>
      </c>
      <c r="K24" s="574"/>
      <c r="L24" s="78"/>
    </row>
    <row r="25" spans="1:12" ht="26.25" customHeight="1" outlineLevel="1" x14ac:dyDescent="0.25">
      <c r="A25" s="446"/>
      <c r="B25" s="199"/>
      <c r="C25" s="435"/>
      <c r="D25" s="435"/>
      <c r="E25" s="739" t="s">
        <v>573</v>
      </c>
      <c r="F25" s="739"/>
      <c r="G25" s="200"/>
      <c r="H25" s="206"/>
      <c r="I25" s="206"/>
      <c r="J25" s="206"/>
      <c r="K25" s="196"/>
      <c r="L25" s="78"/>
    </row>
    <row r="26" spans="1:12" ht="44.25" customHeight="1" outlineLevel="1" x14ac:dyDescent="0.25">
      <c r="A26" s="187"/>
      <c r="B26" s="190"/>
      <c r="C26" s="740" t="s">
        <v>572</v>
      </c>
      <c r="D26" s="740"/>
      <c r="E26" s="740"/>
      <c r="F26" s="740"/>
      <c r="G26" s="740"/>
      <c r="H26" s="740"/>
      <c r="I26" s="740"/>
      <c r="J26" s="740"/>
      <c r="K26" s="196"/>
      <c r="L26" s="78"/>
    </row>
    <row r="27" spans="1:12" ht="68.25" customHeight="1" outlineLevel="1" x14ac:dyDescent="0.25">
      <c r="A27" s="187"/>
      <c r="B27" s="190"/>
      <c r="C27" s="437" t="s">
        <v>726</v>
      </c>
      <c r="D27" s="190"/>
      <c r="E27" s="437"/>
      <c r="F27" s="563"/>
      <c r="G27" s="564"/>
      <c r="H27" s="565"/>
      <c r="I27" s="768" t="s">
        <v>727</v>
      </c>
      <c r="J27" s="768"/>
      <c r="K27" s="196"/>
      <c r="L27" s="78"/>
    </row>
    <row r="28" spans="1:12" ht="43.5" customHeight="1" outlineLevel="1" x14ac:dyDescent="0.25">
      <c r="A28" s="187"/>
      <c r="B28" s="190"/>
      <c r="C28" s="190"/>
      <c r="D28" s="190"/>
      <c r="E28" s="220"/>
      <c r="F28" s="191"/>
      <c r="G28" s="192"/>
      <c r="H28" s="196"/>
      <c r="I28" s="193"/>
      <c r="J28" s="193"/>
      <c r="K28" s="196"/>
      <c r="L28" s="78"/>
    </row>
    <row r="29" spans="1:12" ht="39.75" customHeight="1" x14ac:dyDescent="0.25">
      <c r="A29" s="187" t="s">
        <v>428</v>
      </c>
      <c r="B29" s="436"/>
      <c r="C29" s="769" t="s">
        <v>564</v>
      </c>
      <c r="D29" s="769"/>
      <c r="E29" s="769"/>
      <c r="F29" s="563"/>
      <c r="G29" s="566"/>
      <c r="H29" s="565"/>
      <c r="I29" s="768" t="s">
        <v>565</v>
      </c>
      <c r="J29" s="768"/>
      <c r="K29" s="196"/>
      <c r="L29" s="78"/>
    </row>
    <row r="30" spans="1:12" ht="23.25" hidden="1" customHeight="1" x14ac:dyDescent="0.25">
      <c r="A30" s="590" t="s">
        <v>351</v>
      </c>
      <c r="B30" s="760"/>
      <c r="C30" s="465"/>
      <c r="D30" s="465"/>
      <c r="E30" s="761"/>
      <c r="F30" s="612"/>
      <c r="G30" s="451"/>
      <c r="H30" s="595"/>
      <c r="I30" s="595"/>
      <c r="J30" s="595"/>
      <c r="K30" s="763">
        <v>892</v>
      </c>
      <c r="L30" s="78">
        <f t="shared" ref="L30:L171" si="0">J30/K30*100-100</f>
        <v>-100</v>
      </c>
    </row>
    <row r="31" spans="1:12" ht="24" hidden="1" customHeight="1" x14ac:dyDescent="0.25">
      <c r="A31" s="590"/>
      <c r="B31" s="620"/>
      <c r="C31" s="453"/>
      <c r="D31" s="453"/>
      <c r="E31" s="589"/>
      <c r="F31" s="621"/>
      <c r="G31" s="454"/>
      <c r="H31" s="596"/>
      <c r="I31" s="596"/>
      <c r="J31" s="596"/>
      <c r="K31" s="595"/>
      <c r="L31" s="78"/>
    </row>
    <row r="32" spans="1:12" ht="17.25" hidden="1" customHeight="1" outlineLevel="1" x14ac:dyDescent="0.25">
      <c r="A32" s="590"/>
      <c r="B32" s="453"/>
      <c r="C32" s="453"/>
      <c r="D32" s="453"/>
      <c r="E32" s="444"/>
      <c r="F32" s="454"/>
      <c r="G32" s="454"/>
      <c r="H32" s="442"/>
      <c r="I32" s="442"/>
      <c r="J32" s="442"/>
      <c r="K32" s="442"/>
      <c r="L32" s="78"/>
    </row>
    <row r="33" spans="1:12" ht="17.25" hidden="1" customHeight="1" outlineLevel="1" x14ac:dyDescent="0.25">
      <c r="A33" s="590"/>
      <c r="B33" s="453"/>
      <c r="C33" s="453"/>
      <c r="D33" s="453"/>
      <c r="E33" s="444"/>
      <c r="F33" s="454"/>
      <c r="G33" s="454"/>
      <c r="H33" s="442"/>
      <c r="I33" s="442"/>
      <c r="J33" s="442"/>
      <c r="K33" s="442"/>
      <c r="L33" s="78"/>
    </row>
    <row r="34" spans="1:12" ht="35.25" hidden="1" customHeight="1" outlineLevel="1" x14ac:dyDescent="0.25">
      <c r="A34" s="590"/>
      <c r="B34" s="453"/>
      <c r="C34" s="453"/>
      <c r="D34" s="453"/>
      <c r="E34" s="444"/>
      <c r="F34" s="454"/>
      <c r="G34" s="454"/>
      <c r="H34" s="442"/>
      <c r="I34" s="442"/>
      <c r="J34" s="442"/>
      <c r="K34" s="442"/>
      <c r="L34" s="78"/>
    </row>
    <row r="35" spans="1:12" ht="24" hidden="1" customHeight="1" outlineLevel="1" x14ac:dyDescent="0.25">
      <c r="A35" s="590"/>
      <c r="B35" s="453"/>
      <c r="C35" s="453"/>
      <c r="D35" s="453"/>
      <c r="E35" s="444"/>
      <c r="F35" s="454"/>
      <c r="G35" s="454"/>
      <c r="H35" s="442"/>
      <c r="I35" s="442"/>
      <c r="J35" s="442"/>
      <c r="K35" s="442"/>
      <c r="L35" s="78"/>
    </row>
    <row r="36" spans="1:12" ht="24" hidden="1" customHeight="1" outlineLevel="1" x14ac:dyDescent="0.25">
      <c r="A36" s="590"/>
      <c r="B36" s="453"/>
      <c r="C36" s="453"/>
      <c r="D36" s="453"/>
      <c r="E36" s="444"/>
      <c r="F36" s="454"/>
      <c r="G36" s="454"/>
      <c r="H36" s="442"/>
      <c r="I36" s="442"/>
      <c r="J36" s="442"/>
      <c r="K36" s="442"/>
      <c r="L36" s="78"/>
    </row>
    <row r="37" spans="1:12" ht="20.25" hidden="1" customHeight="1" outlineLevel="1" x14ac:dyDescent="0.25">
      <c r="A37" s="590"/>
      <c r="B37" s="453"/>
      <c r="C37" s="453"/>
      <c r="D37" s="453"/>
      <c r="E37" s="444"/>
      <c r="F37" s="454"/>
      <c r="G37" s="454"/>
      <c r="H37" s="442"/>
      <c r="I37" s="442"/>
      <c r="J37" s="442"/>
      <c r="K37" s="442"/>
      <c r="L37" s="78"/>
    </row>
    <row r="38" spans="1:12" ht="16.5" hidden="1" customHeight="1" outlineLevel="1" x14ac:dyDescent="0.25">
      <c r="A38" s="590"/>
      <c r="B38" s="453"/>
      <c r="C38" s="453"/>
      <c r="D38" s="453"/>
      <c r="E38" s="444"/>
      <c r="F38" s="454"/>
      <c r="G38" s="454"/>
      <c r="H38" s="442"/>
      <c r="I38" s="442"/>
      <c r="J38" s="442"/>
      <c r="K38" s="442"/>
      <c r="L38" s="78"/>
    </row>
    <row r="39" spans="1:12" ht="18" hidden="1" customHeight="1" x14ac:dyDescent="0.25">
      <c r="A39" s="590"/>
      <c r="B39" s="598" t="s">
        <v>344</v>
      </c>
      <c r="C39" s="460"/>
      <c r="D39" s="460"/>
      <c r="E39" s="599" t="s">
        <v>345</v>
      </c>
      <c r="F39" s="600" t="s">
        <v>28</v>
      </c>
      <c r="G39" s="454" t="s">
        <v>166</v>
      </c>
      <c r="H39" s="596" t="e">
        <f>ROUND(J39/1.2,2)</f>
        <v>#REF!</v>
      </c>
      <c r="I39" s="596" t="e">
        <f>ROUND(H39*$I$7,2)</f>
        <v>#REF!</v>
      </c>
      <c r="J39" s="596" t="e">
        <f>ROUND((#REF!+#REF!)*(1+$H$7)*1.2,0)</f>
        <v>#REF!</v>
      </c>
      <c r="K39" s="594">
        <v>316</v>
      </c>
      <c r="L39" s="78" t="e">
        <f t="shared" ref="L39" si="1">J39/K39*100-100</f>
        <v>#REF!</v>
      </c>
    </row>
    <row r="40" spans="1:12" ht="27.95" hidden="1" customHeight="1" x14ac:dyDescent="0.25">
      <c r="A40" s="590"/>
      <c r="B40" s="598"/>
      <c r="C40" s="460"/>
      <c r="D40" s="460"/>
      <c r="E40" s="599"/>
      <c r="F40" s="600"/>
      <c r="G40" s="454" t="s">
        <v>162</v>
      </c>
      <c r="H40" s="596" t="e">
        <f t="shared" ref="H40" si="2">ROUND(J40/1.18,2)</f>
        <v>#REF!</v>
      </c>
      <c r="I40" s="596" t="e">
        <f>ROUND(H40*$I$7,2)</f>
        <v>#REF!</v>
      </c>
      <c r="J40" s="596" t="e">
        <f>ROUND((#REF!+#REF!)*(1+$H$7)*1.18,0)</f>
        <v>#REF!</v>
      </c>
      <c r="K40" s="595"/>
      <c r="L40" s="78"/>
    </row>
    <row r="41" spans="1:12" ht="31.7" hidden="1" customHeight="1" outlineLevel="1" x14ac:dyDescent="0.25">
      <c r="A41" s="590"/>
      <c r="B41" s="460"/>
      <c r="C41" s="460"/>
      <c r="D41" s="460"/>
      <c r="E41" s="461"/>
      <c r="F41" s="448"/>
      <c r="G41" s="454"/>
      <c r="H41" s="442"/>
      <c r="I41" s="442"/>
      <c r="J41" s="442"/>
      <c r="K41" s="442"/>
      <c r="L41" s="78"/>
    </row>
    <row r="42" spans="1:12" ht="35.25" hidden="1" customHeight="1" x14ac:dyDescent="0.25">
      <c r="A42" s="590"/>
      <c r="B42" s="453" t="s">
        <v>171</v>
      </c>
      <c r="C42" s="453"/>
      <c r="D42" s="453"/>
      <c r="E42" s="113" t="s">
        <v>353</v>
      </c>
      <c r="F42" s="448" t="s">
        <v>30</v>
      </c>
      <c r="G42" s="454" t="s">
        <v>162</v>
      </c>
      <c r="H42" s="442" t="e">
        <f>ROUND(J42/1.2,2)</f>
        <v>#REF!</v>
      </c>
      <c r="I42" s="442" t="e">
        <f>ROUND(H42*$I$7,2)</f>
        <v>#REF!</v>
      </c>
      <c r="J42" s="442" t="e">
        <f>ROUND((#REF!+#REF!)*(1+$H$7)*1.2,0)</f>
        <v>#REF!</v>
      </c>
      <c r="K42" s="442">
        <v>423</v>
      </c>
      <c r="L42" s="78" t="e">
        <f t="shared" ref="L42" si="3">J42/K42*100-100</f>
        <v>#REF!</v>
      </c>
    </row>
    <row r="43" spans="1:12" ht="24.75" hidden="1" customHeight="1" outlineLevel="1" x14ac:dyDescent="0.25">
      <c r="A43" s="590"/>
      <c r="B43" s="453"/>
      <c r="C43" s="453"/>
      <c r="D43" s="453"/>
      <c r="E43" s="113"/>
      <c r="F43" s="448"/>
      <c r="G43" s="454"/>
      <c r="H43" s="442"/>
      <c r="I43" s="442"/>
      <c r="J43" s="442"/>
      <c r="K43" s="442"/>
      <c r="L43" s="78"/>
    </row>
    <row r="44" spans="1:12" ht="24.75" hidden="1" customHeight="1" outlineLevel="1" x14ac:dyDescent="0.25">
      <c r="A44" s="590"/>
      <c r="B44" s="453"/>
      <c r="C44" s="453"/>
      <c r="D44" s="453"/>
      <c r="E44" s="113"/>
      <c r="F44" s="448"/>
      <c r="G44" s="454"/>
      <c r="H44" s="442"/>
      <c r="I44" s="442"/>
      <c r="J44" s="442"/>
      <c r="K44" s="442"/>
      <c r="L44" s="78"/>
    </row>
    <row r="45" spans="1:12" ht="24.75" hidden="1" customHeight="1" outlineLevel="1" x14ac:dyDescent="0.25">
      <c r="A45" s="590"/>
      <c r="B45" s="453"/>
      <c r="C45" s="453"/>
      <c r="D45" s="453"/>
      <c r="E45" s="113"/>
      <c r="F45" s="448"/>
      <c r="G45" s="454"/>
      <c r="H45" s="442"/>
      <c r="I45" s="442"/>
      <c r="J45" s="442"/>
      <c r="K45" s="442"/>
      <c r="L45" s="78"/>
    </row>
    <row r="46" spans="1:12" ht="58.7" hidden="1" customHeight="1" x14ac:dyDescent="0.25">
      <c r="A46" s="590"/>
      <c r="B46" s="453" t="s">
        <v>170</v>
      </c>
      <c r="C46" s="453"/>
      <c r="D46" s="453"/>
      <c r="E46" s="461" t="s">
        <v>559</v>
      </c>
      <c r="F46" s="448" t="s">
        <v>26</v>
      </c>
      <c r="G46" s="454" t="s">
        <v>162</v>
      </c>
      <c r="H46" s="442" t="e">
        <f>ROUND(J46/1.2,2)</f>
        <v>#REF!</v>
      </c>
      <c r="I46" s="442" t="e">
        <f>ROUND(H46*$I$7,2)</f>
        <v>#REF!</v>
      </c>
      <c r="J46" s="442" t="e">
        <f>ROUND((#REF!+#REF!)*(1+$H$7)*1.2,0)</f>
        <v>#REF!</v>
      </c>
      <c r="K46" s="442">
        <v>113</v>
      </c>
      <c r="L46" s="78" t="e">
        <f t="shared" ref="L46" si="4">J46/K46*100-100</f>
        <v>#REF!</v>
      </c>
    </row>
    <row r="47" spans="1:12" ht="30.75" hidden="1" customHeight="1" x14ac:dyDescent="0.25">
      <c r="A47" s="588" t="s">
        <v>576</v>
      </c>
      <c r="B47" s="588"/>
      <c r="C47" s="588"/>
      <c r="D47" s="588"/>
      <c r="E47" s="588"/>
      <c r="F47" s="588"/>
      <c r="G47" s="588"/>
      <c r="H47" s="442"/>
      <c r="I47" s="442"/>
      <c r="J47" s="442"/>
      <c r="K47" s="442"/>
      <c r="L47" s="78"/>
    </row>
    <row r="48" spans="1:12" ht="24.75" hidden="1" customHeight="1" x14ac:dyDescent="0.25">
      <c r="A48" s="588"/>
      <c r="B48" s="588"/>
      <c r="C48" s="588"/>
      <c r="D48" s="588"/>
      <c r="E48" s="588"/>
      <c r="F48" s="588"/>
      <c r="G48" s="588"/>
      <c r="H48" s="442"/>
      <c r="I48" s="442"/>
      <c r="J48" s="442"/>
      <c r="K48" s="442"/>
      <c r="L48" s="78"/>
    </row>
    <row r="49" spans="1:12" ht="27" hidden="1" customHeight="1" x14ac:dyDescent="0.25">
      <c r="A49" s="588"/>
      <c r="B49" s="588"/>
      <c r="C49" s="588"/>
      <c r="D49" s="588"/>
      <c r="E49" s="588"/>
      <c r="F49" s="588"/>
      <c r="G49" s="588"/>
      <c r="H49" s="442"/>
      <c r="I49" s="442"/>
      <c r="J49" s="442"/>
      <c r="K49" s="442"/>
      <c r="L49" s="78"/>
    </row>
    <row r="50" spans="1:12" ht="44.25" hidden="1" customHeight="1" x14ac:dyDescent="0.25">
      <c r="A50" s="446" t="s">
        <v>429</v>
      </c>
      <c r="B50" s="589" t="s">
        <v>567</v>
      </c>
      <c r="C50" s="589"/>
      <c r="D50" s="589"/>
      <c r="E50" s="589"/>
      <c r="F50" s="448" t="s">
        <v>30</v>
      </c>
      <c r="G50" s="454"/>
      <c r="H50" s="442"/>
      <c r="I50" s="442"/>
      <c r="J50" s="442"/>
      <c r="K50" s="442"/>
      <c r="L50" s="78"/>
    </row>
    <row r="51" spans="1:12" ht="29.25" hidden="1" customHeight="1" x14ac:dyDescent="0.25">
      <c r="A51" s="590" t="s">
        <v>351</v>
      </c>
      <c r="B51" s="453" t="s">
        <v>355</v>
      </c>
      <c r="C51" s="453"/>
      <c r="D51" s="453"/>
      <c r="E51" s="113" t="s">
        <v>354</v>
      </c>
      <c r="F51" s="448" t="s">
        <v>356</v>
      </c>
      <c r="G51" s="105" t="s">
        <v>161</v>
      </c>
      <c r="H51" s="442" t="e">
        <f>ROUND(J51/1.2,2)</f>
        <v>#REF!</v>
      </c>
      <c r="I51" s="442" t="e">
        <f>ROUND(H51*$I$7,2)</f>
        <v>#REF!</v>
      </c>
      <c r="J51" s="442" t="e">
        <f>ROUND((#REF!+#REF!)*(1+$H$7)*1.2,0)</f>
        <v>#REF!</v>
      </c>
      <c r="K51" s="442">
        <v>183</v>
      </c>
      <c r="L51" s="78" t="e">
        <f t="shared" ref="L51:L52" si="5">J51/K51*100-100</f>
        <v>#REF!</v>
      </c>
    </row>
    <row r="52" spans="1:12" ht="24.75" hidden="1" customHeight="1" x14ac:dyDescent="0.25">
      <c r="A52" s="590"/>
      <c r="B52" s="598" t="s">
        <v>344</v>
      </c>
      <c r="C52" s="460"/>
      <c r="D52" s="460"/>
      <c r="E52" s="599" t="s">
        <v>345</v>
      </c>
      <c r="F52" s="600" t="s">
        <v>28</v>
      </c>
      <c r="G52" s="454" t="s">
        <v>166</v>
      </c>
      <c r="H52" s="596" t="e">
        <f>ROUND(J52/1.2,2)</f>
        <v>#REF!</v>
      </c>
      <c r="I52" s="596" t="e">
        <f>ROUND(H52*$I$7,2)</f>
        <v>#REF!</v>
      </c>
      <c r="J52" s="596" t="e">
        <f>ROUND((#REF!+#REF!)*(1+$H$7)*1.2,0)</f>
        <v>#REF!</v>
      </c>
      <c r="K52" s="594">
        <v>316</v>
      </c>
      <c r="L52" s="78" t="e">
        <f t="shared" si="5"/>
        <v>#REF!</v>
      </c>
    </row>
    <row r="53" spans="1:12" ht="22.7" hidden="1" customHeight="1" x14ac:dyDescent="0.25">
      <c r="A53" s="590"/>
      <c r="B53" s="598"/>
      <c r="C53" s="460"/>
      <c r="D53" s="460"/>
      <c r="E53" s="599"/>
      <c r="F53" s="600"/>
      <c r="G53" s="454" t="s">
        <v>162</v>
      </c>
      <c r="H53" s="596" t="e">
        <f t="shared" ref="H53" si="6">ROUND(J53/1.18,2)</f>
        <v>#REF!</v>
      </c>
      <c r="I53" s="596" t="e">
        <f>ROUND(H53*$I$7,2)</f>
        <v>#REF!</v>
      </c>
      <c r="J53" s="596" t="e">
        <f>ROUND((#REF!+#REF!)*(1+$H$7)*1.18,0)</f>
        <v>#REF!</v>
      </c>
      <c r="K53" s="595"/>
      <c r="L53" s="78"/>
    </row>
    <row r="54" spans="1:12" ht="27" hidden="1" customHeight="1" outlineLevel="1" x14ac:dyDescent="0.25">
      <c r="A54" s="590"/>
      <c r="B54" s="460"/>
      <c r="C54" s="460"/>
      <c r="D54" s="460"/>
      <c r="E54" s="461"/>
      <c r="F54" s="448"/>
      <c r="G54" s="454"/>
      <c r="H54" s="442"/>
      <c r="I54" s="442"/>
      <c r="J54" s="442"/>
      <c r="K54" s="442"/>
      <c r="L54" s="78"/>
    </row>
    <row r="55" spans="1:12" ht="46.5" hidden="1" customHeight="1" x14ac:dyDescent="0.25">
      <c r="A55" s="590"/>
      <c r="B55" s="453" t="s">
        <v>169</v>
      </c>
      <c r="C55" s="453"/>
      <c r="D55" s="453"/>
      <c r="E55" s="113" t="s">
        <v>365</v>
      </c>
      <c r="F55" s="454" t="s">
        <v>22</v>
      </c>
      <c r="G55" s="454" t="s">
        <v>162</v>
      </c>
      <c r="H55" s="442" t="e">
        <f>ROUND(J55/1.2,2)</f>
        <v>#REF!</v>
      </c>
      <c r="I55" s="442" t="e">
        <f>ROUND(H55*$I$7,2)</f>
        <v>#REF!</v>
      </c>
      <c r="J55" s="442" t="e">
        <f>ROUND((#REF!+#REF!)*(1+$H$7)*1.2,0)</f>
        <v>#REF!</v>
      </c>
      <c r="K55" s="442">
        <v>332</v>
      </c>
      <c r="L55" s="78" t="e">
        <f t="shared" ref="L55" si="7">J55/K55*100-100</f>
        <v>#REF!</v>
      </c>
    </row>
    <row r="56" spans="1:12" ht="25.5" hidden="1" customHeight="1" outlineLevel="1" x14ac:dyDescent="0.25">
      <c r="A56" s="590"/>
      <c r="B56" s="453"/>
      <c r="C56" s="453"/>
      <c r="D56" s="453"/>
      <c r="E56" s="113"/>
      <c r="F56" s="454"/>
      <c r="G56" s="454"/>
      <c r="H56" s="442"/>
      <c r="I56" s="442"/>
      <c r="J56" s="442"/>
      <c r="K56" s="442"/>
      <c r="L56" s="78"/>
    </row>
    <row r="57" spans="1:12" ht="17.25" hidden="1" customHeight="1" outlineLevel="1" x14ac:dyDescent="0.25">
      <c r="A57" s="590"/>
      <c r="B57" s="453"/>
      <c r="C57" s="453"/>
      <c r="D57" s="453"/>
      <c r="E57" s="113"/>
      <c r="F57" s="454"/>
      <c r="G57" s="454"/>
      <c r="H57" s="442"/>
      <c r="I57" s="442"/>
      <c r="J57" s="442"/>
      <c r="K57" s="442"/>
      <c r="L57" s="78"/>
    </row>
    <row r="58" spans="1:12" ht="36.950000000000003" hidden="1" customHeight="1" outlineLevel="1" x14ac:dyDescent="0.25">
      <c r="A58" s="590"/>
      <c r="B58" s="453"/>
      <c r="C58" s="453"/>
      <c r="D58" s="453"/>
      <c r="E58" s="113"/>
      <c r="F58" s="454"/>
      <c r="G58" s="454"/>
      <c r="H58" s="442"/>
      <c r="I58" s="442"/>
      <c r="J58" s="442"/>
      <c r="K58" s="442"/>
      <c r="L58" s="78"/>
    </row>
    <row r="59" spans="1:12" ht="28.5" hidden="1" customHeight="1" outlineLevel="1" x14ac:dyDescent="0.25">
      <c r="A59" s="590"/>
      <c r="B59" s="453"/>
      <c r="C59" s="453"/>
      <c r="D59" s="453"/>
      <c r="E59" s="113"/>
      <c r="F59" s="454"/>
      <c r="G59" s="454"/>
      <c r="H59" s="442"/>
      <c r="I59" s="442"/>
      <c r="J59" s="442"/>
      <c r="K59" s="442"/>
      <c r="L59" s="78"/>
    </row>
    <row r="60" spans="1:12" ht="15.75" hidden="1" customHeight="1" outlineLevel="1" x14ac:dyDescent="0.25">
      <c r="A60" s="590"/>
      <c r="B60" s="453"/>
      <c r="C60" s="453"/>
      <c r="D60" s="453"/>
      <c r="E60" s="113"/>
      <c r="F60" s="454"/>
      <c r="G60" s="454"/>
      <c r="H60" s="442"/>
      <c r="I60" s="442"/>
      <c r="J60" s="442"/>
      <c r="K60" s="442"/>
      <c r="L60" s="78"/>
    </row>
    <row r="61" spans="1:12" ht="21" hidden="1" customHeight="1" outlineLevel="1" x14ac:dyDescent="0.25">
      <c r="A61" s="590"/>
      <c r="B61" s="453"/>
      <c r="C61" s="453"/>
      <c r="D61" s="453"/>
      <c r="E61" s="113"/>
      <c r="F61" s="454"/>
      <c r="G61" s="454"/>
      <c r="H61" s="442"/>
      <c r="I61" s="442"/>
      <c r="J61" s="442"/>
      <c r="K61" s="442"/>
      <c r="L61" s="78"/>
    </row>
    <row r="62" spans="1:12" ht="33" hidden="1" customHeight="1" x14ac:dyDescent="0.25">
      <c r="A62" s="590"/>
      <c r="B62" s="453" t="s">
        <v>171</v>
      </c>
      <c r="C62" s="453"/>
      <c r="D62" s="453"/>
      <c r="E62" s="113" t="s">
        <v>353</v>
      </c>
      <c r="F62" s="448" t="s">
        <v>30</v>
      </c>
      <c r="G62" s="454" t="s">
        <v>161</v>
      </c>
      <c r="H62" s="442" t="e">
        <f>ROUND(J62/1.2,2)</f>
        <v>#REF!</v>
      </c>
      <c r="I62" s="442" t="e">
        <f>ROUND(H62*$I$7,2)</f>
        <v>#REF!</v>
      </c>
      <c r="J62" s="442" t="e">
        <f>ROUND((#REF!+#REF!)*(1+$H$7)*1.2,0)</f>
        <v>#REF!</v>
      </c>
      <c r="K62" s="442">
        <v>365</v>
      </c>
      <c r="L62" s="78" t="e">
        <f t="shared" ref="L62:L63" si="8">J62/K62*100-100</f>
        <v>#REF!</v>
      </c>
    </row>
    <row r="63" spans="1:12" ht="55.5" hidden="1" customHeight="1" x14ac:dyDescent="0.25">
      <c r="A63" s="590"/>
      <c r="B63" s="453" t="s">
        <v>170</v>
      </c>
      <c r="C63" s="453"/>
      <c r="D63" s="453"/>
      <c r="E63" s="461" t="s">
        <v>559</v>
      </c>
      <c r="F63" s="448" t="s">
        <v>26</v>
      </c>
      <c r="G63" s="454" t="s">
        <v>162</v>
      </c>
      <c r="H63" s="442" t="e">
        <f>ROUND(J63/1.2,2)</f>
        <v>#REF!</v>
      </c>
      <c r="I63" s="442" t="e">
        <f>ROUND(H63*$I$7,2)</f>
        <v>#REF!</v>
      </c>
      <c r="J63" s="442" t="e">
        <f>ROUND((#REF!+#REF!)*(1+$H$7)*1.2,0)</f>
        <v>#REF!</v>
      </c>
      <c r="K63" s="442">
        <v>113</v>
      </c>
      <c r="L63" s="78" t="e">
        <f t="shared" si="8"/>
        <v>#REF!</v>
      </c>
    </row>
    <row r="64" spans="1:12" ht="31.7" hidden="1" customHeight="1" x14ac:dyDescent="0.25">
      <c r="A64" s="588" t="s">
        <v>577</v>
      </c>
      <c r="B64" s="588"/>
      <c r="C64" s="588"/>
      <c r="D64" s="588"/>
      <c r="E64" s="588"/>
      <c r="F64" s="588"/>
      <c r="G64" s="588"/>
      <c r="H64" s="442"/>
      <c r="I64" s="442"/>
      <c r="J64" s="442"/>
      <c r="K64" s="442"/>
      <c r="L64" s="78"/>
    </row>
    <row r="65" spans="1:12" ht="14.25" hidden="1" customHeight="1" x14ac:dyDescent="0.25">
      <c r="A65" s="588"/>
      <c r="B65" s="588"/>
      <c r="C65" s="588"/>
      <c r="D65" s="588"/>
      <c r="E65" s="588"/>
      <c r="F65" s="588"/>
      <c r="G65" s="588"/>
      <c r="H65" s="442"/>
      <c r="I65" s="442"/>
      <c r="J65" s="442"/>
      <c r="K65" s="442"/>
      <c r="L65" s="78"/>
    </row>
    <row r="66" spans="1:12" ht="18.95" hidden="1" customHeight="1" x14ac:dyDescent="0.25">
      <c r="A66" s="588"/>
      <c r="B66" s="588"/>
      <c r="C66" s="588"/>
      <c r="D66" s="588"/>
      <c r="E66" s="588"/>
      <c r="F66" s="588"/>
      <c r="G66" s="588"/>
      <c r="H66" s="442"/>
      <c r="I66" s="442"/>
      <c r="J66" s="442"/>
      <c r="K66" s="442"/>
      <c r="L66" s="78"/>
    </row>
    <row r="67" spans="1:12" ht="15" hidden="1" customHeight="1" x14ac:dyDescent="0.25">
      <c r="A67" s="590" t="s">
        <v>430</v>
      </c>
      <c r="B67" s="453" t="s">
        <v>172</v>
      </c>
      <c r="C67" s="453"/>
      <c r="D67" s="453"/>
      <c r="E67" s="589" t="s">
        <v>31</v>
      </c>
      <c r="F67" s="600" t="s">
        <v>30</v>
      </c>
      <c r="G67" s="105" t="s">
        <v>162</v>
      </c>
      <c r="H67" s="596" t="e">
        <f>ROUND(J67/1.2,2)</f>
        <v>#REF!</v>
      </c>
      <c r="I67" s="596" t="e">
        <f>ROUND(H67*$I$7,2)</f>
        <v>#REF!</v>
      </c>
      <c r="J67" s="596" t="e">
        <f>ROUND((#REF!+#REF!)*(1+$H$7)*1.2,0)</f>
        <v>#REF!</v>
      </c>
      <c r="K67" s="594">
        <v>1190</v>
      </c>
      <c r="L67" s="78" t="e">
        <f t="shared" si="0"/>
        <v>#REF!</v>
      </c>
    </row>
    <row r="68" spans="1:12" ht="14.25" hidden="1" customHeight="1" x14ac:dyDescent="0.25">
      <c r="A68" s="590"/>
      <c r="B68" s="453" t="s">
        <v>169</v>
      </c>
      <c r="C68" s="453"/>
      <c r="D68" s="453"/>
      <c r="E68" s="589"/>
      <c r="F68" s="600"/>
      <c r="G68" s="454" t="s">
        <v>166</v>
      </c>
      <c r="H68" s="596"/>
      <c r="I68" s="596"/>
      <c r="J68" s="596"/>
      <c r="K68" s="595"/>
      <c r="L68" s="78"/>
    </row>
    <row r="69" spans="1:12" ht="18.95" hidden="1" customHeight="1" outlineLevel="1" x14ac:dyDescent="0.25">
      <c r="A69" s="446"/>
      <c r="B69" s="453"/>
      <c r="C69" s="453"/>
      <c r="D69" s="453"/>
      <c r="E69" s="444"/>
      <c r="F69" s="448"/>
      <c r="G69" s="454"/>
      <c r="H69" s="442"/>
      <c r="I69" s="442"/>
      <c r="J69" s="442"/>
      <c r="K69" s="442"/>
      <c r="L69" s="78"/>
    </row>
    <row r="70" spans="1:12" ht="18.95" hidden="1" customHeight="1" outlineLevel="1" x14ac:dyDescent="0.25">
      <c r="A70" s="446"/>
      <c r="B70" s="453"/>
      <c r="C70" s="453"/>
      <c r="D70" s="453"/>
      <c r="E70" s="444"/>
      <c r="F70" s="448"/>
      <c r="G70" s="454"/>
      <c r="H70" s="442"/>
      <c r="I70" s="442"/>
      <c r="J70" s="442"/>
      <c r="K70" s="442"/>
      <c r="L70" s="78"/>
    </row>
    <row r="71" spans="1:12" ht="41.25" hidden="1" customHeight="1" outlineLevel="1" x14ac:dyDescent="0.25">
      <c r="A71" s="446"/>
      <c r="B71" s="453"/>
      <c r="C71" s="453"/>
      <c r="D71" s="453"/>
      <c r="E71" s="444"/>
      <c r="F71" s="448"/>
      <c r="G71" s="454"/>
      <c r="H71" s="442"/>
      <c r="I71" s="442"/>
      <c r="J71" s="442"/>
      <c r="K71" s="442"/>
      <c r="L71" s="78"/>
    </row>
    <row r="72" spans="1:12" ht="29.25" hidden="1" customHeight="1" outlineLevel="1" x14ac:dyDescent="0.25">
      <c r="A72" s="446"/>
      <c r="B72" s="453"/>
      <c r="C72" s="453"/>
      <c r="D72" s="453"/>
      <c r="E72" s="444"/>
      <c r="F72" s="448"/>
      <c r="G72" s="454"/>
      <c r="H72" s="442"/>
      <c r="I72" s="442"/>
      <c r="J72" s="442"/>
      <c r="K72" s="442"/>
      <c r="L72" s="78"/>
    </row>
    <row r="73" spans="1:12" ht="29.25" hidden="1" customHeight="1" outlineLevel="1" x14ac:dyDescent="0.25">
      <c r="A73" s="446"/>
      <c r="B73" s="453"/>
      <c r="C73" s="453"/>
      <c r="D73" s="453"/>
      <c r="E73" s="444"/>
      <c r="F73" s="448"/>
      <c r="G73" s="454"/>
      <c r="H73" s="442"/>
      <c r="I73" s="442"/>
      <c r="J73" s="442"/>
      <c r="K73" s="442"/>
      <c r="L73" s="78"/>
    </row>
    <row r="74" spans="1:12" ht="21" hidden="1" customHeight="1" outlineLevel="1" x14ac:dyDescent="0.25">
      <c r="A74" s="446"/>
      <c r="B74" s="453"/>
      <c r="C74" s="453"/>
      <c r="D74" s="453"/>
      <c r="E74" s="444"/>
      <c r="F74" s="448"/>
      <c r="G74" s="454"/>
      <c r="H74" s="442"/>
      <c r="I74" s="442"/>
      <c r="J74" s="442"/>
      <c r="K74" s="442"/>
      <c r="L74" s="78"/>
    </row>
    <row r="75" spans="1:12" ht="20.25" hidden="1" customHeight="1" outlineLevel="1" x14ac:dyDescent="0.25">
      <c r="A75" s="446"/>
      <c r="B75" s="453"/>
      <c r="C75" s="453"/>
      <c r="D75" s="453"/>
      <c r="E75" s="444"/>
      <c r="F75" s="448"/>
      <c r="G75" s="454"/>
      <c r="H75" s="442"/>
      <c r="I75" s="442"/>
      <c r="J75" s="442"/>
      <c r="K75" s="442"/>
      <c r="L75" s="78"/>
    </row>
    <row r="76" spans="1:12" ht="51" hidden="1" x14ac:dyDescent="0.25">
      <c r="A76" s="446" t="s">
        <v>431</v>
      </c>
      <c r="B76" s="446" t="s">
        <v>173</v>
      </c>
      <c r="C76" s="446"/>
      <c r="D76" s="446"/>
      <c r="E76" s="444" t="s">
        <v>407</v>
      </c>
      <c r="F76" s="448" t="s">
        <v>30</v>
      </c>
      <c r="G76" s="454" t="s">
        <v>161</v>
      </c>
      <c r="H76" s="442" t="e">
        <f>ROUND(J76/1.2,2)</f>
        <v>#REF!</v>
      </c>
      <c r="I76" s="442" t="e">
        <f>ROUND(H76*$I$7,2)</f>
        <v>#REF!</v>
      </c>
      <c r="J76" s="442" t="e">
        <f>ROUND((#REF!+#REF!)*(1+$H$7)*1.2,0)</f>
        <v>#REF!</v>
      </c>
      <c r="K76" s="442">
        <v>485</v>
      </c>
      <c r="L76" s="78" t="e">
        <f t="shared" si="0"/>
        <v>#REF!</v>
      </c>
    </row>
    <row r="77" spans="1:12" hidden="1" outlineLevel="1" x14ac:dyDescent="0.25">
      <c r="A77" s="446"/>
      <c r="B77" s="446"/>
      <c r="C77" s="446"/>
      <c r="D77" s="446"/>
      <c r="E77" s="444"/>
      <c r="F77" s="448"/>
      <c r="G77" s="454"/>
      <c r="H77" s="442"/>
      <c r="I77" s="442"/>
      <c r="J77" s="442"/>
      <c r="K77" s="442"/>
      <c r="L77" s="78"/>
    </row>
    <row r="78" spans="1:12" hidden="1" outlineLevel="1" x14ac:dyDescent="0.25">
      <c r="A78" s="446"/>
      <c r="B78" s="446"/>
      <c r="C78" s="446"/>
      <c r="D78" s="446"/>
      <c r="E78" s="444"/>
      <c r="F78" s="448"/>
      <c r="G78" s="454"/>
      <c r="H78" s="442"/>
      <c r="I78" s="442"/>
      <c r="J78" s="442"/>
      <c r="K78" s="442"/>
      <c r="L78" s="78"/>
    </row>
    <row r="79" spans="1:12" hidden="1" outlineLevel="1" x14ac:dyDescent="0.25">
      <c r="A79" s="446"/>
      <c r="B79" s="446"/>
      <c r="C79" s="446"/>
      <c r="D79" s="446"/>
      <c r="E79" s="444"/>
      <c r="F79" s="448"/>
      <c r="G79" s="454"/>
      <c r="H79" s="442"/>
      <c r="I79" s="442"/>
      <c r="J79" s="442"/>
      <c r="K79" s="442"/>
      <c r="L79" s="78"/>
    </row>
    <row r="80" spans="1:12" ht="45.95" hidden="1" customHeight="1" x14ac:dyDescent="0.25">
      <c r="A80" s="446" t="s">
        <v>432</v>
      </c>
      <c r="B80" s="446" t="s">
        <v>27</v>
      </c>
      <c r="C80" s="446"/>
      <c r="D80" s="446"/>
      <c r="E80" s="444" t="s">
        <v>408</v>
      </c>
      <c r="F80" s="448" t="s">
        <v>30</v>
      </c>
      <c r="G80" s="454" t="s">
        <v>161</v>
      </c>
      <c r="H80" s="442" t="e">
        <f>ROUND(J80/1.2,2)</f>
        <v>#REF!</v>
      </c>
      <c r="I80" s="442" t="e">
        <f>ROUND(H80*$I$7,2)</f>
        <v>#REF!</v>
      </c>
      <c r="J80" s="442" t="e">
        <f>ROUND((#REF!+#REF!)*(1+$H$7)*1.2,0)</f>
        <v>#REF!</v>
      </c>
      <c r="K80" s="442">
        <v>522</v>
      </c>
      <c r="L80" s="78" t="e">
        <f t="shared" si="0"/>
        <v>#REF!</v>
      </c>
    </row>
    <row r="81" spans="1:12" hidden="1" outlineLevel="1" x14ac:dyDescent="0.25">
      <c r="A81" s="446"/>
      <c r="B81" s="446"/>
      <c r="C81" s="446"/>
      <c r="D81" s="446"/>
      <c r="E81" s="444"/>
      <c r="F81" s="448"/>
      <c r="G81" s="454"/>
      <c r="H81" s="442"/>
      <c r="I81" s="442"/>
      <c r="J81" s="442"/>
      <c r="K81" s="442"/>
      <c r="L81" s="78"/>
    </row>
    <row r="82" spans="1:12" hidden="1" outlineLevel="1" x14ac:dyDescent="0.25">
      <c r="A82" s="446"/>
      <c r="B82" s="446"/>
      <c r="C82" s="446"/>
      <c r="D82" s="446"/>
      <c r="E82" s="444"/>
      <c r="F82" s="448"/>
      <c r="G82" s="454"/>
      <c r="H82" s="442"/>
      <c r="I82" s="442"/>
      <c r="J82" s="442"/>
      <c r="K82" s="442"/>
      <c r="L82" s="78"/>
    </row>
    <row r="83" spans="1:12" hidden="1" outlineLevel="1" x14ac:dyDescent="0.25">
      <c r="A83" s="446"/>
      <c r="B83" s="446"/>
      <c r="C83" s="446"/>
      <c r="D83" s="446"/>
      <c r="E83" s="444"/>
      <c r="F83" s="448"/>
      <c r="G83" s="454"/>
      <c r="H83" s="442"/>
      <c r="I83" s="442"/>
      <c r="J83" s="442"/>
      <c r="K83" s="442"/>
      <c r="L83" s="78"/>
    </row>
    <row r="84" spans="1:12" ht="39.75" hidden="1" customHeight="1" x14ac:dyDescent="0.25">
      <c r="A84" s="446" t="s">
        <v>433</v>
      </c>
      <c r="B84" s="446" t="s">
        <v>27</v>
      </c>
      <c r="C84" s="446"/>
      <c r="D84" s="446"/>
      <c r="E84" s="444" t="s">
        <v>409</v>
      </c>
      <c r="F84" s="448" t="s">
        <v>30</v>
      </c>
      <c r="G84" s="454" t="s">
        <v>161</v>
      </c>
      <c r="H84" s="442" t="e">
        <f>ROUND(J84/1.2,2)</f>
        <v>#REF!</v>
      </c>
      <c r="I84" s="442" t="e">
        <f>ROUND(H84*$I$7,2)</f>
        <v>#REF!</v>
      </c>
      <c r="J84" s="442" t="e">
        <f>ROUND((#REF!+#REF!)*(1+$H$7)*1.2,0)</f>
        <v>#REF!</v>
      </c>
      <c r="K84" s="442">
        <v>339</v>
      </c>
      <c r="L84" s="78" t="e">
        <f t="shared" si="0"/>
        <v>#REF!</v>
      </c>
    </row>
    <row r="85" spans="1:12" hidden="1" outlineLevel="1" x14ac:dyDescent="0.25">
      <c r="A85" s="446"/>
      <c r="B85" s="446"/>
      <c r="C85" s="446"/>
      <c r="D85" s="446"/>
      <c r="E85" s="444"/>
      <c r="F85" s="448"/>
      <c r="G85" s="454"/>
      <c r="H85" s="442"/>
      <c r="I85" s="442"/>
      <c r="J85" s="442"/>
      <c r="K85" s="442"/>
      <c r="L85" s="78"/>
    </row>
    <row r="86" spans="1:12" hidden="1" outlineLevel="1" x14ac:dyDescent="0.25">
      <c r="A86" s="446"/>
      <c r="B86" s="446"/>
      <c r="C86" s="446"/>
      <c r="D86" s="446"/>
      <c r="E86" s="444"/>
      <c r="F86" s="448"/>
      <c r="G86" s="454"/>
      <c r="H86" s="442"/>
      <c r="I86" s="442"/>
      <c r="J86" s="442"/>
      <c r="K86" s="442"/>
      <c r="L86" s="78"/>
    </row>
    <row r="87" spans="1:12" hidden="1" outlineLevel="1" x14ac:dyDescent="0.25">
      <c r="A87" s="446"/>
      <c r="B87" s="446"/>
      <c r="C87" s="446"/>
      <c r="D87" s="446"/>
      <c r="E87" s="444"/>
      <c r="F87" s="448"/>
      <c r="G87" s="454"/>
      <c r="H87" s="442"/>
      <c r="I87" s="442"/>
      <c r="J87" s="442"/>
      <c r="K87" s="442"/>
      <c r="L87" s="78"/>
    </row>
    <row r="88" spans="1:12" hidden="1" x14ac:dyDescent="0.25">
      <c r="A88" s="446" t="s">
        <v>434</v>
      </c>
      <c r="B88" s="446" t="s">
        <v>174</v>
      </c>
      <c r="C88" s="446"/>
      <c r="D88" s="446"/>
      <c r="E88" s="444" t="s">
        <v>32</v>
      </c>
      <c r="F88" s="443" t="s">
        <v>175</v>
      </c>
      <c r="G88" s="454" t="s">
        <v>161</v>
      </c>
      <c r="H88" s="442" t="e">
        <f>ROUND(J88/1.2,2)</f>
        <v>#REF!</v>
      </c>
      <c r="I88" s="442" t="e">
        <f t="shared" ref="I88:I107" si="9">ROUND(H88*$I$7,2)</f>
        <v>#REF!</v>
      </c>
      <c r="J88" s="442" t="e">
        <f>ROUND((#REF!+#REF!)*(1+$H$7)*1.2,0)</f>
        <v>#REF!</v>
      </c>
      <c r="K88" s="442">
        <v>106</v>
      </c>
      <c r="L88" s="78" t="e">
        <f t="shared" si="0"/>
        <v>#REF!</v>
      </c>
    </row>
    <row r="89" spans="1:12" hidden="1" x14ac:dyDescent="0.25">
      <c r="A89" s="446" t="s">
        <v>436</v>
      </c>
      <c r="B89" s="446" t="s">
        <v>176</v>
      </c>
      <c r="C89" s="446"/>
      <c r="D89" s="446"/>
      <c r="E89" s="444" t="s">
        <v>33</v>
      </c>
      <c r="F89" s="443" t="s">
        <v>177</v>
      </c>
      <c r="G89" s="454" t="s">
        <v>161</v>
      </c>
      <c r="H89" s="442" t="e">
        <f t="shared" ref="H89:H107" si="10">ROUND(J89/1.2,2)</f>
        <v>#REF!</v>
      </c>
      <c r="I89" s="442" t="e">
        <f t="shared" si="9"/>
        <v>#REF!</v>
      </c>
      <c r="J89" s="442" t="e">
        <f>ROUND((#REF!+#REF!)*(1+$H$7)*1.2,0)</f>
        <v>#REF!</v>
      </c>
      <c r="K89" s="442">
        <v>106</v>
      </c>
      <c r="L89" s="78" t="e">
        <f t="shared" si="0"/>
        <v>#REF!</v>
      </c>
    </row>
    <row r="90" spans="1:12" hidden="1" x14ac:dyDescent="0.25">
      <c r="A90" s="446" t="s">
        <v>437</v>
      </c>
      <c r="B90" s="446" t="s">
        <v>178</v>
      </c>
      <c r="C90" s="446"/>
      <c r="D90" s="446"/>
      <c r="E90" s="444" t="s">
        <v>34</v>
      </c>
      <c r="F90" s="443" t="s">
        <v>177</v>
      </c>
      <c r="G90" s="454" t="s">
        <v>161</v>
      </c>
      <c r="H90" s="442" t="e">
        <f t="shared" si="10"/>
        <v>#REF!</v>
      </c>
      <c r="I90" s="442" t="e">
        <f t="shared" si="9"/>
        <v>#REF!</v>
      </c>
      <c r="J90" s="442" t="e">
        <f>ROUND((#REF!+#REF!)*(1+$H$7)*1.2,0)</f>
        <v>#REF!</v>
      </c>
      <c r="K90" s="442">
        <v>132</v>
      </c>
      <c r="L90" s="78" t="e">
        <f t="shared" si="0"/>
        <v>#REF!</v>
      </c>
    </row>
    <row r="91" spans="1:12" hidden="1" x14ac:dyDescent="0.25">
      <c r="A91" s="446" t="s">
        <v>438</v>
      </c>
      <c r="B91" s="446" t="s">
        <v>179</v>
      </c>
      <c r="C91" s="446"/>
      <c r="D91" s="446"/>
      <c r="E91" s="444" t="s">
        <v>35</v>
      </c>
      <c r="F91" s="443" t="s">
        <v>180</v>
      </c>
      <c r="G91" s="454" t="s">
        <v>161</v>
      </c>
      <c r="H91" s="442" t="e">
        <f t="shared" si="10"/>
        <v>#REF!</v>
      </c>
      <c r="I91" s="442" t="e">
        <f t="shared" si="9"/>
        <v>#REF!</v>
      </c>
      <c r="J91" s="442" t="e">
        <f>ROUND((#REF!+#REF!)*(1+$H$7)*1.2,0)</f>
        <v>#REF!</v>
      </c>
      <c r="K91" s="442">
        <v>55</v>
      </c>
      <c r="L91" s="78" t="e">
        <f t="shared" si="0"/>
        <v>#REF!</v>
      </c>
    </row>
    <row r="92" spans="1:12" hidden="1" x14ac:dyDescent="0.25">
      <c r="A92" s="446" t="s">
        <v>439</v>
      </c>
      <c r="B92" s="446" t="s">
        <v>181</v>
      </c>
      <c r="C92" s="446"/>
      <c r="D92" s="446"/>
      <c r="E92" s="444" t="s">
        <v>36</v>
      </c>
      <c r="F92" s="443" t="s">
        <v>182</v>
      </c>
      <c r="G92" s="454" t="s">
        <v>161</v>
      </c>
      <c r="H92" s="442" t="e">
        <f t="shared" si="10"/>
        <v>#REF!</v>
      </c>
      <c r="I92" s="442" t="e">
        <f t="shared" si="9"/>
        <v>#REF!</v>
      </c>
      <c r="J92" s="442" t="e">
        <f>ROUND((#REF!+#REF!)*(1+$H$7)*1.2,0)</f>
        <v>#REF!</v>
      </c>
      <c r="K92" s="442">
        <v>73</v>
      </c>
      <c r="L92" s="78" t="e">
        <f t="shared" si="0"/>
        <v>#REF!</v>
      </c>
    </row>
    <row r="93" spans="1:12" ht="25.5" hidden="1" x14ac:dyDescent="0.25">
      <c r="A93" s="446" t="s">
        <v>440</v>
      </c>
      <c r="B93" s="446" t="s">
        <v>183</v>
      </c>
      <c r="C93" s="446"/>
      <c r="D93" s="446"/>
      <c r="E93" s="444" t="s">
        <v>37</v>
      </c>
      <c r="F93" s="443" t="s">
        <v>184</v>
      </c>
      <c r="G93" s="454" t="s">
        <v>161</v>
      </c>
      <c r="H93" s="442" t="e">
        <f t="shared" si="10"/>
        <v>#REF!</v>
      </c>
      <c r="I93" s="442" t="e">
        <f t="shared" si="9"/>
        <v>#REF!</v>
      </c>
      <c r="J93" s="442" t="e">
        <f>ROUND((#REF!+#REF!)*(1+$H$7)*1.2,0)</f>
        <v>#REF!</v>
      </c>
      <c r="K93" s="442">
        <v>91</v>
      </c>
      <c r="L93" s="78" t="e">
        <f t="shared" si="0"/>
        <v>#REF!</v>
      </c>
    </row>
    <row r="94" spans="1:12" ht="29.25" hidden="1" customHeight="1" x14ac:dyDescent="0.25">
      <c r="A94" s="446" t="s">
        <v>441</v>
      </c>
      <c r="B94" s="446" t="s">
        <v>185</v>
      </c>
      <c r="C94" s="446"/>
      <c r="D94" s="446"/>
      <c r="E94" s="444" t="s">
        <v>38</v>
      </c>
      <c r="F94" s="443" t="s">
        <v>186</v>
      </c>
      <c r="G94" s="454" t="s">
        <v>161</v>
      </c>
      <c r="H94" s="442" t="e">
        <f t="shared" si="10"/>
        <v>#REF!</v>
      </c>
      <c r="I94" s="442" t="e">
        <f t="shared" si="9"/>
        <v>#REF!</v>
      </c>
      <c r="J94" s="442" t="e">
        <f>ROUND((#REF!+#REF!)*(1+$H$7)*1.2,0)</f>
        <v>#REF!</v>
      </c>
      <c r="K94" s="442">
        <v>55</v>
      </c>
      <c r="L94" s="78" t="e">
        <f t="shared" si="0"/>
        <v>#REF!</v>
      </c>
    </row>
    <row r="95" spans="1:12" ht="32.25" hidden="1" customHeight="1" x14ac:dyDescent="0.25">
      <c r="A95" s="446" t="s">
        <v>442</v>
      </c>
      <c r="B95" s="446" t="s">
        <v>187</v>
      </c>
      <c r="C95" s="446"/>
      <c r="D95" s="446"/>
      <c r="E95" s="444" t="s">
        <v>39</v>
      </c>
      <c r="F95" s="443" t="s">
        <v>188</v>
      </c>
      <c r="G95" s="454" t="s">
        <v>161</v>
      </c>
      <c r="H95" s="442" t="e">
        <f t="shared" si="10"/>
        <v>#REF!</v>
      </c>
      <c r="I95" s="442" t="e">
        <f t="shared" si="9"/>
        <v>#REF!</v>
      </c>
      <c r="J95" s="442" t="e">
        <f>ROUND((#REF!+#REF!)*(1+$H$7)*1.2,0)</f>
        <v>#REF!</v>
      </c>
      <c r="K95" s="442">
        <v>453</v>
      </c>
      <c r="L95" s="78" t="e">
        <f t="shared" si="0"/>
        <v>#REF!</v>
      </c>
    </row>
    <row r="96" spans="1:12" ht="30.75" hidden="1" customHeight="1" x14ac:dyDescent="0.25">
      <c r="A96" s="446" t="s">
        <v>443</v>
      </c>
      <c r="B96" s="446" t="s">
        <v>189</v>
      </c>
      <c r="C96" s="446"/>
      <c r="D96" s="446"/>
      <c r="E96" s="444" t="s">
        <v>40</v>
      </c>
      <c r="F96" s="443" t="s">
        <v>190</v>
      </c>
      <c r="G96" s="454" t="s">
        <v>161</v>
      </c>
      <c r="H96" s="442" t="e">
        <f t="shared" si="10"/>
        <v>#REF!</v>
      </c>
      <c r="I96" s="442" t="e">
        <f t="shared" si="9"/>
        <v>#REF!</v>
      </c>
      <c r="J96" s="442" t="e">
        <f>ROUND((#REF!+#REF!)*(1+$H$7)*1.2,0)</f>
        <v>#REF!</v>
      </c>
      <c r="K96" s="442">
        <v>296</v>
      </c>
      <c r="L96" s="78" t="e">
        <f t="shared" si="0"/>
        <v>#REF!</v>
      </c>
    </row>
    <row r="97" spans="1:12" hidden="1" x14ac:dyDescent="0.25">
      <c r="A97" s="446" t="s">
        <v>444</v>
      </c>
      <c r="B97" s="446" t="s">
        <v>191</v>
      </c>
      <c r="C97" s="446"/>
      <c r="D97" s="446"/>
      <c r="E97" s="444" t="s">
        <v>41</v>
      </c>
      <c r="F97" s="443" t="s">
        <v>192</v>
      </c>
      <c r="G97" s="454" t="s">
        <v>161</v>
      </c>
      <c r="H97" s="442" t="e">
        <f t="shared" si="10"/>
        <v>#REF!</v>
      </c>
      <c r="I97" s="442" t="e">
        <f t="shared" si="9"/>
        <v>#REF!</v>
      </c>
      <c r="J97" s="442" t="e">
        <f>ROUND((#REF!+#REF!)*(1+$H$7)*1.2,0)</f>
        <v>#REF!</v>
      </c>
      <c r="K97" s="442">
        <v>252</v>
      </c>
      <c r="L97" s="78" t="e">
        <f t="shared" si="0"/>
        <v>#REF!</v>
      </c>
    </row>
    <row r="98" spans="1:12" hidden="1" x14ac:dyDescent="0.25">
      <c r="A98" s="446" t="s">
        <v>445</v>
      </c>
      <c r="B98" s="446" t="s">
        <v>193</v>
      </c>
      <c r="C98" s="446"/>
      <c r="D98" s="446"/>
      <c r="E98" s="444" t="s">
        <v>42</v>
      </c>
      <c r="F98" s="443" t="s">
        <v>194</v>
      </c>
      <c r="G98" s="454" t="s">
        <v>161</v>
      </c>
      <c r="H98" s="442" t="e">
        <f t="shared" si="10"/>
        <v>#REF!</v>
      </c>
      <c r="I98" s="442" t="e">
        <f t="shared" si="9"/>
        <v>#REF!</v>
      </c>
      <c r="J98" s="442" t="e">
        <f>ROUND((#REF!+#REF!)*(1+$H$7)*1.2,0)</f>
        <v>#REF!</v>
      </c>
      <c r="K98" s="442">
        <v>157</v>
      </c>
      <c r="L98" s="78" t="e">
        <f t="shared" si="0"/>
        <v>#REF!</v>
      </c>
    </row>
    <row r="99" spans="1:12" hidden="1" x14ac:dyDescent="0.25">
      <c r="A99" s="446" t="s">
        <v>446</v>
      </c>
      <c r="B99" s="446" t="s">
        <v>195</v>
      </c>
      <c r="C99" s="446"/>
      <c r="D99" s="446"/>
      <c r="E99" s="444" t="s">
        <v>43</v>
      </c>
      <c r="F99" s="443" t="s">
        <v>190</v>
      </c>
      <c r="G99" s="454" t="s">
        <v>161</v>
      </c>
      <c r="H99" s="442" t="e">
        <f t="shared" si="10"/>
        <v>#REF!</v>
      </c>
      <c r="I99" s="442" t="e">
        <f t="shared" si="9"/>
        <v>#REF!</v>
      </c>
      <c r="J99" s="442" t="e">
        <f>ROUND((#REF!+#REF!)*(1+$H$7)*1.2,0)</f>
        <v>#REF!</v>
      </c>
      <c r="K99" s="442">
        <v>110</v>
      </c>
      <c r="L99" s="78" t="e">
        <f t="shared" si="0"/>
        <v>#REF!</v>
      </c>
    </row>
    <row r="100" spans="1:12" hidden="1" x14ac:dyDescent="0.25">
      <c r="A100" s="446" t="s">
        <v>447</v>
      </c>
      <c r="B100" s="446" t="s">
        <v>196</v>
      </c>
      <c r="C100" s="446"/>
      <c r="D100" s="446"/>
      <c r="E100" s="444" t="s">
        <v>44</v>
      </c>
      <c r="F100" s="443" t="s">
        <v>190</v>
      </c>
      <c r="G100" s="454" t="s">
        <v>161</v>
      </c>
      <c r="H100" s="442" t="e">
        <f t="shared" si="10"/>
        <v>#REF!</v>
      </c>
      <c r="I100" s="442" t="e">
        <f t="shared" si="9"/>
        <v>#REF!</v>
      </c>
      <c r="J100" s="442" t="e">
        <f>ROUND((#REF!+#REF!)*(1+$H$7)*1.2,0)</f>
        <v>#REF!</v>
      </c>
      <c r="K100" s="442">
        <v>146</v>
      </c>
      <c r="L100" s="78" t="e">
        <f t="shared" si="0"/>
        <v>#REF!</v>
      </c>
    </row>
    <row r="101" spans="1:12" hidden="1" x14ac:dyDescent="0.25">
      <c r="A101" s="446" t="s">
        <v>448</v>
      </c>
      <c r="B101" s="446" t="s">
        <v>197</v>
      </c>
      <c r="C101" s="446"/>
      <c r="D101" s="446"/>
      <c r="E101" s="444" t="s">
        <v>45</v>
      </c>
      <c r="F101" s="443" t="s">
        <v>198</v>
      </c>
      <c r="G101" s="454" t="s">
        <v>161</v>
      </c>
      <c r="H101" s="442" t="e">
        <f t="shared" si="10"/>
        <v>#REF!</v>
      </c>
      <c r="I101" s="442" t="e">
        <f t="shared" si="9"/>
        <v>#REF!</v>
      </c>
      <c r="J101" s="442" t="e">
        <f>ROUND((#REF!+#REF!)*(1+$H$7)*1.2,0)</f>
        <v>#REF!</v>
      </c>
      <c r="K101" s="442">
        <v>219</v>
      </c>
      <c r="L101" s="78" t="e">
        <f t="shared" si="0"/>
        <v>#REF!</v>
      </c>
    </row>
    <row r="102" spans="1:12" ht="30.75" hidden="1" customHeight="1" x14ac:dyDescent="0.25">
      <c r="A102" s="446" t="s">
        <v>449</v>
      </c>
      <c r="B102" s="446" t="s">
        <v>199</v>
      </c>
      <c r="C102" s="446"/>
      <c r="D102" s="446"/>
      <c r="E102" s="444" t="s">
        <v>46</v>
      </c>
      <c r="F102" s="443" t="s">
        <v>198</v>
      </c>
      <c r="G102" s="454" t="s">
        <v>161</v>
      </c>
      <c r="H102" s="442" t="e">
        <f t="shared" si="10"/>
        <v>#REF!</v>
      </c>
      <c r="I102" s="442" t="e">
        <f t="shared" si="9"/>
        <v>#REF!</v>
      </c>
      <c r="J102" s="442" t="e">
        <f>ROUND((#REF!+#REF!)*(1+$H$7)*1.2,0)</f>
        <v>#REF!</v>
      </c>
      <c r="K102" s="442">
        <v>329</v>
      </c>
      <c r="L102" s="78" t="e">
        <f t="shared" si="0"/>
        <v>#REF!</v>
      </c>
    </row>
    <row r="103" spans="1:12" hidden="1" x14ac:dyDescent="0.25">
      <c r="A103" s="446" t="s">
        <v>450</v>
      </c>
      <c r="B103" s="446" t="s">
        <v>200</v>
      </c>
      <c r="C103" s="446"/>
      <c r="D103" s="446"/>
      <c r="E103" s="444" t="s">
        <v>47</v>
      </c>
      <c r="F103" s="443" t="s">
        <v>26</v>
      </c>
      <c r="G103" s="454" t="s">
        <v>161</v>
      </c>
      <c r="H103" s="442" t="e">
        <f t="shared" si="10"/>
        <v>#REF!</v>
      </c>
      <c r="I103" s="442" t="e">
        <f t="shared" si="9"/>
        <v>#REF!</v>
      </c>
      <c r="J103" s="442" t="e">
        <f>ROUND((#REF!+#REF!)*(1+$H$7)*1.2,0)</f>
        <v>#REF!</v>
      </c>
      <c r="K103" s="442">
        <v>300</v>
      </c>
      <c r="L103" s="78" t="e">
        <f t="shared" si="0"/>
        <v>#REF!</v>
      </c>
    </row>
    <row r="104" spans="1:12" ht="25.5" hidden="1" x14ac:dyDescent="0.25">
      <c r="A104" s="446" t="s">
        <v>451</v>
      </c>
      <c r="B104" s="446" t="s">
        <v>201</v>
      </c>
      <c r="C104" s="446"/>
      <c r="D104" s="446"/>
      <c r="E104" s="444" t="s">
        <v>48</v>
      </c>
      <c r="F104" s="443" t="s">
        <v>190</v>
      </c>
      <c r="G104" s="454" t="s">
        <v>161</v>
      </c>
      <c r="H104" s="442" t="e">
        <f t="shared" si="10"/>
        <v>#REF!</v>
      </c>
      <c r="I104" s="442" t="e">
        <f t="shared" si="9"/>
        <v>#REF!</v>
      </c>
      <c r="J104" s="442" t="e">
        <f>ROUND((#REF!+#REF!)*(1+$H$7)*1.2,0)</f>
        <v>#REF!</v>
      </c>
      <c r="K104" s="442">
        <v>183</v>
      </c>
      <c r="L104" s="78" t="e">
        <f t="shared" si="0"/>
        <v>#REF!</v>
      </c>
    </row>
    <row r="105" spans="1:12" ht="25.5" hidden="1" x14ac:dyDescent="0.25">
      <c r="A105" s="446" t="s">
        <v>452</v>
      </c>
      <c r="B105" s="446" t="s">
        <v>202</v>
      </c>
      <c r="C105" s="446"/>
      <c r="D105" s="446"/>
      <c r="E105" s="444" t="s">
        <v>49</v>
      </c>
      <c r="F105" s="443" t="s">
        <v>190</v>
      </c>
      <c r="G105" s="454" t="s">
        <v>161</v>
      </c>
      <c r="H105" s="442" t="e">
        <f t="shared" si="10"/>
        <v>#REF!</v>
      </c>
      <c r="I105" s="442" t="e">
        <f t="shared" si="9"/>
        <v>#REF!</v>
      </c>
      <c r="J105" s="442" t="e">
        <f>ROUND((#REF!+#REF!)*(1+$H$7)*1.2,0)</f>
        <v>#REF!</v>
      </c>
      <c r="K105" s="442">
        <v>365</v>
      </c>
      <c r="L105" s="78" t="e">
        <f t="shared" si="0"/>
        <v>#REF!</v>
      </c>
    </row>
    <row r="106" spans="1:12" ht="18" hidden="1" customHeight="1" x14ac:dyDescent="0.25">
      <c r="A106" s="446" t="s">
        <v>453</v>
      </c>
      <c r="B106" s="446" t="s">
        <v>203</v>
      </c>
      <c r="C106" s="446"/>
      <c r="D106" s="446"/>
      <c r="E106" s="444" t="s">
        <v>50</v>
      </c>
      <c r="F106" s="443" t="s">
        <v>190</v>
      </c>
      <c r="G106" s="454" t="s">
        <v>161</v>
      </c>
      <c r="H106" s="442" t="e">
        <f t="shared" si="10"/>
        <v>#REF!</v>
      </c>
      <c r="I106" s="442" t="e">
        <f t="shared" si="9"/>
        <v>#REF!</v>
      </c>
      <c r="J106" s="442" t="e">
        <f>ROUND((#REF!+#REF!)*(1+$H$7)*1.2,0)</f>
        <v>#REF!</v>
      </c>
      <c r="K106" s="442">
        <v>37</v>
      </c>
      <c r="L106" s="78" t="e">
        <f t="shared" si="0"/>
        <v>#REF!</v>
      </c>
    </row>
    <row r="107" spans="1:12" ht="25.5" hidden="1" x14ac:dyDescent="0.25">
      <c r="A107" s="446" t="s">
        <v>454</v>
      </c>
      <c r="B107" s="446" t="s">
        <v>205</v>
      </c>
      <c r="C107" s="446"/>
      <c r="D107" s="446"/>
      <c r="E107" s="444" t="s">
        <v>362</v>
      </c>
      <c r="F107" s="443" t="s">
        <v>204</v>
      </c>
      <c r="G107" s="454" t="s">
        <v>161</v>
      </c>
      <c r="H107" s="442" t="e">
        <f t="shared" si="10"/>
        <v>#REF!</v>
      </c>
      <c r="I107" s="442" t="e">
        <f t="shared" si="9"/>
        <v>#REF!</v>
      </c>
      <c r="J107" s="442" t="e">
        <f>ROUND((#REF!+#REF!)*(1+$H$7)*1.2,0)</f>
        <v>#REF!</v>
      </c>
      <c r="K107" s="442">
        <v>193</v>
      </c>
      <c r="L107" s="78" t="e">
        <f t="shared" si="0"/>
        <v>#REF!</v>
      </c>
    </row>
    <row r="108" spans="1:12" ht="23.25" hidden="1" customHeight="1" outlineLevel="1" x14ac:dyDescent="0.25">
      <c r="A108" s="446"/>
      <c r="B108" s="446"/>
      <c r="C108" s="446"/>
      <c r="D108" s="446"/>
      <c r="E108" s="444"/>
      <c r="F108" s="443"/>
      <c r="G108" s="454"/>
      <c r="H108" s="442"/>
      <c r="I108" s="442"/>
      <c r="J108" s="442"/>
      <c r="K108" s="442"/>
      <c r="L108" s="78"/>
    </row>
    <row r="109" spans="1:12" ht="16.5" hidden="1" customHeight="1" outlineLevel="1" x14ac:dyDescent="0.25">
      <c r="A109" s="446"/>
      <c r="B109" s="446"/>
      <c r="C109" s="446"/>
      <c r="D109" s="446"/>
      <c r="E109" s="444"/>
      <c r="F109" s="443"/>
      <c r="G109" s="454"/>
      <c r="H109" s="442"/>
      <c r="I109" s="442"/>
      <c r="J109" s="442"/>
      <c r="K109" s="442"/>
      <c r="L109" s="78"/>
    </row>
    <row r="110" spans="1:12" ht="15.75" hidden="1" customHeight="1" outlineLevel="1" x14ac:dyDescent="0.25">
      <c r="A110" s="446"/>
      <c r="B110" s="446"/>
      <c r="C110" s="446"/>
      <c r="D110" s="446"/>
      <c r="E110" s="444"/>
      <c r="F110" s="443"/>
      <c r="G110" s="454"/>
      <c r="H110" s="442"/>
      <c r="I110" s="442"/>
      <c r="J110" s="442"/>
      <c r="K110" s="442"/>
      <c r="L110" s="78"/>
    </row>
    <row r="111" spans="1:12" ht="31.7" hidden="1" customHeight="1" x14ac:dyDescent="0.25">
      <c r="A111" s="446" t="s">
        <v>455</v>
      </c>
      <c r="B111" s="446" t="s">
        <v>206</v>
      </c>
      <c r="C111" s="446"/>
      <c r="D111" s="446"/>
      <c r="E111" s="444" t="s">
        <v>51</v>
      </c>
      <c r="F111" s="443" t="s">
        <v>198</v>
      </c>
      <c r="G111" s="454" t="s">
        <v>161</v>
      </c>
      <c r="H111" s="442" t="e">
        <f>ROUND(J111/1.2,2)</f>
        <v>#REF!</v>
      </c>
      <c r="I111" s="442" t="e">
        <f t="shared" ref="I111:I119" si="11">ROUND(H111*$I$7,2)</f>
        <v>#REF!</v>
      </c>
      <c r="J111" s="442" t="e">
        <f>ROUND((#REF!+#REF!)*(1+$H$7)*1.2,0)</f>
        <v>#REF!</v>
      </c>
      <c r="K111" s="442">
        <v>183</v>
      </c>
      <c r="L111" s="78" t="e">
        <f t="shared" si="0"/>
        <v>#REF!</v>
      </c>
    </row>
    <row r="112" spans="1:12" ht="23.25" hidden="1" customHeight="1" x14ac:dyDescent="0.25">
      <c r="A112" s="446" t="s">
        <v>456</v>
      </c>
      <c r="B112" s="446" t="s">
        <v>207</v>
      </c>
      <c r="C112" s="446"/>
      <c r="D112" s="446"/>
      <c r="E112" s="444" t="s">
        <v>52</v>
      </c>
      <c r="F112" s="443" t="s">
        <v>180</v>
      </c>
      <c r="G112" s="454" t="s">
        <v>161</v>
      </c>
      <c r="H112" s="442" t="e">
        <f t="shared" ref="H112:H119" si="12">ROUND(J112/1.2,2)</f>
        <v>#REF!</v>
      </c>
      <c r="I112" s="442" t="e">
        <f t="shared" si="11"/>
        <v>#REF!</v>
      </c>
      <c r="J112" s="442" t="e">
        <f>ROUND((#REF!+#REF!)*(1+$H$7)*1.2,0)</f>
        <v>#REF!</v>
      </c>
      <c r="K112" s="442">
        <v>110</v>
      </c>
      <c r="L112" s="78" t="e">
        <f t="shared" si="0"/>
        <v>#REF!</v>
      </c>
    </row>
    <row r="113" spans="1:12" ht="28.5" hidden="1" customHeight="1" x14ac:dyDescent="0.25">
      <c r="A113" s="446" t="s">
        <v>457</v>
      </c>
      <c r="B113" s="446" t="s">
        <v>208</v>
      </c>
      <c r="C113" s="446"/>
      <c r="D113" s="446"/>
      <c r="E113" s="444" t="s">
        <v>53</v>
      </c>
      <c r="F113" s="443" t="s">
        <v>209</v>
      </c>
      <c r="G113" s="454" t="s">
        <v>161</v>
      </c>
      <c r="H113" s="442" t="e">
        <f t="shared" si="12"/>
        <v>#REF!</v>
      </c>
      <c r="I113" s="442" t="e">
        <f t="shared" si="11"/>
        <v>#REF!</v>
      </c>
      <c r="J113" s="442" t="e">
        <f>ROUND((#REF!+#REF!)*(1+$H$7)*1.2,0)</f>
        <v>#REF!</v>
      </c>
      <c r="K113" s="442">
        <v>245</v>
      </c>
      <c r="L113" s="78" t="e">
        <f t="shared" si="0"/>
        <v>#REF!</v>
      </c>
    </row>
    <row r="114" spans="1:12" hidden="1" x14ac:dyDescent="0.25">
      <c r="A114" s="446" t="s">
        <v>458</v>
      </c>
      <c r="B114" s="446" t="s">
        <v>210</v>
      </c>
      <c r="C114" s="446"/>
      <c r="D114" s="446"/>
      <c r="E114" s="444" t="s">
        <v>54</v>
      </c>
      <c r="F114" s="443" t="s">
        <v>211</v>
      </c>
      <c r="G114" s="454" t="s">
        <v>161</v>
      </c>
      <c r="H114" s="442" t="e">
        <f t="shared" si="12"/>
        <v>#REF!</v>
      </c>
      <c r="I114" s="442" t="e">
        <f t="shared" si="11"/>
        <v>#REF!</v>
      </c>
      <c r="J114" s="442" t="e">
        <f>ROUND((#REF!+#REF!)*(1+$H$7)*1.2,0)</f>
        <v>#REF!</v>
      </c>
      <c r="K114" s="442">
        <v>62</v>
      </c>
      <c r="L114" s="78" t="e">
        <f t="shared" si="0"/>
        <v>#REF!</v>
      </c>
    </row>
    <row r="115" spans="1:12" hidden="1" x14ac:dyDescent="0.25">
      <c r="A115" s="446" t="s">
        <v>459</v>
      </c>
      <c r="B115" s="446" t="s">
        <v>212</v>
      </c>
      <c r="C115" s="446"/>
      <c r="D115" s="446"/>
      <c r="E115" s="444" t="s">
        <v>55</v>
      </c>
      <c r="F115" s="443" t="s">
        <v>198</v>
      </c>
      <c r="G115" s="454" t="s">
        <v>161</v>
      </c>
      <c r="H115" s="442" t="e">
        <f t="shared" si="12"/>
        <v>#REF!</v>
      </c>
      <c r="I115" s="442" t="e">
        <f t="shared" si="11"/>
        <v>#REF!</v>
      </c>
      <c r="J115" s="442" t="e">
        <f>ROUND((#REF!+#REF!)*(1+$H$7)*1.2,0)</f>
        <v>#REF!</v>
      </c>
      <c r="K115" s="442">
        <v>183</v>
      </c>
      <c r="L115" s="78" t="e">
        <f t="shared" si="0"/>
        <v>#REF!</v>
      </c>
    </row>
    <row r="116" spans="1:12" hidden="1" x14ac:dyDescent="0.25">
      <c r="A116" s="446" t="s">
        <v>460</v>
      </c>
      <c r="B116" s="446" t="s">
        <v>213</v>
      </c>
      <c r="C116" s="446"/>
      <c r="D116" s="446"/>
      <c r="E116" s="444" t="s">
        <v>56</v>
      </c>
      <c r="F116" s="443" t="s">
        <v>177</v>
      </c>
      <c r="G116" s="454" t="s">
        <v>161</v>
      </c>
      <c r="H116" s="442" t="e">
        <f t="shared" si="12"/>
        <v>#REF!</v>
      </c>
      <c r="I116" s="442" t="e">
        <f t="shared" si="11"/>
        <v>#REF!</v>
      </c>
      <c r="J116" s="442" t="e">
        <f>ROUND((#REF!+#REF!)*(1+$H$7)*1.2,0)</f>
        <v>#REF!</v>
      </c>
      <c r="K116" s="442">
        <v>245</v>
      </c>
      <c r="L116" s="78" t="e">
        <f t="shared" si="0"/>
        <v>#REF!</v>
      </c>
    </row>
    <row r="117" spans="1:12" hidden="1" x14ac:dyDescent="0.25">
      <c r="A117" s="446" t="s">
        <v>461</v>
      </c>
      <c r="B117" s="446" t="s">
        <v>214</v>
      </c>
      <c r="C117" s="446"/>
      <c r="D117" s="446"/>
      <c r="E117" s="444" t="s">
        <v>57</v>
      </c>
      <c r="F117" s="443" t="s">
        <v>215</v>
      </c>
      <c r="G117" s="454" t="s">
        <v>161</v>
      </c>
      <c r="H117" s="442" t="e">
        <f t="shared" si="12"/>
        <v>#REF!</v>
      </c>
      <c r="I117" s="442" t="e">
        <f t="shared" si="11"/>
        <v>#REF!</v>
      </c>
      <c r="J117" s="442" t="e">
        <f>ROUND((#REF!+#REF!)*(1+$H$7)*1.2,0)</f>
        <v>#REF!</v>
      </c>
      <c r="K117" s="442">
        <v>110</v>
      </c>
      <c r="L117" s="78" t="e">
        <f t="shared" si="0"/>
        <v>#REF!</v>
      </c>
    </row>
    <row r="118" spans="1:12" hidden="1" x14ac:dyDescent="0.25">
      <c r="A118" s="446" t="s">
        <v>462</v>
      </c>
      <c r="B118" s="446" t="s">
        <v>216</v>
      </c>
      <c r="C118" s="446"/>
      <c r="D118" s="446"/>
      <c r="E118" s="444" t="s">
        <v>58</v>
      </c>
      <c r="F118" s="443" t="s">
        <v>215</v>
      </c>
      <c r="G118" s="454" t="s">
        <v>161</v>
      </c>
      <c r="H118" s="442" t="e">
        <f t="shared" si="12"/>
        <v>#REF!</v>
      </c>
      <c r="I118" s="442" t="e">
        <f t="shared" si="11"/>
        <v>#REF!</v>
      </c>
      <c r="J118" s="442" t="e">
        <f>ROUND((#REF!+#REF!)*(1+$H$7)*1.2,0)</f>
        <v>#REF!</v>
      </c>
      <c r="K118" s="442">
        <v>91</v>
      </c>
      <c r="L118" s="78" t="e">
        <f t="shared" si="0"/>
        <v>#REF!</v>
      </c>
    </row>
    <row r="119" spans="1:12" ht="15.75" hidden="1" customHeight="1" x14ac:dyDescent="0.25">
      <c r="A119" s="446" t="s">
        <v>463</v>
      </c>
      <c r="B119" s="446" t="s">
        <v>217</v>
      </c>
      <c r="C119" s="446"/>
      <c r="D119" s="446"/>
      <c r="E119" s="459" t="s">
        <v>59</v>
      </c>
      <c r="F119" s="443" t="s">
        <v>204</v>
      </c>
      <c r="G119" s="454" t="s">
        <v>161</v>
      </c>
      <c r="H119" s="442" t="e">
        <f t="shared" si="12"/>
        <v>#REF!</v>
      </c>
      <c r="I119" s="442" t="e">
        <f t="shared" si="11"/>
        <v>#REF!</v>
      </c>
      <c r="J119" s="442" t="e">
        <f>ROUND((#REF!+#REF!)*(1+$H$7)*1.2,0)</f>
        <v>#REF!</v>
      </c>
      <c r="K119" s="442">
        <v>248</v>
      </c>
      <c r="L119" s="78" t="e">
        <f t="shared" si="0"/>
        <v>#REF!</v>
      </c>
    </row>
    <row r="120" spans="1:12" hidden="1" outlineLevel="1" x14ac:dyDescent="0.25">
      <c r="A120" s="446"/>
      <c r="B120" s="446"/>
      <c r="C120" s="446"/>
      <c r="D120" s="446"/>
      <c r="E120" s="444"/>
      <c r="F120" s="443"/>
      <c r="G120" s="454"/>
      <c r="H120" s="442"/>
      <c r="I120" s="442"/>
      <c r="J120" s="442"/>
      <c r="K120" s="442"/>
      <c r="L120" s="78"/>
    </row>
    <row r="121" spans="1:12" hidden="1" outlineLevel="1" x14ac:dyDescent="0.25">
      <c r="A121" s="446"/>
      <c r="B121" s="446"/>
      <c r="C121" s="446"/>
      <c r="D121" s="446"/>
      <c r="E121" s="444"/>
      <c r="F121" s="443"/>
      <c r="G121" s="454"/>
      <c r="H121" s="442"/>
      <c r="I121" s="442"/>
      <c r="J121" s="442"/>
      <c r="K121" s="442"/>
      <c r="L121" s="78"/>
    </row>
    <row r="122" spans="1:12" hidden="1" outlineLevel="1" x14ac:dyDescent="0.25">
      <c r="A122" s="446"/>
      <c r="B122" s="446"/>
      <c r="C122" s="446"/>
      <c r="D122" s="446"/>
      <c r="E122" s="444"/>
      <c r="F122" s="443"/>
      <c r="G122" s="454"/>
      <c r="H122" s="442"/>
      <c r="I122" s="442"/>
      <c r="J122" s="442"/>
      <c r="K122" s="442"/>
      <c r="L122" s="78"/>
    </row>
    <row r="123" spans="1:12" hidden="1" outlineLevel="1" x14ac:dyDescent="0.25">
      <c r="A123" s="446"/>
      <c r="B123" s="446"/>
      <c r="C123" s="446"/>
      <c r="D123" s="446"/>
      <c r="E123" s="444"/>
      <c r="F123" s="443"/>
      <c r="G123" s="454"/>
      <c r="H123" s="442"/>
      <c r="I123" s="442"/>
      <c r="J123" s="442"/>
      <c r="K123" s="442"/>
      <c r="L123" s="78"/>
    </row>
    <row r="124" spans="1:12" ht="22.7" hidden="1" customHeight="1" x14ac:dyDescent="0.25">
      <c r="A124" s="597" t="s">
        <v>226</v>
      </c>
      <c r="B124" s="597"/>
      <c r="C124" s="597"/>
      <c r="D124" s="597"/>
      <c r="E124" s="597"/>
      <c r="F124" s="597"/>
      <c r="G124" s="597"/>
      <c r="H124" s="597"/>
      <c r="I124" s="597"/>
      <c r="J124" s="597"/>
      <c r="K124" s="597"/>
      <c r="L124" s="78"/>
    </row>
    <row r="125" spans="1:12" ht="49.7" hidden="1" customHeight="1" x14ac:dyDescent="0.25">
      <c r="A125" s="446" t="s">
        <v>464</v>
      </c>
      <c r="B125" s="446" t="s">
        <v>218</v>
      </c>
      <c r="C125" s="446"/>
      <c r="D125" s="446"/>
      <c r="E125" s="444" t="s">
        <v>372</v>
      </c>
      <c r="F125" s="447" t="s">
        <v>230</v>
      </c>
      <c r="G125" s="454" t="s">
        <v>162</v>
      </c>
      <c r="H125" s="442" t="e">
        <f>ROUND(J125/1.2,2)</f>
        <v>#REF!</v>
      </c>
      <c r="I125" s="442" t="e">
        <f>ROUND(H125*$I$7,2)</f>
        <v>#REF!</v>
      </c>
      <c r="J125" s="442" t="e">
        <f>ROUND((#REF!+#REF!)*(1+$H$7)*1.2,0)</f>
        <v>#REF!</v>
      </c>
      <c r="K125" s="442">
        <v>1307</v>
      </c>
      <c r="L125" s="78" t="e">
        <f t="shared" si="0"/>
        <v>#REF!</v>
      </c>
    </row>
    <row r="126" spans="1:12" ht="29.25" hidden="1" customHeight="1" outlineLevel="1" x14ac:dyDescent="0.25">
      <c r="A126" s="446"/>
      <c r="B126" s="446"/>
      <c r="C126" s="446"/>
      <c r="D126" s="446"/>
      <c r="E126" s="444"/>
      <c r="F126" s="447"/>
      <c r="G126" s="454"/>
      <c r="H126" s="442"/>
      <c r="I126" s="442"/>
      <c r="J126" s="442"/>
      <c r="K126" s="442"/>
      <c r="L126" s="78"/>
    </row>
    <row r="127" spans="1:12" ht="24" hidden="1" customHeight="1" outlineLevel="1" x14ac:dyDescent="0.25">
      <c r="A127" s="446"/>
      <c r="B127" s="446"/>
      <c r="C127" s="446"/>
      <c r="D127" s="446"/>
      <c r="E127" s="444"/>
      <c r="F127" s="447"/>
      <c r="G127" s="454"/>
      <c r="H127" s="442"/>
      <c r="I127" s="442"/>
      <c r="J127" s="442"/>
      <c r="K127" s="442"/>
      <c r="L127" s="78"/>
    </row>
    <row r="128" spans="1:12" ht="24.75" hidden="1" customHeight="1" outlineLevel="1" x14ac:dyDescent="0.25">
      <c r="A128" s="446"/>
      <c r="B128" s="446"/>
      <c r="C128" s="446"/>
      <c r="D128" s="446"/>
      <c r="E128" s="444"/>
      <c r="F128" s="447"/>
      <c r="G128" s="454"/>
      <c r="H128" s="442"/>
      <c r="I128" s="442"/>
      <c r="J128" s="442"/>
      <c r="K128" s="442"/>
      <c r="L128" s="78"/>
    </row>
    <row r="129" spans="1:12" hidden="1" outlineLevel="1" x14ac:dyDescent="0.25">
      <c r="A129" s="446"/>
      <c r="B129" s="446"/>
      <c r="C129" s="446"/>
      <c r="D129" s="446"/>
      <c r="E129" s="444"/>
      <c r="F129" s="447"/>
      <c r="G129" s="454"/>
      <c r="H129" s="442"/>
      <c r="I129" s="442"/>
      <c r="J129" s="442"/>
      <c r="K129" s="442"/>
      <c r="L129" s="78"/>
    </row>
    <row r="130" spans="1:12" hidden="1" outlineLevel="1" x14ac:dyDescent="0.25">
      <c r="A130" s="446"/>
      <c r="B130" s="446"/>
      <c r="C130" s="446"/>
      <c r="D130" s="446"/>
      <c r="E130" s="444"/>
      <c r="F130" s="447"/>
      <c r="G130" s="454"/>
      <c r="H130" s="442"/>
      <c r="I130" s="442"/>
      <c r="J130" s="442"/>
      <c r="K130" s="442"/>
      <c r="L130" s="78"/>
    </row>
    <row r="131" spans="1:12" ht="42" hidden="1" customHeight="1" x14ac:dyDescent="0.25">
      <c r="A131" s="446" t="s">
        <v>465</v>
      </c>
      <c r="B131" s="446" t="s">
        <v>218</v>
      </c>
      <c r="C131" s="446"/>
      <c r="D131" s="446"/>
      <c r="E131" s="444" t="s">
        <v>227</v>
      </c>
      <c r="F131" s="447" t="s">
        <v>230</v>
      </c>
      <c r="G131" s="454" t="s">
        <v>162</v>
      </c>
      <c r="H131" s="442" t="e">
        <f>ROUND(J131/1.2,2)</f>
        <v>#REF!</v>
      </c>
      <c r="I131" s="442" t="e">
        <f>ROUND(H131*$I$7,2)</f>
        <v>#REF!</v>
      </c>
      <c r="J131" s="442" t="e">
        <f>ROUND((#REF!+#REF!)*(1+$H$7)*1.2,0)</f>
        <v>#REF!</v>
      </c>
      <c r="K131" s="442">
        <v>1101</v>
      </c>
      <c r="L131" s="78" t="e">
        <f t="shared" si="0"/>
        <v>#REF!</v>
      </c>
    </row>
    <row r="132" spans="1:12" ht="24.75" hidden="1" customHeight="1" outlineLevel="1" x14ac:dyDescent="0.25">
      <c r="A132" s="446"/>
      <c r="B132" s="446"/>
      <c r="C132" s="446"/>
      <c r="D132" s="446"/>
      <c r="E132" s="444"/>
      <c r="F132" s="447"/>
      <c r="G132" s="454"/>
      <c r="H132" s="442"/>
      <c r="I132" s="442"/>
      <c r="J132" s="442"/>
      <c r="K132" s="442"/>
      <c r="L132" s="78"/>
    </row>
    <row r="133" spans="1:12" ht="24.75" hidden="1" customHeight="1" outlineLevel="1" x14ac:dyDescent="0.25">
      <c r="A133" s="446"/>
      <c r="B133" s="446"/>
      <c r="C133" s="446"/>
      <c r="D133" s="446"/>
      <c r="E133" s="444"/>
      <c r="F133" s="447"/>
      <c r="G133" s="454"/>
      <c r="H133" s="442"/>
      <c r="I133" s="442"/>
      <c r="J133" s="442"/>
      <c r="K133" s="442"/>
      <c r="L133" s="78"/>
    </row>
    <row r="134" spans="1:12" ht="29.25" hidden="1" customHeight="1" outlineLevel="1" x14ac:dyDescent="0.25">
      <c r="A134" s="446"/>
      <c r="B134" s="446"/>
      <c r="C134" s="446"/>
      <c r="D134" s="446"/>
      <c r="E134" s="444"/>
      <c r="F134" s="447"/>
      <c r="G134" s="454"/>
      <c r="H134" s="442"/>
      <c r="I134" s="442"/>
      <c r="J134" s="442"/>
      <c r="K134" s="442"/>
      <c r="L134" s="78"/>
    </row>
    <row r="135" spans="1:12" hidden="1" outlineLevel="1" x14ac:dyDescent="0.25">
      <c r="A135" s="446"/>
      <c r="B135" s="446"/>
      <c r="C135" s="446"/>
      <c r="D135" s="446"/>
      <c r="E135" s="444"/>
      <c r="F135" s="447"/>
      <c r="G135" s="454"/>
      <c r="H135" s="442"/>
      <c r="I135" s="442"/>
      <c r="J135" s="442"/>
      <c r="K135" s="442"/>
      <c r="L135" s="78"/>
    </row>
    <row r="136" spans="1:12" hidden="1" outlineLevel="1" x14ac:dyDescent="0.25">
      <c r="A136" s="446"/>
      <c r="B136" s="446"/>
      <c r="C136" s="446"/>
      <c r="D136" s="446"/>
      <c r="E136" s="444"/>
      <c r="F136" s="447"/>
      <c r="G136" s="454"/>
      <c r="H136" s="442"/>
      <c r="I136" s="442"/>
      <c r="J136" s="442"/>
      <c r="K136" s="442"/>
      <c r="L136" s="78"/>
    </row>
    <row r="137" spans="1:12" ht="21.75" hidden="1" customHeight="1" x14ac:dyDescent="0.25">
      <c r="A137" s="446" t="s">
        <v>466</v>
      </c>
      <c r="B137" s="446" t="s">
        <v>219</v>
      </c>
      <c r="C137" s="446"/>
      <c r="D137" s="446"/>
      <c r="E137" s="459" t="s">
        <v>228</v>
      </c>
      <c r="F137" s="443" t="s">
        <v>230</v>
      </c>
      <c r="G137" s="454" t="s">
        <v>162</v>
      </c>
      <c r="H137" s="442" t="e">
        <f>ROUND(J137/1.2,2)</f>
        <v>#REF!</v>
      </c>
      <c r="I137" s="442" t="e">
        <f>ROUND(H137*$I$7,2)</f>
        <v>#REF!</v>
      </c>
      <c r="J137" s="442" t="e">
        <f>ROUND((#REF!+#REF!)*(1+$H$7)*1.2,0)</f>
        <v>#REF!</v>
      </c>
      <c r="K137" s="442">
        <v>496</v>
      </c>
      <c r="L137" s="78" t="e">
        <f t="shared" si="0"/>
        <v>#REF!</v>
      </c>
    </row>
    <row r="138" spans="1:12" ht="14.25" hidden="1" customHeight="1" x14ac:dyDescent="0.25">
      <c r="A138" s="590" t="s">
        <v>467</v>
      </c>
      <c r="B138" s="593" t="s">
        <v>221</v>
      </c>
      <c r="C138" s="458"/>
      <c r="D138" s="458"/>
      <c r="E138" s="589" t="s">
        <v>229</v>
      </c>
      <c r="F138" s="609" t="s">
        <v>230</v>
      </c>
      <c r="G138" s="454" t="s">
        <v>162</v>
      </c>
      <c r="H138" s="594" t="e">
        <f>ROUND(J138/1.2,2)</f>
        <v>#REF!</v>
      </c>
      <c r="I138" s="596" t="e">
        <f>ROUND(H138*$I$7,2)</f>
        <v>#REF!</v>
      </c>
      <c r="J138" s="596" t="e">
        <f>ROUND((#REF!+#REF!)*(1+$H$7)*1.2,0)</f>
        <v>#REF!</v>
      </c>
      <c r="K138" s="594">
        <v>1388</v>
      </c>
      <c r="L138" s="601" t="e">
        <f t="shared" si="0"/>
        <v>#REF!</v>
      </c>
    </row>
    <row r="139" spans="1:12" ht="15.75" hidden="1" customHeight="1" x14ac:dyDescent="0.25">
      <c r="A139" s="590"/>
      <c r="B139" s="593"/>
      <c r="C139" s="458"/>
      <c r="D139" s="458"/>
      <c r="E139" s="589"/>
      <c r="F139" s="609"/>
      <c r="G139" s="454" t="s">
        <v>166</v>
      </c>
      <c r="H139" s="595"/>
      <c r="I139" s="596">
        <f>ROUND(H139*$I$7,2)</f>
        <v>0</v>
      </c>
      <c r="J139" s="596" t="e">
        <f>ROUND((#REF!+#REF!)*(1+$H$7)*1.18,0)</f>
        <v>#REF!</v>
      </c>
      <c r="K139" s="595"/>
      <c r="L139" s="601"/>
    </row>
    <row r="140" spans="1:12" ht="15.75" hidden="1" customHeight="1" outlineLevel="1" x14ac:dyDescent="0.25">
      <c r="A140" s="446"/>
      <c r="B140" s="458"/>
      <c r="C140" s="458"/>
      <c r="D140" s="458"/>
      <c r="E140" s="444"/>
      <c r="F140" s="447"/>
      <c r="G140" s="454"/>
      <c r="H140" s="442"/>
      <c r="I140" s="442"/>
      <c r="J140" s="442"/>
      <c r="K140" s="442"/>
      <c r="L140" s="78"/>
    </row>
    <row r="141" spans="1:12" ht="12" hidden="1" customHeight="1" outlineLevel="1" x14ac:dyDescent="0.25">
      <c r="A141" s="446"/>
      <c r="B141" s="458"/>
      <c r="C141" s="458"/>
      <c r="D141" s="458"/>
      <c r="E141" s="444"/>
      <c r="F141" s="447"/>
      <c r="G141" s="454"/>
      <c r="H141" s="442"/>
      <c r="I141" s="442"/>
      <c r="J141" s="442"/>
      <c r="K141" s="442"/>
      <c r="L141" s="78"/>
    </row>
    <row r="142" spans="1:12" ht="35.25" hidden="1" customHeight="1" outlineLevel="1" x14ac:dyDescent="0.25">
      <c r="A142" s="446"/>
      <c r="B142" s="458"/>
      <c r="C142" s="458"/>
      <c r="D142" s="458"/>
      <c r="E142" s="444"/>
      <c r="F142" s="447"/>
      <c r="G142" s="454"/>
      <c r="H142" s="442"/>
      <c r="I142" s="442"/>
      <c r="J142" s="442"/>
      <c r="K142" s="442"/>
      <c r="L142" s="78"/>
    </row>
    <row r="143" spans="1:12" ht="26.25" hidden="1" customHeight="1" outlineLevel="1" x14ac:dyDescent="0.25">
      <c r="A143" s="446"/>
      <c r="B143" s="458"/>
      <c r="C143" s="458"/>
      <c r="D143" s="458"/>
      <c r="E143" s="444"/>
      <c r="F143" s="447"/>
      <c r="G143" s="454"/>
      <c r="H143" s="442"/>
      <c r="I143" s="442"/>
      <c r="J143" s="442"/>
      <c r="K143" s="442"/>
      <c r="L143" s="78"/>
    </row>
    <row r="144" spans="1:12" ht="24.75" hidden="1" customHeight="1" outlineLevel="1" x14ac:dyDescent="0.25">
      <c r="A144" s="446"/>
      <c r="B144" s="458"/>
      <c r="C144" s="458"/>
      <c r="D144" s="458"/>
      <c r="E144" s="444"/>
      <c r="F144" s="447"/>
      <c r="G144" s="454"/>
      <c r="H144" s="442"/>
      <c r="I144" s="442"/>
      <c r="J144" s="442"/>
      <c r="K144" s="442"/>
      <c r="L144" s="78"/>
    </row>
    <row r="145" spans="1:12" ht="15.75" hidden="1" customHeight="1" outlineLevel="1" x14ac:dyDescent="0.25">
      <c r="A145" s="446"/>
      <c r="B145" s="458"/>
      <c r="C145" s="458"/>
      <c r="D145" s="458"/>
      <c r="E145" s="444"/>
      <c r="F145" s="447"/>
      <c r="G145" s="454"/>
      <c r="H145" s="442"/>
      <c r="I145" s="442"/>
      <c r="J145" s="442"/>
      <c r="K145" s="442"/>
      <c r="L145" s="78"/>
    </row>
    <row r="146" spans="1:12" ht="15.75" hidden="1" customHeight="1" outlineLevel="1" x14ac:dyDescent="0.25">
      <c r="A146" s="446"/>
      <c r="B146" s="458"/>
      <c r="C146" s="458"/>
      <c r="D146" s="458"/>
      <c r="E146" s="444"/>
      <c r="F146" s="447"/>
      <c r="G146" s="454"/>
      <c r="H146" s="442"/>
      <c r="I146" s="442"/>
      <c r="J146" s="442"/>
      <c r="K146" s="442"/>
      <c r="L146" s="78"/>
    </row>
    <row r="147" spans="1:12" ht="17.25" hidden="1" customHeight="1" x14ac:dyDescent="0.25">
      <c r="A147" s="590" t="s">
        <v>468</v>
      </c>
      <c r="B147" s="593" t="s">
        <v>223</v>
      </c>
      <c r="C147" s="458"/>
      <c r="D147" s="458"/>
      <c r="E147" s="589" t="s">
        <v>60</v>
      </c>
      <c r="F147" s="609" t="s">
        <v>222</v>
      </c>
      <c r="G147" s="454" t="s">
        <v>162</v>
      </c>
      <c r="H147" s="596" t="e">
        <f>ROUND(J147/1.2,2)</f>
        <v>#REF!</v>
      </c>
      <c r="I147" s="596" t="e">
        <f>ROUND(H147*$I$7,2)</f>
        <v>#REF!</v>
      </c>
      <c r="J147" s="596" t="e">
        <f>ROUND((#REF!+#REF!)*(1+$H$7)*1.2,0)</f>
        <v>#REF!</v>
      </c>
      <c r="K147" s="596">
        <v>1405</v>
      </c>
      <c r="L147" s="601" t="e">
        <f t="shared" si="0"/>
        <v>#REF!</v>
      </c>
    </row>
    <row r="148" spans="1:12" ht="26.25" hidden="1" customHeight="1" x14ac:dyDescent="0.25">
      <c r="A148" s="590"/>
      <c r="B148" s="593"/>
      <c r="C148" s="458"/>
      <c r="D148" s="458"/>
      <c r="E148" s="589"/>
      <c r="F148" s="609"/>
      <c r="G148" s="454" t="s">
        <v>166</v>
      </c>
      <c r="H148" s="596" t="e">
        <f t="shared" ref="H148" si="13">ROUND(J148/1.18,2)</f>
        <v>#REF!</v>
      </c>
      <c r="I148" s="596" t="e">
        <f>ROUND(H148*$I$7,2)</f>
        <v>#REF!</v>
      </c>
      <c r="J148" s="596" t="e">
        <f>ROUND((#REF!+#REF!)*(1+$H$7)*1.18,0)</f>
        <v>#REF!</v>
      </c>
      <c r="K148" s="596"/>
      <c r="L148" s="601"/>
    </row>
    <row r="149" spans="1:12" ht="19.5" hidden="1" customHeight="1" outlineLevel="1" x14ac:dyDescent="0.25">
      <c r="A149" s="446"/>
      <c r="B149" s="458"/>
      <c r="C149" s="458"/>
      <c r="D149" s="458"/>
      <c r="E149" s="444"/>
      <c r="F149" s="447"/>
      <c r="G149" s="454"/>
      <c r="H149" s="442"/>
      <c r="I149" s="442"/>
      <c r="J149" s="442"/>
      <c r="K149" s="442"/>
      <c r="L149" s="78"/>
    </row>
    <row r="150" spans="1:12" ht="19.5" hidden="1" customHeight="1" outlineLevel="1" x14ac:dyDescent="0.25">
      <c r="A150" s="446"/>
      <c r="B150" s="458"/>
      <c r="C150" s="458"/>
      <c r="D150" s="458"/>
      <c r="E150" s="444"/>
      <c r="F150" s="447"/>
      <c r="G150" s="454"/>
      <c r="H150" s="442"/>
      <c r="I150" s="442"/>
      <c r="J150" s="442"/>
      <c r="K150" s="442"/>
      <c r="L150" s="78"/>
    </row>
    <row r="151" spans="1:12" ht="36" hidden="1" customHeight="1" outlineLevel="1" x14ac:dyDescent="0.25">
      <c r="A151" s="446"/>
      <c r="B151" s="458"/>
      <c r="C151" s="458"/>
      <c r="D151" s="458"/>
      <c r="E151" s="444"/>
      <c r="F151" s="447"/>
      <c r="G151" s="454"/>
      <c r="H151" s="442"/>
      <c r="I151" s="442"/>
      <c r="J151" s="442"/>
      <c r="K151" s="442"/>
      <c r="L151" s="78"/>
    </row>
    <row r="152" spans="1:12" ht="24.75" hidden="1" customHeight="1" outlineLevel="1" x14ac:dyDescent="0.25">
      <c r="A152" s="446"/>
      <c r="B152" s="458"/>
      <c r="C152" s="458"/>
      <c r="D152" s="458"/>
      <c r="E152" s="444"/>
      <c r="F152" s="447"/>
      <c r="G152" s="454"/>
      <c r="H152" s="442"/>
      <c r="I152" s="442"/>
      <c r="J152" s="442"/>
      <c r="K152" s="442"/>
      <c r="L152" s="78"/>
    </row>
    <row r="153" spans="1:12" ht="28.5" hidden="1" customHeight="1" outlineLevel="1" x14ac:dyDescent="0.25">
      <c r="A153" s="446"/>
      <c r="B153" s="458"/>
      <c r="C153" s="458"/>
      <c r="D153" s="458"/>
      <c r="E153" s="444"/>
      <c r="F153" s="447"/>
      <c r="G153" s="454"/>
      <c r="H153" s="442"/>
      <c r="I153" s="442"/>
      <c r="J153" s="442"/>
      <c r="K153" s="442"/>
      <c r="L153" s="78"/>
    </row>
    <row r="154" spans="1:12" ht="19.5" hidden="1" customHeight="1" outlineLevel="1" x14ac:dyDescent="0.25">
      <c r="A154" s="446"/>
      <c r="B154" s="458"/>
      <c r="C154" s="458"/>
      <c r="D154" s="458"/>
      <c r="E154" s="444"/>
      <c r="F154" s="447"/>
      <c r="G154" s="454"/>
      <c r="H154" s="442"/>
      <c r="I154" s="442"/>
      <c r="J154" s="442"/>
      <c r="K154" s="442"/>
      <c r="L154" s="78"/>
    </row>
    <row r="155" spans="1:12" ht="19.5" hidden="1" customHeight="1" outlineLevel="1" x14ac:dyDescent="0.25">
      <c r="A155" s="446"/>
      <c r="B155" s="458"/>
      <c r="C155" s="458"/>
      <c r="D155" s="458"/>
      <c r="E155" s="444"/>
      <c r="F155" s="447"/>
      <c r="G155" s="454"/>
      <c r="H155" s="442"/>
      <c r="I155" s="442"/>
      <c r="J155" s="442"/>
      <c r="K155" s="442"/>
      <c r="L155" s="78"/>
    </row>
    <row r="156" spans="1:12" hidden="1" x14ac:dyDescent="0.25">
      <c r="A156" s="446" t="s">
        <v>469</v>
      </c>
      <c r="B156" s="446" t="s">
        <v>224</v>
      </c>
      <c r="C156" s="446"/>
      <c r="D156" s="446"/>
      <c r="E156" s="444" t="s">
        <v>231</v>
      </c>
      <c r="F156" s="443" t="s">
        <v>177</v>
      </c>
      <c r="G156" s="454" t="s">
        <v>162</v>
      </c>
      <c r="H156" s="442" t="e">
        <f>ROUND(J156/1.2,2)</f>
        <v>#REF!</v>
      </c>
      <c r="I156" s="442" t="e">
        <f t="shared" ref="I156:I206" si="14">ROUND(H156*$I$7,2)</f>
        <v>#REF!</v>
      </c>
      <c r="J156" s="442" t="e">
        <f>ROUND((#REF!+#REF!)*(1+$H$7)*1.2,0)</f>
        <v>#REF!</v>
      </c>
      <c r="K156" s="442">
        <v>207</v>
      </c>
      <c r="L156" s="78" t="e">
        <f t="shared" si="0"/>
        <v>#REF!</v>
      </c>
    </row>
    <row r="157" spans="1:12" hidden="1" x14ac:dyDescent="0.25">
      <c r="A157" s="446" t="s">
        <v>471</v>
      </c>
      <c r="B157" s="446" t="s">
        <v>225</v>
      </c>
      <c r="C157" s="446"/>
      <c r="D157" s="446"/>
      <c r="E157" s="444" t="s">
        <v>61</v>
      </c>
      <c r="F157" s="443" t="s">
        <v>232</v>
      </c>
      <c r="G157" s="454" t="s">
        <v>162</v>
      </c>
      <c r="H157" s="442" t="e">
        <f t="shared" ref="H157:H205" si="15">ROUND(J157/1.2,2)</f>
        <v>#REF!</v>
      </c>
      <c r="I157" s="442" t="e">
        <f t="shared" si="14"/>
        <v>#REF!</v>
      </c>
      <c r="J157" s="442" t="e">
        <f>ROUND((#REF!+#REF!)*(1+$H$7)*1.2,0)</f>
        <v>#REF!</v>
      </c>
      <c r="K157" s="442">
        <v>455</v>
      </c>
      <c r="L157" s="78" t="e">
        <f t="shared" si="0"/>
        <v>#REF!</v>
      </c>
    </row>
    <row r="158" spans="1:12" hidden="1" x14ac:dyDescent="0.25">
      <c r="A158" s="446" t="s">
        <v>470</v>
      </c>
      <c r="B158" s="446" t="s">
        <v>233</v>
      </c>
      <c r="C158" s="446"/>
      <c r="D158" s="446"/>
      <c r="E158" s="444" t="s">
        <v>62</v>
      </c>
      <c r="F158" s="443" t="s">
        <v>190</v>
      </c>
      <c r="G158" s="454" t="s">
        <v>162</v>
      </c>
      <c r="H158" s="442" t="e">
        <f t="shared" si="15"/>
        <v>#REF!</v>
      </c>
      <c r="I158" s="442" t="e">
        <f t="shared" si="14"/>
        <v>#REF!</v>
      </c>
      <c r="J158" s="442" t="e">
        <f>ROUND((#REF!+#REF!)*(1+$H$7)*1.2,0)</f>
        <v>#REF!</v>
      </c>
      <c r="K158" s="442">
        <v>248</v>
      </c>
      <c r="L158" s="78" t="e">
        <f t="shared" si="0"/>
        <v>#REF!</v>
      </c>
    </row>
    <row r="159" spans="1:12" hidden="1" x14ac:dyDescent="0.25">
      <c r="A159" s="446" t="s">
        <v>472</v>
      </c>
      <c r="B159" s="446" t="s">
        <v>347</v>
      </c>
      <c r="C159" s="446"/>
      <c r="D159" s="446"/>
      <c r="E159" s="459" t="s">
        <v>63</v>
      </c>
      <c r="F159" s="443" t="s">
        <v>190</v>
      </c>
      <c r="G159" s="454" t="s">
        <v>162</v>
      </c>
      <c r="H159" s="442" t="e">
        <f t="shared" si="15"/>
        <v>#REF!</v>
      </c>
      <c r="I159" s="442" t="e">
        <f t="shared" si="14"/>
        <v>#REF!</v>
      </c>
      <c r="J159" s="442" t="e">
        <f>ROUND((#REF!+#REF!)*(1+$H$7)*1.2,0)</f>
        <v>#REF!</v>
      </c>
      <c r="K159" s="442">
        <v>413</v>
      </c>
      <c r="L159" s="78" t="e">
        <f t="shared" si="0"/>
        <v>#REF!</v>
      </c>
    </row>
    <row r="160" spans="1:12" hidden="1" x14ac:dyDescent="0.25">
      <c r="A160" s="446" t="s">
        <v>473</v>
      </c>
      <c r="B160" s="446" t="s">
        <v>234</v>
      </c>
      <c r="C160" s="446"/>
      <c r="D160" s="446"/>
      <c r="E160" s="444" t="s">
        <v>64</v>
      </c>
      <c r="F160" s="443" t="s">
        <v>236</v>
      </c>
      <c r="G160" s="454" t="s">
        <v>162</v>
      </c>
      <c r="H160" s="442" t="e">
        <f t="shared" si="15"/>
        <v>#REF!</v>
      </c>
      <c r="I160" s="442" t="e">
        <f t="shared" si="14"/>
        <v>#REF!</v>
      </c>
      <c r="J160" s="442" t="e">
        <f>ROUND((#REF!+#REF!)*(1+$H$7)*1.2,0)</f>
        <v>#REF!</v>
      </c>
      <c r="K160" s="442">
        <v>289</v>
      </c>
      <c r="L160" s="78" t="e">
        <f t="shared" si="0"/>
        <v>#REF!</v>
      </c>
    </row>
    <row r="161" spans="1:12" hidden="1" x14ac:dyDescent="0.25">
      <c r="A161" s="446" t="s">
        <v>474</v>
      </c>
      <c r="B161" s="446" t="s">
        <v>235</v>
      </c>
      <c r="C161" s="446"/>
      <c r="D161" s="446"/>
      <c r="E161" s="444" t="s">
        <v>65</v>
      </c>
      <c r="F161" s="443" t="s">
        <v>236</v>
      </c>
      <c r="G161" s="454" t="s">
        <v>162</v>
      </c>
      <c r="H161" s="442" t="e">
        <f t="shared" si="15"/>
        <v>#REF!</v>
      </c>
      <c r="I161" s="442" t="e">
        <f t="shared" si="14"/>
        <v>#REF!</v>
      </c>
      <c r="J161" s="442" t="e">
        <f>ROUND((#REF!+#REF!)*(1+$H$7)*1.2,0)</f>
        <v>#REF!</v>
      </c>
      <c r="K161" s="442">
        <v>165</v>
      </c>
      <c r="L161" s="78" t="e">
        <f t="shared" si="0"/>
        <v>#REF!</v>
      </c>
    </row>
    <row r="162" spans="1:12" ht="26.25" hidden="1" customHeight="1" x14ac:dyDescent="0.25">
      <c r="A162" s="446" t="s">
        <v>475</v>
      </c>
      <c r="B162" s="446" t="s">
        <v>237</v>
      </c>
      <c r="C162" s="446"/>
      <c r="D162" s="446"/>
      <c r="E162" s="444" t="s">
        <v>66</v>
      </c>
      <c r="F162" s="443" t="s">
        <v>238</v>
      </c>
      <c r="G162" s="454" t="s">
        <v>162</v>
      </c>
      <c r="H162" s="442" t="e">
        <f t="shared" si="15"/>
        <v>#REF!</v>
      </c>
      <c r="I162" s="442" t="e">
        <f t="shared" si="14"/>
        <v>#REF!</v>
      </c>
      <c r="J162" s="442" t="e">
        <f>ROUND((#REF!+#REF!)*(1+$H$7)*1.2,0)</f>
        <v>#REF!</v>
      </c>
      <c r="K162" s="442">
        <v>165</v>
      </c>
      <c r="L162" s="78" t="e">
        <f t="shared" si="0"/>
        <v>#REF!</v>
      </c>
    </row>
    <row r="163" spans="1:12" hidden="1" x14ac:dyDescent="0.25">
      <c r="A163" s="446" t="s">
        <v>476</v>
      </c>
      <c r="B163" s="446" t="s">
        <v>239</v>
      </c>
      <c r="C163" s="446"/>
      <c r="D163" s="446"/>
      <c r="E163" s="444" t="s">
        <v>67</v>
      </c>
      <c r="F163" s="443" t="s">
        <v>240</v>
      </c>
      <c r="G163" s="454" t="s">
        <v>162</v>
      </c>
      <c r="H163" s="442" t="e">
        <f t="shared" si="15"/>
        <v>#REF!</v>
      </c>
      <c r="I163" s="442" t="e">
        <f t="shared" si="14"/>
        <v>#REF!</v>
      </c>
      <c r="J163" s="442" t="e">
        <f>ROUND((#REF!+#REF!)*(1+$H$7)*1.2,0)</f>
        <v>#REF!</v>
      </c>
      <c r="K163" s="442">
        <v>99</v>
      </c>
      <c r="L163" s="78" t="e">
        <f t="shared" si="0"/>
        <v>#REF!</v>
      </c>
    </row>
    <row r="164" spans="1:12" ht="27" hidden="1" customHeight="1" x14ac:dyDescent="0.25">
      <c r="A164" s="446" t="s">
        <v>477</v>
      </c>
      <c r="B164" s="446" t="s">
        <v>241</v>
      </c>
      <c r="C164" s="446"/>
      <c r="D164" s="446"/>
      <c r="E164" s="444" t="s">
        <v>68</v>
      </c>
      <c r="F164" s="443" t="s">
        <v>190</v>
      </c>
      <c r="G164" s="454" t="s">
        <v>162</v>
      </c>
      <c r="H164" s="442" t="e">
        <f t="shared" si="15"/>
        <v>#REF!</v>
      </c>
      <c r="I164" s="442" t="e">
        <f t="shared" si="14"/>
        <v>#REF!</v>
      </c>
      <c r="J164" s="442" t="e">
        <f>ROUND((#REF!+#REF!)*(1+$H$7)*1.2,0)</f>
        <v>#REF!</v>
      </c>
      <c r="K164" s="442">
        <v>83</v>
      </c>
      <c r="L164" s="78" t="e">
        <f t="shared" si="0"/>
        <v>#REF!</v>
      </c>
    </row>
    <row r="165" spans="1:12" hidden="1" x14ac:dyDescent="0.25">
      <c r="A165" s="446" t="s">
        <v>478</v>
      </c>
      <c r="B165" s="446" t="s">
        <v>242</v>
      </c>
      <c r="C165" s="446"/>
      <c r="D165" s="446"/>
      <c r="E165" s="444" t="s">
        <v>69</v>
      </c>
      <c r="F165" s="443" t="s">
        <v>190</v>
      </c>
      <c r="G165" s="454" t="s">
        <v>162</v>
      </c>
      <c r="H165" s="442" t="e">
        <f t="shared" si="15"/>
        <v>#REF!</v>
      </c>
      <c r="I165" s="442" t="e">
        <f t="shared" si="14"/>
        <v>#REF!</v>
      </c>
      <c r="J165" s="442" t="e">
        <f>ROUND((#REF!+#REF!)*(1+$H$7)*1.2,0)</f>
        <v>#REF!</v>
      </c>
      <c r="K165" s="442">
        <v>103</v>
      </c>
      <c r="L165" s="78" t="e">
        <f t="shared" si="0"/>
        <v>#REF!</v>
      </c>
    </row>
    <row r="166" spans="1:12" hidden="1" x14ac:dyDescent="0.25">
      <c r="A166" s="446" t="s">
        <v>479</v>
      </c>
      <c r="B166" s="446" t="s">
        <v>243</v>
      </c>
      <c r="C166" s="446"/>
      <c r="D166" s="446"/>
      <c r="E166" s="444" t="s">
        <v>70</v>
      </c>
      <c r="F166" s="443" t="s">
        <v>244</v>
      </c>
      <c r="G166" s="454" t="s">
        <v>162</v>
      </c>
      <c r="H166" s="442" t="e">
        <f t="shared" si="15"/>
        <v>#REF!</v>
      </c>
      <c r="I166" s="442" t="e">
        <f t="shared" si="14"/>
        <v>#REF!</v>
      </c>
      <c r="J166" s="442" t="e">
        <f>ROUND((#REF!+#REF!)*(1+$H$7)*1.2,0)</f>
        <v>#REF!</v>
      </c>
      <c r="K166" s="442">
        <v>413</v>
      </c>
      <c r="L166" s="78" t="e">
        <f t="shared" si="0"/>
        <v>#REF!</v>
      </c>
    </row>
    <row r="167" spans="1:12" hidden="1" x14ac:dyDescent="0.25">
      <c r="A167" s="446" t="s">
        <v>480</v>
      </c>
      <c r="B167" s="446" t="s">
        <v>246</v>
      </c>
      <c r="C167" s="446"/>
      <c r="D167" s="446"/>
      <c r="E167" s="444" t="s">
        <v>71</v>
      </c>
      <c r="F167" s="443" t="s">
        <v>180</v>
      </c>
      <c r="G167" s="454" t="s">
        <v>162</v>
      </c>
      <c r="H167" s="442" t="e">
        <f t="shared" si="15"/>
        <v>#REF!</v>
      </c>
      <c r="I167" s="442" t="e">
        <f t="shared" si="14"/>
        <v>#REF!</v>
      </c>
      <c r="J167" s="442" t="e">
        <f>ROUND((#REF!+#REF!)*(1+$H$7)*1.2,0)</f>
        <v>#REF!</v>
      </c>
      <c r="K167" s="442">
        <v>223</v>
      </c>
      <c r="L167" s="78" t="e">
        <f t="shared" si="0"/>
        <v>#REF!</v>
      </c>
    </row>
    <row r="168" spans="1:12" hidden="1" x14ac:dyDescent="0.25">
      <c r="A168" s="446" t="s">
        <v>481</v>
      </c>
      <c r="B168" s="446" t="s">
        <v>246</v>
      </c>
      <c r="C168" s="446"/>
      <c r="D168" s="446"/>
      <c r="E168" s="459" t="s">
        <v>72</v>
      </c>
      <c r="F168" s="471" t="s">
        <v>247</v>
      </c>
      <c r="G168" s="454" t="s">
        <v>162</v>
      </c>
      <c r="H168" s="442" t="e">
        <f t="shared" si="15"/>
        <v>#REF!</v>
      </c>
      <c r="I168" s="442" t="e">
        <f t="shared" si="14"/>
        <v>#REF!</v>
      </c>
      <c r="J168" s="442" t="e">
        <f>ROUND((#REF!+#REF!)*(1+$H$7)*1.2,0)</f>
        <v>#REF!</v>
      </c>
      <c r="K168" s="442">
        <v>591</v>
      </c>
      <c r="L168" s="78" t="e">
        <f t="shared" si="0"/>
        <v>#REF!</v>
      </c>
    </row>
    <row r="169" spans="1:12" ht="36.950000000000003" hidden="1" customHeight="1" x14ac:dyDescent="0.25">
      <c r="A169" s="446" t="s">
        <v>482</v>
      </c>
      <c r="B169" s="446" t="s">
        <v>248</v>
      </c>
      <c r="C169" s="446"/>
      <c r="D169" s="446"/>
      <c r="E169" s="444" t="s">
        <v>73</v>
      </c>
      <c r="F169" s="443" t="s">
        <v>184</v>
      </c>
      <c r="G169" s="454" t="s">
        <v>162</v>
      </c>
      <c r="H169" s="442" t="e">
        <f t="shared" si="15"/>
        <v>#REF!</v>
      </c>
      <c r="I169" s="442" t="e">
        <f t="shared" si="14"/>
        <v>#REF!</v>
      </c>
      <c r="J169" s="442" t="e">
        <f>ROUND((#REF!+#REF!)*(1+$H$7)*1.2,0)</f>
        <v>#REF!</v>
      </c>
      <c r="K169" s="442">
        <v>207</v>
      </c>
      <c r="L169" s="78" t="e">
        <f t="shared" si="0"/>
        <v>#REF!</v>
      </c>
    </row>
    <row r="170" spans="1:12" hidden="1" x14ac:dyDescent="0.25">
      <c r="A170" s="446" t="s">
        <v>483</v>
      </c>
      <c r="B170" s="446" t="s">
        <v>249</v>
      </c>
      <c r="C170" s="446"/>
      <c r="D170" s="446"/>
      <c r="E170" s="444" t="s">
        <v>74</v>
      </c>
      <c r="F170" s="443" t="s">
        <v>184</v>
      </c>
      <c r="G170" s="454" t="s">
        <v>162</v>
      </c>
      <c r="H170" s="442" t="e">
        <f t="shared" si="15"/>
        <v>#REF!</v>
      </c>
      <c r="I170" s="442" t="e">
        <f t="shared" si="14"/>
        <v>#REF!</v>
      </c>
      <c r="J170" s="442" t="e">
        <f>ROUND((#REF!+#REF!)*(1+$H$7)*1.2,0)</f>
        <v>#REF!</v>
      </c>
      <c r="K170" s="442">
        <v>277</v>
      </c>
      <c r="L170" s="78" t="e">
        <f t="shared" si="0"/>
        <v>#REF!</v>
      </c>
    </row>
    <row r="171" spans="1:12" hidden="1" x14ac:dyDescent="0.25">
      <c r="A171" s="446" t="s">
        <v>484</v>
      </c>
      <c r="B171" s="446" t="s">
        <v>250</v>
      </c>
      <c r="C171" s="446"/>
      <c r="D171" s="446"/>
      <c r="E171" s="444" t="s">
        <v>75</v>
      </c>
      <c r="F171" s="443" t="s">
        <v>184</v>
      </c>
      <c r="G171" s="454" t="s">
        <v>162</v>
      </c>
      <c r="H171" s="442" t="e">
        <f t="shared" si="15"/>
        <v>#REF!</v>
      </c>
      <c r="I171" s="442" t="e">
        <f t="shared" si="14"/>
        <v>#REF!</v>
      </c>
      <c r="J171" s="442" t="e">
        <f>ROUND((#REF!+#REF!)*(1+$H$7)*1.2,0)</f>
        <v>#REF!</v>
      </c>
      <c r="K171" s="442">
        <v>99</v>
      </c>
      <c r="L171" s="78" t="e">
        <f t="shared" si="0"/>
        <v>#REF!</v>
      </c>
    </row>
    <row r="172" spans="1:12" hidden="1" x14ac:dyDescent="0.25">
      <c r="A172" s="446" t="s">
        <v>485</v>
      </c>
      <c r="B172" s="446" t="s">
        <v>251</v>
      </c>
      <c r="C172" s="446"/>
      <c r="D172" s="446"/>
      <c r="E172" s="444" t="s">
        <v>76</v>
      </c>
      <c r="F172" s="443" t="s">
        <v>245</v>
      </c>
      <c r="G172" s="454" t="s">
        <v>162</v>
      </c>
      <c r="H172" s="442" t="e">
        <f t="shared" si="15"/>
        <v>#REF!</v>
      </c>
      <c r="I172" s="442" t="e">
        <f t="shared" si="14"/>
        <v>#REF!</v>
      </c>
      <c r="J172" s="442" t="e">
        <f>ROUND((#REF!+#REF!)*(1+$H$7)*1.2,0)</f>
        <v>#REF!</v>
      </c>
      <c r="K172" s="442">
        <v>211</v>
      </c>
      <c r="L172" s="78" t="e">
        <f t="shared" ref="L172:L240" si="16">J172/K172*100-100</f>
        <v>#REF!</v>
      </c>
    </row>
    <row r="173" spans="1:12" hidden="1" x14ac:dyDescent="0.25">
      <c r="A173" s="446" t="s">
        <v>486</v>
      </c>
      <c r="B173" s="446" t="s">
        <v>27</v>
      </c>
      <c r="C173" s="446"/>
      <c r="D173" s="446"/>
      <c r="E173" s="444" t="s">
        <v>417</v>
      </c>
      <c r="F173" s="443" t="s">
        <v>418</v>
      </c>
      <c r="G173" s="454" t="s">
        <v>162</v>
      </c>
      <c r="H173" s="442" t="e">
        <f t="shared" si="15"/>
        <v>#REF!</v>
      </c>
      <c r="I173" s="442" t="e">
        <f t="shared" si="14"/>
        <v>#REF!</v>
      </c>
      <c r="J173" s="442" t="e">
        <f>ROUND((#REF!+#REF!)*(1+$H$7)*1.2,0)</f>
        <v>#REF!</v>
      </c>
      <c r="K173" s="442">
        <v>211</v>
      </c>
      <c r="L173" s="78"/>
    </row>
    <row r="174" spans="1:12" hidden="1" x14ac:dyDescent="0.25">
      <c r="A174" s="446" t="s">
        <v>487</v>
      </c>
      <c r="B174" s="446" t="s">
        <v>252</v>
      </c>
      <c r="C174" s="446"/>
      <c r="D174" s="446"/>
      <c r="E174" s="444" t="s">
        <v>77</v>
      </c>
      <c r="F174" s="443" t="s">
        <v>253</v>
      </c>
      <c r="G174" s="454" t="s">
        <v>162</v>
      </c>
      <c r="H174" s="442" t="e">
        <f t="shared" si="15"/>
        <v>#REF!</v>
      </c>
      <c r="I174" s="442" t="e">
        <f t="shared" si="14"/>
        <v>#REF!</v>
      </c>
      <c r="J174" s="442" t="e">
        <f>ROUND((#REF!+#REF!)*(1+$H$7)*1.2,0)</f>
        <v>#REF!</v>
      </c>
      <c r="K174" s="442">
        <v>136</v>
      </c>
      <c r="L174" s="78" t="e">
        <f t="shared" si="16"/>
        <v>#REF!</v>
      </c>
    </row>
    <row r="175" spans="1:12" hidden="1" x14ac:dyDescent="0.25">
      <c r="A175" s="446" t="s">
        <v>488</v>
      </c>
      <c r="B175" s="446" t="s">
        <v>27</v>
      </c>
      <c r="C175" s="446"/>
      <c r="D175" s="446"/>
      <c r="E175" s="444" t="s">
        <v>416</v>
      </c>
      <c r="F175" s="443" t="s">
        <v>190</v>
      </c>
      <c r="G175" s="454" t="s">
        <v>162</v>
      </c>
      <c r="H175" s="442" t="e">
        <f t="shared" si="15"/>
        <v>#REF!</v>
      </c>
      <c r="I175" s="442" t="e">
        <f t="shared" si="14"/>
        <v>#REF!</v>
      </c>
      <c r="J175" s="442" t="e">
        <f>ROUND((#REF!+#REF!)*(1+$H$7)*1.2,0)</f>
        <v>#REF!</v>
      </c>
      <c r="K175" s="442">
        <v>136</v>
      </c>
      <c r="L175" s="78"/>
    </row>
    <row r="176" spans="1:12" hidden="1" x14ac:dyDescent="0.25">
      <c r="A176" s="446" t="s">
        <v>489</v>
      </c>
      <c r="B176" s="446" t="s">
        <v>254</v>
      </c>
      <c r="C176" s="446"/>
      <c r="D176" s="446"/>
      <c r="E176" s="444" t="s">
        <v>78</v>
      </c>
      <c r="F176" s="443" t="s">
        <v>186</v>
      </c>
      <c r="G176" s="454" t="s">
        <v>162</v>
      </c>
      <c r="H176" s="442" t="e">
        <f t="shared" si="15"/>
        <v>#REF!</v>
      </c>
      <c r="I176" s="442" t="e">
        <f t="shared" si="14"/>
        <v>#REF!</v>
      </c>
      <c r="J176" s="442" t="e">
        <f>ROUND((#REF!+#REF!)*(1+$H$7)*1.2,0)</f>
        <v>#REF!</v>
      </c>
      <c r="K176" s="442">
        <v>207</v>
      </c>
      <c r="L176" s="78" t="e">
        <f t="shared" si="16"/>
        <v>#REF!</v>
      </c>
    </row>
    <row r="177" spans="1:12" hidden="1" x14ac:dyDescent="0.25">
      <c r="A177" s="446" t="s">
        <v>490</v>
      </c>
      <c r="B177" s="446" t="s">
        <v>255</v>
      </c>
      <c r="C177" s="446"/>
      <c r="D177" s="446"/>
      <c r="E177" s="444" t="s">
        <v>79</v>
      </c>
      <c r="F177" s="443" t="s">
        <v>186</v>
      </c>
      <c r="G177" s="454" t="s">
        <v>162</v>
      </c>
      <c r="H177" s="442" t="e">
        <f t="shared" si="15"/>
        <v>#REF!</v>
      </c>
      <c r="I177" s="442" t="e">
        <f t="shared" si="14"/>
        <v>#REF!</v>
      </c>
      <c r="J177" s="442" t="e">
        <f>ROUND((#REF!+#REF!)*(1+$H$7)*1.2,0)</f>
        <v>#REF!</v>
      </c>
      <c r="K177" s="442">
        <v>136</v>
      </c>
      <c r="L177" s="78" t="e">
        <f t="shared" si="16"/>
        <v>#REF!</v>
      </c>
    </row>
    <row r="178" spans="1:12" ht="25.5" hidden="1" x14ac:dyDescent="0.25">
      <c r="A178" s="446" t="s">
        <v>491</v>
      </c>
      <c r="B178" s="446" t="s">
        <v>256</v>
      </c>
      <c r="C178" s="446"/>
      <c r="D178" s="446"/>
      <c r="E178" s="444" t="s">
        <v>80</v>
      </c>
      <c r="F178" s="443" t="s">
        <v>186</v>
      </c>
      <c r="G178" s="454" t="s">
        <v>162</v>
      </c>
      <c r="H178" s="442" t="e">
        <f t="shared" si="15"/>
        <v>#REF!</v>
      </c>
      <c r="I178" s="442" t="e">
        <f t="shared" si="14"/>
        <v>#REF!</v>
      </c>
      <c r="J178" s="442" t="e">
        <f>ROUND((#REF!+#REF!)*(1+$H$7)*1.2,0)</f>
        <v>#REF!</v>
      </c>
      <c r="K178" s="442">
        <v>413</v>
      </c>
      <c r="L178" s="78" t="e">
        <f t="shared" si="16"/>
        <v>#REF!</v>
      </c>
    </row>
    <row r="179" spans="1:12" hidden="1" x14ac:dyDescent="0.25">
      <c r="A179" s="446" t="s">
        <v>492</v>
      </c>
      <c r="B179" s="446" t="s">
        <v>257</v>
      </c>
      <c r="C179" s="446"/>
      <c r="D179" s="446"/>
      <c r="E179" s="444" t="s">
        <v>81</v>
      </c>
      <c r="F179" s="443" t="s">
        <v>258</v>
      </c>
      <c r="G179" s="454" t="s">
        <v>162</v>
      </c>
      <c r="H179" s="442" t="e">
        <f t="shared" si="15"/>
        <v>#REF!</v>
      </c>
      <c r="I179" s="442" t="e">
        <f t="shared" si="14"/>
        <v>#REF!</v>
      </c>
      <c r="J179" s="442" t="e">
        <f>ROUND((#REF!+#REF!)*(1+$H$7)*1.2,0)</f>
        <v>#REF!</v>
      </c>
      <c r="K179" s="442">
        <v>103</v>
      </c>
      <c r="L179" s="78" t="e">
        <f t="shared" si="16"/>
        <v>#REF!</v>
      </c>
    </row>
    <row r="180" spans="1:12" hidden="1" x14ac:dyDescent="0.25">
      <c r="A180" s="446" t="s">
        <v>493</v>
      </c>
      <c r="B180" s="446" t="s">
        <v>259</v>
      </c>
      <c r="C180" s="446"/>
      <c r="D180" s="446"/>
      <c r="E180" s="444" t="s">
        <v>82</v>
      </c>
      <c r="F180" s="443" t="s">
        <v>260</v>
      </c>
      <c r="G180" s="454" t="s">
        <v>162</v>
      </c>
      <c r="H180" s="442" t="e">
        <f t="shared" si="15"/>
        <v>#REF!</v>
      </c>
      <c r="I180" s="442" t="e">
        <f t="shared" si="14"/>
        <v>#REF!</v>
      </c>
      <c r="J180" s="442" t="e">
        <f>ROUND((#REF!+#REF!)*(1+$H$7)*1.2,0)</f>
        <v>#REF!</v>
      </c>
      <c r="K180" s="442">
        <v>41</v>
      </c>
      <c r="L180" s="78" t="e">
        <f t="shared" si="16"/>
        <v>#REF!</v>
      </c>
    </row>
    <row r="181" spans="1:12" hidden="1" x14ac:dyDescent="0.25">
      <c r="A181" s="446" t="s">
        <v>494</v>
      </c>
      <c r="B181" s="446" t="s">
        <v>262</v>
      </c>
      <c r="C181" s="446"/>
      <c r="D181" s="446"/>
      <c r="E181" s="444" t="s">
        <v>83</v>
      </c>
      <c r="F181" s="443" t="s">
        <v>261</v>
      </c>
      <c r="G181" s="454" t="s">
        <v>162</v>
      </c>
      <c r="H181" s="442" t="e">
        <f t="shared" si="15"/>
        <v>#REF!</v>
      </c>
      <c r="I181" s="442" t="e">
        <f t="shared" si="14"/>
        <v>#REF!</v>
      </c>
      <c r="J181" s="442" t="e">
        <f>ROUND((#REF!+#REF!)*(1+$H$7)*1.2,0)</f>
        <v>#REF!</v>
      </c>
      <c r="K181" s="442">
        <v>215</v>
      </c>
      <c r="L181" s="78" t="e">
        <f t="shared" si="16"/>
        <v>#REF!</v>
      </c>
    </row>
    <row r="182" spans="1:12" hidden="1" x14ac:dyDescent="0.25">
      <c r="A182" s="446" t="s">
        <v>495</v>
      </c>
      <c r="B182" s="446" t="s">
        <v>263</v>
      </c>
      <c r="C182" s="446"/>
      <c r="D182" s="446"/>
      <c r="E182" s="444" t="s">
        <v>84</v>
      </c>
      <c r="F182" s="443" t="s">
        <v>261</v>
      </c>
      <c r="G182" s="454" t="s">
        <v>162</v>
      </c>
      <c r="H182" s="442" t="e">
        <f t="shared" si="15"/>
        <v>#REF!</v>
      </c>
      <c r="I182" s="442" t="e">
        <f t="shared" si="14"/>
        <v>#REF!</v>
      </c>
      <c r="J182" s="442" t="e">
        <f>ROUND((#REF!+#REF!)*(1+$H$7)*1.2,0)</f>
        <v>#REF!</v>
      </c>
      <c r="K182" s="442">
        <v>132</v>
      </c>
      <c r="L182" s="78" t="e">
        <f t="shared" si="16"/>
        <v>#REF!</v>
      </c>
    </row>
    <row r="183" spans="1:12" hidden="1" x14ac:dyDescent="0.25">
      <c r="A183" s="446" t="s">
        <v>496</v>
      </c>
      <c r="B183" s="446" t="s">
        <v>264</v>
      </c>
      <c r="C183" s="446"/>
      <c r="D183" s="446"/>
      <c r="E183" s="444" t="s">
        <v>85</v>
      </c>
      <c r="F183" s="443" t="s">
        <v>198</v>
      </c>
      <c r="G183" s="454" t="s">
        <v>162</v>
      </c>
      <c r="H183" s="442" t="e">
        <f t="shared" si="15"/>
        <v>#REF!</v>
      </c>
      <c r="I183" s="442" t="e">
        <f t="shared" si="14"/>
        <v>#REF!</v>
      </c>
      <c r="J183" s="442" t="e">
        <f>ROUND((#REF!+#REF!)*(1+$H$7)*1.2,0)</f>
        <v>#REF!</v>
      </c>
      <c r="K183" s="442">
        <v>165</v>
      </c>
      <c r="L183" s="78" t="e">
        <f t="shared" si="16"/>
        <v>#REF!</v>
      </c>
    </row>
    <row r="184" spans="1:12" hidden="1" x14ac:dyDescent="0.25">
      <c r="A184" s="446" t="s">
        <v>497</v>
      </c>
      <c r="B184" s="446" t="s">
        <v>265</v>
      </c>
      <c r="C184" s="446"/>
      <c r="D184" s="446"/>
      <c r="E184" s="444" t="s">
        <v>86</v>
      </c>
      <c r="F184" s="443" t="s">
        <v>198</v>
      </c>
      <c r="G184" s="454" t="s">
        <v>162</v>
      </c>
      <c r="H184" s="442" t="e">
        <f t="shared" si="15"/>
        <v>#REF!</v>
      </c>
      <c r="I184" s="442" t="e">
        <f t="shared" si="14"/>
        <v>#REF!</v>
      </c>
      <c r="J184" s="442" t="e">
        <f>ROUND((#REF!+#REF!)*(1+$H$7)*1.2,0)</f>
        <v>#REF!</v>
      </c>
      <c r="K184" s="442">
        <v>227</v>
      </c>
      <c r="L184" s="78" t="e">
        <f t="shared" si="16"/>
        <v>#REF!</v>
      </c>
    </row>
    <row r="185" spans="1:12" ht="25.5" hidden="1" x14ac:dyDescent="0.25">
      <c r="A185" s="446" t="s">
        <v>498</v>
      </c>
      <c r="B185" s="446" t="s">
        <v>266</v>
      </c>
      <c r="C185" s="446"/>
      <c r="D185" s="446"/>
      <c r="E185" s="444" t="s">
        <v>87</v>
      </c>
      <c r="F185" s="443" t="s">
        <v>198</v>
      </c>
      <c r="G185" s="454" t="s">
        <v>162</v>
      </c>
      <c r="H185" s="442" t="e">
        <f t="shared" si="15"/>
        <v>#REF!</v>
      </c>
      <c r="I185" s="442" t="e">
        <f t="shared" si="14"/>
        <v>#REF!</v>
      </c>
      <c r="J185" s="442" t="e">
        <f>ROUND((#REF!+#REF!)*(1+$H$7)*1.2,0)</f>
        <v>#REF!</v>
      </c>
      <c r="K185" s="442">
        <v>310</v>
      </c>
      <c r="L185" s="78" t="e">
        <f t="shared" si="16"/>
        <v>#REF!</v>
      </c>
    </row>
    <row r="186" spans="1:12" ht="17.25" hidden="1" customHeight="1" x14ac:dyDescent="0.25">
      <c r="A186" s="446" t="s">
        <v>499</v>
      </c>
      <c r="B186" s="446" t="s">
        <v>267</v>
      </c>
      <c r="C186" s="446"/>
      <c r="D186" s="446"/>
      <c r="E186" s="444" t="s">
        <v>88</v>
      </c>
      <c r="F186" s="443" t="s">
        <v>177</v>
      </c>
      <c r="G186" s="454" t="s">
        <v>162</v>
      </c>
      <c r="H186" s="442" t="e">
        <f t="shared" si="15"/>
        <v>#REF!</v>
      </c>
      <c r="I186" s="442" t="e">
        <f t="shared" si="14"/>
        <v>#REF!</v>
      </c>
      <c r="J186" s="442" t="e">
        <f>ROUND((#REF!+#REF!)*(1+$H$7)*1.2,0)</f>
        <v>#REF!</v>
      </c>
      <c r="K186" s="442">
        <v>331</v>
      </c>
      <c r="L186" s="78" t="e">
        <f t="shared" si="16"/>
        <v>#REF!</v>
      </c>
    </row>
    <row r="187" spans="1:12" ht="31.7" hidden="1" customHeight="1" x14ac:dyDescent="0.25">
      <c r="A187" s="446" t="s">
        <v>500</v>
      </c>
      <c r="B187" s="446" t="s">
        <v>268</v>
      </c>
      <c r="C187" s="446"/>
      <c r="D187" s="446"/>
      <c r="E187" s="444" t="s">
        <v>89</v>
      </c>
      <c r="F187" s="443" t="s">
        <v>198</v>
      </c>
      <c r="G187" s="454" t="s">
        <v>162</v>
      </c>
      <c r="H187" s="442" t="e">
        <f t="shared" si="15"/>
        <v>#REF!</v>
      </c>
      <c r="I187" s="442" t="e">
        <f t="shared" si="14"/>
        <v>#REF!</v>
      </c>
      <c r="J187" s="442" t="e">
        <f>ROUND((#REF!+#REF!)*(1+$H$7)*1.2,0)</f>
        <v>#REF!</v>
      </c>
      <c r="K187" s="442">
        <v>413</v>
      </c>
      <c r="L187" s="78" t="e">
        <f t="shared" si="16"/>
        <v>#REF!</v>
      </c>
    </row>
    <row r="188" spans="1:12" ht="30.75" hidden="1" customHeight="1" x14ac:dyDescent="0.25">
      <c r="A188" s="446" t="s">
        <v>501</v>
      </c>
      <c r="B188" s="446" t="s">
        <v>269</v>
      </c>
      <c r="C188" s="446"/>
      <c r="D188" s="446"/>
      <c r="E188" s="444" t="s">
        <v>90</v>
      </c>
      <c r="F188" s="443" t="s">
        <v>198</v>
      </c>
      <c r="G188" s="454" t="s">
        <v>162</v>
      </c>
      <c r="H188" s="442" t="e">
        <f t="shared" si="15"/>
        <v>#REF!</v>
      </c>
      <c r="I188" s="442" t="e">
        <f t="shared" si="14"/>
        <v>#REF!</v>
      </c>
      <c r="J188" s="442" t="e">
        <f>ROUND((#REF!+#REF!)*(1+$H$7)*1.2,0)</f>
        <v>#REF!</v>
      </c>
      <c r="K188" s="442">
        <v>103</v>
      </c>
      <c r="L188" s="78" t="e">
        <f t="shared" si="16"/>
        <v>#REF!</v>
      </c>
    </row>
    <row r="189" spans="1:12" ht="21.75" hidden="1" customHeight="1" x14ac:dyDescent="0.25">
      <c r="A189" s="446" t="s">
        <v>502</v>
      </c>
      <c r="B189" s="446" t="s">
        <v>270</v>
      </c>
      <c r="C189" s="446"/>
      <c r="D189" s="446"/>
      <c r="E189" s="444" t="s">
        <v>91</v>
      </c>
      <c r="F189" s="443" t="s">
        <v>198</v>
      </c>
      <c r="G189" s="454" t="s">
        <v>162</v>
      </c>
      <c r="H189" s="442" t="e">
        <f t="shared" si="15"/>
        <v>#REF!</v>
      </c>
      <c r="I189" s="442" t="e">
        <f t="shared" si="14"/>
        <v>#REF!</v>
      </c>
      <c r="J189" s="442" t="e">
        <f>ROUND((#REF!+#REF!)*(1+$H$7)*1.2,0)</f>
        <v>#REF!</v>
      </c>
      <c r="K189" s="442">
        <v>103</v>
      </c>
      <c r="L189" s="78" t="e">
        <f t="shared" si="16"/>
        <v>#REF!</v>
      </c>
    </row>
    <row r="190" spans="1:12" ht="25.5" hidden="1" x14ac:dyDescent="0.25">
      <c r="A190" s="446" t="s">
        <v>503</v>
      </c>
      <c r="B190" s="446" t="s">
        <v>271</v>
      </c>
      <c r="C190" s="446"/>
      <c r="D190" s="446"/>
      <c r="E190" s="459" t="s">
        <v>92</v>
      </c>
      <c r="F190" s="443" t="s">
        <v>198</v>
      </c>
      <c r="G190" s="454" t="s">
        <v>162</v>
      </c>
      <c r="H190" s="442" t="e">
        <f t="shared" si="15"/>
        <v>#REF!</v>
      </c>
      <c r="I190" s="442" t="e">
        <f t="shared" si="14"/>
        <v>#REF!</v>
      </c>
      <c r="J190" s="442" t="e">
        <f>ROUND((#REF!+#REF!)*(1+$H$7)*1.2,0)</f>
        <v>#REF!</v>
      </c>
      <c r="K190" s="442">
        <v>103</v>
      </c>
      <c r="L190" s="78" t="e">
        <f t="shared" si="16"/>
        <v>#REF!</v>
      </c>
    </row>
    <row r="191" spans="1:12" hidden="1" x14ac:dyDescent="0.25">
      <c r="A191" s="446" t="s">
        <v>504</v>
      </c>
      <c r="B191" s="446" t="s">
        <v>272</v>
      </c>
      <c r="C191" s="446"/>
      <c r="D191" s="446"/>
      <c r="E191" s="444" t="s">
        <v>93</v>
      </c>
      <c r="F191" s="443" t="s">
        <v>198</v>
      </c>
      <c r="G191" s="454" t="s">
        <v>162</v>
      </c>
      <c r="H191" s="442" t="e">
        <f t="shared" si="15"/>
        <v>#REF!</v>
      </c>
      <c r="I191" s="442" t="e">
        <f t="shared" si="14"/>
        <v>#REF!</v>
      </c>
      <c r="J191" s="442" t="e">
        <f>ROUND((#REF!+#REF!)*(1+$H$7)*1.2,0)</f>
        <v>#REF!</v>
      </c>
      <c r="K191" s="442">
        <v>207</v>
      </c>
      <c r="L191" s="78" t="e">
        <f t="shared" si="16"/>
        <v>#REF!</v>
      </c>
    </row>
    <row r="192" spans="1:12" hidden="1" x14ac:dyDescent="0.25">
      <c r="A192" s="446" t="s">
        <v>505</v>
      </c>
      <c r="B192" s="446" t="s">
        <v>273</v>
      </c>
      <c r="C192" s="446"/>
      <c r="D192" s="446"/>
      <c r="E192" s="444" t="s">
        <v>94</v>
      </c>
      <c r="F192" s="443" t="s">
        <v>198</v>
      </c>
      <c r="G192" s="454" t="s">
        <v>162</v>
      </c>
      <c r="H192" s="442" t="e">
        <f t="shared" si="15"/>
        <v>#REF!</v>
      </c>
      <c r="I192" s="442" t="e">
        <f t="shared" si="14"/>
        <v>#REF!</v>
      </c>
      <c r="J192" s="442" t="e">
        <f>ROUND((#REF!+#REF!)*(1+$H$7)*1.2,0)</f>
        <v>#REF!</v>
      </c>
      <c r="K192" s="442">
        <v>376</v>
      </c>
      <c r="L192" s="78" t="e">
        <f t="shared" si="16"/>
        <v>#REF!</v>
      </c>
    </row>
    <row r="193" spans="1:12" hidden="1" x14ac:dyDescent="0.25">
      <c r="A193" s="446" t="s">
        <v>506</v>
      </c>
      <c r="B193" s="446" t="s">
        <v>274</v>
      </c>
      <c r="C193" s="446"/>
      <c r="D193" s="446"/>
      <c r="E193" s="444" t="s">
        <v>95</v>
      </c>
      <c r="F193" s="443" t="s">
        <v>198</v>
      </c>
      <c r="G193" s="454" t="s">
        <v>162</v>
      </c>
      <c r="H193" s="442" t="e">
        <f t="shared" si="15"/>
        <v>#REF!</v>
      </c>
      <c r="I193" s="442" t="e">
        <f t="shared" si="14"/>
        <v>#REF!</v>
      </c>
      <c r="J193" s="442" t="e">
        <f>ROUND((#REF!+#REF!)*(1+$H$7)*1.2,0)</f>
        <v>#REF!</v>
      </c>
      <c r="K193" s="442">
        <v>298</v>
      </c>
      <c r="L193" s="78" t="e">
        <f t="shared" si="16"/>
        <v>#REF!</v>
      </c>
    </row>
    <row r="194" spans="1:12" ht="25.5" hidden="1" x14ac:dyDescent="0.25">
      <c r="A194" s="446" t="s">
        <v>507</v>
      </c>
      <c r="B194" s="446" t="s">
        <v>275</v>
      </c>
      <c r="C194" s="446"/>
      <c r="D194" s="446"/>
      <c r="E194" s="444" t="s">
        <v>96</v>
      </c>
      <c r="F194" s="443" t="s">
        <v>198</v>
      </c>
      <c r="G194" s="454" t="s">
        <v>162</v>
      </c>
      <c r="H194" s="442" t="e">
        <f t="shared" si="15"/>
        <v>#REF!</v>
      </c>
      <c r="I194" s="442" t="e">
        <f t="shared" si="14"/>
        <v>#REF!</v>
      </c>
      <c r="J194" s="442" t="e">
        <f>ROUND((#REF!+#REF!)*(1+$H$7)*1.2,0)</f>
        <v>#REF!</v>
      </c>
      <c r="K194" s="442">
        <v>174</v>
      </c>
      <c r="L194" s="78" t="e">
        <f t="shared" si="16"/>
        <v>#REF!</v>
      </c>
    </row>
    <row r="195" spans="1:12" hidden="1" x14ac:dyDescent="0.25">
      <c r="A195" s="446" t="s">
        <v>508</v>
      </c>
      <c r="B195" s="446" t="s">
        <v>276</v>
      </c>
      <c r="C195" s="446"/>
      <c r="D195" s="446"/>
      <c r="E195" s="444" t="s">
        <v>97</v>
      </c>
      <c r="F195" s="443" t="s">
        <v>198</v>
      </c>
      <c r="G195" s="454" t="s">
        <v>162</v>
      </c>
      <c r="H195" s="442" t="e">
        <f t="shared" si="15"/>
        <v>#REF!</v>
      </c>
      <c r="I195" s="442" t="e">
        <f t="shared" si="14"/>
        <v>#REF!</v>
      </c>
      <c r="J195" s="442" t="e">
        <f>ROUND((#REF!+#REF!)*(1+$H$7)*1.2,0)</f>
        <v>#REF!</v>
      </c>
      <c r="K195" s="442">
        <v>827</v>
      </c>
      <c r="L195" s="78" t="e">
        <f t="shared" si="16"/>
        <v>#REF!</v>
      </c>
    </row>
    <row r="196" spans="1:12" hidden="1" x14ac:dyDescent="0.25">
      <c r="A196" s="446" t="s">
        <v>509</v>
      </c>
      <c r="B196" s="446" t="s">
        <v>277</v>
      </c>
      <c r="C196" s="446"/>
      <c r="D196" s="446"/>
      <c r="E196" s="444" t="s">
        <v>98</v>
      </c>
      <c r="F196" s="443" t="s">
        <v>198</v>
      </c>
      <c r="G196" s="454" t="s">
        <v>162</v>
      </c>
      <c r="H196" s="442" t="e">
        <f t="shared" si="15"/>
        <v>#REF!</v>
      </c>
      <c r="I196" s="442" t="e">
        <f t="shared" si="14"/>
        <v>#REF!</v>
      </c>
      <c r="J196" s="442" t="e">
        <f>ROUND((#REF!+#REF!)*(1+$H$7)*1.2,0)</f>
        <v>#REF!</v>
      </c>
      <c r="K196" s="442">
        <v>145</v>
      </c>
      <c r="L196" s="78" t="e">
        <f t="shared" si="16"/>
        <v>#REF!</v>
      </c>
    </row>
    <row r="197" spans="1:12" hidden="1" x14ac:dyDescent="0.25">
      <c r="A197" s="446" t="s">
        <v>510</v>
      </c>
      <c r="B197" s="446" t="s">
        <v>278</v>
      </c>
      <c r="C197" s="446"/>
      <c r="D197" s="446"/>
      <c r="E197" s="444" t="s">
        <v>99</v>
      </c>
      <c r="F197" s="443" t="s">
        <v>198</v>
      </c>
      <c r="G197" s="454" t="s">
        <v>162</v>
      </c>
      <c r="H197" s="442" t="e">
        <f t="shared" si="15"/>
        <v>#REF!</v>
      </c>
      <c r="I197" s="442" t="e">
        <f t="shared" si="14"/>
        <v>#REF!</v>
      </c>
      <c r="J197" s="442" t="e">
        <f>ROUND((#REF!+#REF!)*(1+$H$7)*1.2,0)</f>
        <v>#REF!</v>
      </c>
      <c r="K197" s="442">
        <v>269</v>
      </c>
      <c r="L197" s="78" t="e">
        <f t="shared" si="16"/>
        <v>#REF!</v>
      </c>
    </row>
    <row r="198" spans="1:12" hidden="1" x14ac:dyDescent="0.25">
      <c r="A198" s="446" t="s">
        <v>511</v>
      </c>
      <c r="B198" s="446" t="s">
        <v>279</v>
      </c>
      <c r="C198" s="446"/>
      <c r="D198" s="446"/>
      <c r="E198" s="459" t="s">
        <v>100</v>
      </c>
      <c r="F198" s="443" t="s">
        <v>198</v>
      </c>
      <c r="G198" s="454" t="s">
        <v>162</v>
      </c>
      <c r="H198" s="442" t="e">
        <f t="shared" si="15"/>
        <v>#REF!</v>
      </c>
      <c r="I198" s="442" t="e">
        <f t="shared" si="14"/>
        <v>#REF!</v>
      </c>
      <c r="J198" s="442" t="e">
        <f>ROUND((#REF!+#REF!)*(1+$H$7)*1.2,0)</f>
        <v>#REF!</v>
      </c>
      <c r="K198" s="442">
        <v>413</v>
      </c>
      <c r="L198" s="78" t="e">
        <f t="shared" si="16"/>
        <v>#REF!</v>
      </c>
    </row>
    <row r="199" spans="1:12" hidden="1" x14ac:dyDescent="0.25">
      <c r="A199" s="446" t="s">
        <v>512</v>
      </c>
      <c r="B199" s="446" t="s">
        <v>280</v>
      </c>
      <c r="C199" s="446"/>
      <c r="D199" s="446"/>
      <c r="E199" s="459" t="s">
        <v>101</v>
      </c>
      <c r="F199" s="443" t="s">
        <v>198</v>
      </c>
      <c r="G199" s="454" t="s">
        <v>162</v>
      </c>
      <c r="H199" s="442" t="e">
        <f t="shared" si="15"/>
        <v>#REF!</v>
      </c>
      <c r="I199" s="442" t="e">
        <f t="shared" si="14"/>
        <v>#REF!</v>
      </c>
      <c r="J199" s="442" t="e">
        <f>ROUND((#REF!+#REF!)*(1+$H$7)*1.2,0)</f>
        <v>#REF!</v>
      </c>
      <c r="K199" s="442">
        <v>273</v>
      </c>
      <c r="L199" s="78" t="e">
        <f t="shared" si="16"/>
        <v>#REF!</v>
      </c>
    </row>
    <row r="200" spans="1:12" hidden="1" x14ac:dyDescent="0.25">
      <c r="A200" s="446" t="s">
        <v>513</v>
      </c>
      <c r="B200" s="446" t="s">
        <v>27</v>
      </c>
      <c r="C200" s="446"/>
      <c r="D200" s="446"/>
      <c r="E200" s="444" t="s">
        <v>102</v>
      </c>
      <c r="F200" s="443" t="s">
        <v>198</v>
      </c>
      <c r="G200" s="454" t="s">
        <v>162</v>
      </c>
      <c r="H200" s="442" t="e">
        <f t="shared" si="15"/>
        <v>#REF!</v>
      </c>
      <c r="I200" s="442" t="e">
        <f t="shared" si="14"/>
        <v>#REF!</v>
      </c>
      <c r="J200" s="442" t="e">
        <f>ROUND((#REF!+#REF!)*(1+$H$7)*1.2,0)</f>
        <v>#REF!</v>
      </c>
      <c r="K200" s="442">
        <v>41</v>
      </c>
      <c r="L200" s="78" t="e">
        <f t="shared" si="16"/>
        <v>#REF!</v>
      </c>
    </row>
    <row r="201" spans="1:12" hidden="1" x14ac:dyDescent="0.25">
      <c r="A201" s="446" t="s">
        <v>514</v>
      </c>
      <c r="B201" s="446" t="s">
        <v>27</v>
      </c>
      <c r="C201" s="446"/>
      <c r="D201" s="446"/>
      <c r="E201" s="444" t="s">
        <v>103</v>
      </c>
      <c r="F201" s="443" t="s">
        <v>198</v>
      </c>
      <c r="G201" s="454" t="s">
        <v>283</v>
      </c>
      <c r="H201" s="442" t="e">
        <f t="shared" si="15"/>
        <v>#REF!</v>
      </c>
      <c r="I201" s="442" t="e">
        <f t="shared" si="14"/>
        <v>#REF!</v>
      </c>
      <c r="J201" s="442" t="e">
        <f>ROUND((#REF!+#REF!)*(1+$H$7)*1.2,0)</f>
        <v>#REF!</v>
      </c>
      <c r="K201" s="442">
        <v>117</v>
      </c>
      <c r="L201" s="78" t="e">
        <f t="shared" si="16"/>
        <v>#REF!</v>
      </c>
    </row>
    <row r="202" spans="1:12" hidden="1" x14ac:dyDescent="0.25">
      <c r="A202" s="446" t="s">
        <v>515</v>
      </c>
      <c r="B202" s="446" t="s">
        <v>27</v>
      </c>
      <c r="C202" s="446"/>
      <c r="D202" s="446"/>
      <c r="E202" s="444" t="s">
        <v>104</v>
      </c>
      <c r="F202" s="443" t="s">
        <v>198</v>
      </c>
      <c r="G202" s="454" t="s">
        <v>283</v>
      </c>
      <c r="H202" s="442" t="e">
        <f t="shared" si="15"/>
        <v>#REF!</v>
      </c>
      <c r="I202" s="442" t="e">
        <f t="shared" si="14"/>
        <v>#REF!</v>
      </c>
      <c r="J202" s="442" t="e">
        <f>ROUND((#REF!+#REF!)*(1+$H$7)*1.2,0)</f>
        <v>#REF!</v>
      </c>
      <c r="K202" s="442">
        <v>117</v>
      </c>
      <c r="L202" s="78" t="e">
        <f t="shared" si="16"/>
        <v>#REF!</v>
      </c>
    </row>
    <row r="203" spans="1:12" ht="25.5" hidden="1" x14ac:dyDescent="0.25">
      <c r="A203" s="446" t="s">
        <v>516</v>
      </c>
      <c r="B203" s="446" t="s">
        <v>27</v>
      </c>
      <c r="C203" s="446"/>
      <c r="D203" s="446"/>
      <c r="E203" s="444" t="s">
        <v>105</v>
      </c>
      <c r="F203" s="443" t="s">
        <v>198</v>
      </c>
      <c r="G203" s="454" t="s">
        <v>283</v>
      </c>
      <c r="H203" s="442" t="e">
        <f t="shared" si="15"/>
        <v>#REF!</v>
      </c>
      <c r="I203" s="442" t="e">
        <f t="shared" si="14"/>
        <v>#REF!</v>
      </c>
      <c r="J203" s="442" t="e">
        <f>ROUND((#REF!+#REF!)*(1+$H$7)*1.2,0)</f>
        <v>#REF!</v>
      </c>
      <c r="K203" s="442">
        <v>154</v>
      </c>
      <c r="L203" s="78" t="e">
        <f t="shared" si="16"/>
        <v>#REF!</v>
      </c>
    </row>
    <row r="204" spans="1:12" ht="22.7" hidden="1" customHeight="1" x14ac:dyDescent="0.25">
      <c r="A204" s="446" t="s">
        <v>517</v>
      </c>
      <c r="B204" s="446" t="s">
        <v>27</v>
      </c>
      <c r="C204" s="446"/>
      <c r="D204" s="446"/>
      <c r="E204" s="444" t="s">
        <v>106</v>
      </c>
      <c r="F204" s="443" t="s">
        <v>198</v>
      </c>
      <c r="G204" s="454" t="s">
        <v>283</v>
      </c>
      <c r="H204" s="442" t="e">
        <f t="shared" si="15"/>
        <v>#REF!</v>
      </c>
      <c r="I204" s="442" t="e">
        <f t="shared" si="14"/>
        <v>#REF!</v>
      </c>
      <c r="J204" s="442" t="e">
        <f>ROUND((#REF!+#REF!)*(1+$H$7)*1.2,0)</f>
        <v>#REF!</v>
      </c>
      <c r="K204" s="442">
        <v>154</v>
      </c>
      <c r="L204" s="78" t="e">
        <f t="shared" si="16"/>
        <v>#REF!</v>
      </c>
    </row>
    <row r="205" spans="1:12" ht="31.7" hidden="1" customHeight="1" x14ac:dyDescent="0.25">
      <c r="A205" s="446" t="s">
        <v>518</v>
      </c>
      <c r="B205" s="446" t="s">
        <v>27</v>
      </c>
      <c r="C205" s="446"/>
      <c r="D205" s="446"/>
      <c r="E205" s="444" t="s">
        <v>107</v>
      </c>
      <c r="F205" s="443" t="s">
        <v>198</v>
      </c>
      <c r="G205" s="454" t="s">
        <v>283</v>
      </c>
      <c r="H205" s="442" t="e">
        <f t="shared" si="15"/>
        <v>#REF!</v>
      </c>
      <c r="I205" s="442" t="e">
        <f t="shared" si="14"/>
        <v>#REF!</v>
      </c>
      <c r="J205" s="442" t="e">
        <f>ROUND((#REF!+#REF!)*(1+$H$7)*1.2,0)</f>
        <v>#REF!</v>
      </c>
      <c r="K205" s="442">
        <v>154</v>
      </c>
      <c r="L205" s="78" t="e">
        <f t="shared" si="16"/>
        <v>#REF!</v>
      </c>
    </row>
    <row r="206" spans="1:12" ht="18" hidden="1" customHeight="1" x14ac:dyDescent="0.25">
      <c r="A206" s="446" t="s">
        <v>519</v>
      </c>
      <c r="B206" s="446" t="s">
        <v>27</v>
      </c>
      <c r="C206" s="446"/>
      <c r="D206" s="446"/>
      <c r="E206" s="444" t="s">
        <v>108</v>
      </c>
      <c r="F206" s="443" t="s">
        <v>198</v>
      </c>
      <c r="G206" s="454" t="s">
        <v>283</v>
      </c>
      <c r="H206" s="442" t="e">
        <f>ROUND(J206/1.2,2)</f>
        <v>#REF!</v>
      </c>
      <c r="I206" s="442" t="e">
        <f t="shared" si="14"/>
        <v>#REF!</v>
      </c>
      <c r="J206" s="442" t="e">
        <f>ROUND((#REF!+#REF!)*(1+$H$7)*1.2,0)</f>
        <v>#REF!</v>
      </c>
      <c r="K206" s="442">
        <v>234</v>
      </c>
      <c r="L206" s="78" t="e">
        <f t="shared" si="16"/>
        <v>#REF!</v>
      </c>
    </row>
    <row r="207" spans="1:12" ht="18" hidden="1" customHeight="1" x14ac:dyDescent="0.25">
      <c r="A207" s="597" t="s">
        <v>281</v>
      </c>
      <c r="B207" s="597"/>
      <c r="C207" s="597"/>
      <c r="D207" s="597"/>
      <c r="E207" s="597"/>
      <c r="F207" s="597"/>
      <c r="G207" s="597"/>
      <c r="H207" s="597"/>
      <c r="I207" s="597"/>
      <c r="J207" s="597"/>
      <c r="K207" s="597"/>
      <c r="L207" s="78"/>
    </row>
    <row r="208" spans="1:12" ht="30.75" hidden="1" customHeight="1" x14ac:dyDescent="0.25">
      <c r="A208" s="446" t="s">
        <v>520</v>
      </c>
      <c r="B208" s="446" t="s">
        <v>282</v>
      </c>
      <c r="C208" s="446"/>
      <c r="D208" s="446"/>
      <c r="E208" s="444" t="s">
        <v>109</v>
      </c>
      <c r="F208" s="443" t="s">
        <v>26</v>
      </c>
      <c r="G208" s="454" t="s">
        <v>161</v>
      </c>
      <c r="H208" s="442" t="e">
        <f>ROUND(J208/1.2,2)</f>
        <v>#REF!</v>
      </c>
      <c r="I208" s="442" t="e">
        <f>ROUND(H208*$I$7,2)</f>
        <v>#REF!</v>
      </c>
      <c r="J208" s="442" t="e">
        <f>ROUND((#REF!+#REF!)*(1+$H$7)*1.2,0)</f>
        <v>#REF!</v>
      </c>
      <c r="K208" s="442">
        <v>339</v>
      </c>
      <c r="L208" s="78" t="e">
        <f t="shared" si="16"/>
        <v>#REF!</v>
      </c>
    </row>
    <row r="209" spans="1:12" ht="26.25" hidden="1" customHeight="1" outlineLevel="1" x14ac:dyDescent="0.25">
      <c r="A209" s="446"/>
      <c r="B209" s="446"/>
      <c r="C209" s="446"/>
      <c r="D209" s="446"/>
      <c r="E209" s="444"/>
      <c r="F209" s="443"/>
      <c r="G209" s="454"/>
      <c r="H209" s="442"/>
      <c r="I209" s="442"/>
      <c r="J209" s="442"/>
      <c r="K209" s="442"/>
      <c r="L209" s="78"/>
    </row>
    <row r="210" spans="1:12" hidden="1" outlineLevel="1" x14ac:dyDescent="0.25">
      <c r="A210" s="446"/>
      <c r="B210" s="446"/>
      <c r="C210" s="446"/>
      <c r="D210" s="446"/>
      <c r="E210" s="444"/>
      <c r="F210" s="443"/>
      <c r="G210" s="454"/>
      <c r="H210" s="442"/>
      <c r="I210" s="442"/>
      <c r="J210" s="442"/>
      <c r="K210" s="442"/>
      <c r="L210" s="78"/>
    </row>
    <row r="211" spans="1:12" hidden="1" outlineLevel="1" x14ac:dyDescent="0.25">
      <c r="A211" s="446"/>
      <c r="B211" s="446"/>
      <c r="C211" s="446"/>
      <c r="D211" s="446"/>
      <c r="E211" s="444"/>
      <c r="F211" s="443"/>
      <c r="G211" s="454"/>
      <c r="H211" s="442"/>
      <c r="I211" s="442"/>
      <c r="J211" s="442"/>
      <c r="K211" s="442"/>
      <c r="L211" s="78"/>
    </row>
    <row r="212" spans="1:12" ht="19.5" hidden="1" customHeight="1" x14ac:dyDescent="0.25">
      <c r="A212" s="590" t="s">
        <v>521</v>
      </c>
      <c r="B212" s="590" t="s">
        <v>284</v>
      </c>
      <c r="C212" s="446"/>
      <c r="D212" s="446"/>
      <c r="E212" s="589" t="s">
        <v>373</v>
      </c>
      <c r="F212" s="592" t="s">
        <v>285</v>
      </c>
      <c r="G212" s="454" t="s">
        <v>161</v>
      </c>
      <c r="H212" s="596" t="e">
        <f>ROUND(J212/1.2,2)</f>
        <v>#REF!</v>
      </c>
      <c r="I212" s="596" t="e">
        <f>ROUND(H212*$I$7,2)</f>
        <v>#REF!</v>
      </c>
      <c r="J212" s="596" t="e">
        <f>ROUND((#REF!+#REF!)*(1+$H$7)*1.2,0)</f>
        <v>#REF!</v>
      </c>
      <c r="K212" s="596">
        <v>1669</v>
      </c>
      <c r="L212" s="601" t="e">
        <f t="shared" si="16"/>
        <v>#REF!</v>
      </c>
    </row>
    <row r="213" spans="1:12" ht="20.25" hidden="1" customHeight="1" x14ac:dyDescent="0.25">
      <c r="A213" s="590"/>
      <c r="B213" s="590"/>
      <c r="C213" s="446"/>
      <c r="D213" s="446"/>
      <c r="E213" s="589"/>
      <c r="F213" s="592"/>
      <c r="G213" s="454" t="s">
        <v>166</v>
      </c>
      <c r="H213" s="596"/>
      <c r="I213" s="596"/>
      <c r="J213" s="596"/>
      <c r="K213" s="596"/>
      <c r="L213" s="601"/>
    </row>
    <row r="214" spans="1:12" ht="15.75" hidden="1" customHeight="1" outlineLevel="1" x14ac:dyDescent="0.25">
      <c r="A214" s="446"/>
      <c r="B214" s="446"/>
      <c r="C214" s="446"/>
      <c r="D214" s="446"/>
      <c r="E214" s="444"/>
      <c r="F214" s="443"/>
      <c r="G214" s="454"/>
      <c r="H214" s="442"/>
      <c r="I214" s="442"/>
      <c r="J214" s="442"/>
      <c r="K214" s="442"/>
      <c r="L214" s="441"/>
    </row>
    <row r="215" spans="1:12" ht="15.75" hidden="1" customHeight="1" outlineLevel="1" x14ac:dyDescent="0.25">
      <c r="A215" s="446"/>
      <c r="B215" s="446"/>
      <c r="C215" s="446"/>
      <c r="D215" s="446"/>
      <c r="E215" s="444"/>
      <c r="F215" s="443"/>
      <c r="G215" s="454"/>
      <c r="H215" s="442"/>
      <c r="I215" s="442"/>
      <c r="J215" s="442"/>
      <c r="K215" s="442"/>
      <c r="L215" s="441"/>
    </row>
    <row r="216" spans="1:12" ht="36" hidden="1" customHeight="1" outlineLevel="1" x14ac:dyDescent="0.25">
      <c r="A216" s="446"/>
      <c r="B216" s="446"/>
      <c r="C216" s="446"/>
      <c r="D216" s="446"/>
      <c r="E216" s="444"/>
      <c r="F216" s="443"/>
      <c r="G216" s="454"/>
      <c r="H216" s="442"/>
      <c r="I216" s="442"/>
      <c r="J216" s="442"/>
      <c r="K216" s="442"/>
      <c r="L216" s="441"/>
    </row>
    <row r="217" spans="1:12" hidden="1" outlineLevel="1" x14ac:dyDescent="0.25">
      <c r="A217" s="446"/>
      <c r="B217" s="446"/>
      <c r="C217" s="446"/>
      <c r="D217" s="446"/>
      <c r="E217" s="444"/>
      <c r="F217" s="443"/>
      <c r="G217" s="454"/>
      <c r="H217" s="442"/>
      <c r="I217" s="442"/>
      <c r="J217" s="442"/>
      <c r="K217" s="442"/>
      <c r="L217" s="441"/>
    </row>
    <row r="218" spans="1:12" hidden="1" outlineLevel="1" x14ac:dyDescent="0.25">
      <c r="A218" s="446"/>
      <c r="B218" s="446"/>
      <c r="C218" s="446"/>
      <c r="D218" s="446"/>
      <c r="E218" s="444"/>
      <c r="F218" s="443"/>
      <c r="G218" s="454"/>
      <c r="H218" s="442"/>
      <c r="I218" s="442"/>
      <c r="J218" s="442"/>
      <c r="K218" s="442"/>
      <c r="L218" s="441"/>
    </row>
    <row r="219" spans="1:12" hidden="1" outlineLevel="1" x14ac:dyDescent="0.25">
      <c r="A219" s="446"/>
      <c r="B219" s="446"/>
      <c r="C219" s="446"/>
      <c r="D219" s="446"/>
      <c r="E219" s="444"/>
      <c r="F219" s="443"/>
      <c r="G219" s="454"/>
      <c r="H219" s="442"/>
      <c r="I219" s="442"/>
      <c r="J219" s="442"/>
      <c r="K219" s="442"/>
      <c r="L219" s="441"/>
    </row>
    <row r="220" spans="1:12" ht="21" hidden="1" customHeight="1" x14ac:dyDescent="0.25">
      <c r="A220" s="590" t="s">
        <v>522</v>
      </c>
      <c r="B220" s="590" t="s">
        <v>284</v>
      </c>
      <c r="C220" s="446"/>
      <c r="D220" s="446"/>
      <c r="E220" s="589" t="s">
        <v>574</v>
      </c>
      <c r="F220" s="592" t="s">
        <v>285</v>
      </c>
      <c r="G220" s="454" t="s">
        <v>161</v>
      </c>
      <c r="H220" s="596" t="e">
        <f>ROUND(J220/1.2,2)</f>
        <v>#REF!</v>
      </c>
      <c r="I220" s="596" t="e">
        <f>ROUND(H220*$I$7,2)</f>
        <v>#REF!</v>
      </c>
      <c r="J220" s="596" t="e">
        <f>ROUND((#REF!+#REF!)*(1+$H$7)*1.2,0)</f>
        <v>#REF!</v>
      </c>
      <c r="K220" s="596">
        <v>2025</v>
      </c>
      <c r="L220" s="601" t="e">
        <f t="shared" si="16"/>
        <v>#REF!</v>
      </c>
    </row>
    <row r="221" spans="1:12" ht="25.5" hidden="1" customHeight="1" x14ac:dyDescent="0.25">
      <c r="A221" s="590"/>
      <c r="B221" s="590"/>
      <c r="C221" s="446"/>
      <c r="D221" s="446"/>
      <c r="E221" s="589"/>
      <c r="F221" s="592"/>
      <c r="G221" s="454" t="s">
        <v>166</v>
      </c>
      <c r="H221" s="596"/>
      <c r="I221" s="596"/>
      <c r="J221" s="596"/>
      <c r="K221" s="596"/>
      <c r="L221" s="601"/>
    </row>
    <row r="222" spans="1:12" ht="17.25" hidden="1" customHeight="1" outlineLevel="1" x14ac:dyDescent="0.25">
      <c r="A222" s="446"/>
      <c r="B222" s="446"/>
      <c r="C222" s="446"/>
      <c r="D222" s="446"/>
      <c r="E222" s="444"/>
      <c r="F222" s="443"/>
      <c r="G222" s="454"/>
      <c r="H222" s="442"/>
      <c r="I222" s="442"/>
      <c r="J222" s="442"/>
      <c r="K222" s="442"/>
      <c r="L222" s="441"/>
    </row>
    <row r="223" spans="1:12" ht="17.25" hidden="1" customHeight="1" outlineLevel="1" x14ac:dyDescent="0.25">
      <c r="A223" s="446"/>
      <c r="B223" s="446"/>
      <c r="C223" s="446"/>
      <c r="D223" s="446"/>
      <c r="E223" s="444"/>
      <c r="F223" s="443"/>
      <c r="G223" s="454"/>
      <c r="H223" s="442"/>
      <c r="I223" s="442"/>
      <c r="J223" s="442"/>
      <c r="K223" s="442"/>
      <c r="L223" s="441"/>
    </row>
    <row r="224" spans="1:12" ht="39" hidden="1" customHeight="1" outlineLevel="1" x14ac:dyDescent="0.25">
      <c r="A224" s="446"/>
      <c r="B224" s="446"/>
      <c r="C224" s="446"/>
      <c r="D224" s="446"/>
      <c r="E224" s="444"/>
      <c r="F224" s="443"/>
      <c r="G224" s="454"/>
      <c r="H224" s="442"/>
      <c r="I224" s="442"/>
      <c r="J224" s="442"/>
      <c r="K224" s="442"/>
      <c r="L224" s="441"/>
    </row>
    <row r="225" spans="1:12" hidden="1" outlineLevel="1" x14ac:dyDescent="0.25">
      <c r="A225" s="446"/>
      <c r="B225" s="446"/>
      <c r="C225" s="446"/>
      <c r="D225" s="446"/>
      <c r="E225" s="444"/>
      <c r="F225" s="443"/>
      <c r="G225" s="454"/>
      <c r="H225" s="442"/>
      <c r="I225" s="442"/>
      <c r="J225" s="442"/>
      <c r="K225" s="442"/>
      <c r="L225" s="441"/>
    </row>
    <row r="226" spans="1:12" hidden="1" outlineLevel="1" x14ac:dyDescent="0.25">
      <c r="A226" s="446"/>
      <c r="B226" s="446"/>
      <c r="C226" s="446"/>
      <c r="D226" s="446"/>
      <c r="E226" s="444"/>
      <c r="F226" s="443"/>
      <c r="G226" s="454"/>
      <c r="H226" s="442"/>
      <c r="I226" s="442"/>
      <c r="J226" s="442"/>
      <c r="K226" s="442"/>
      <c r="L226" s="441"/>
    </row>
    <row r="227" spans="1:12" hidden="1" outlineLevel="1" x14ac:dyDescent="0.25">
      <c r="A227" s="446"/>
      <c r="B227" s="446"/>
      <c r="C227" s="446"/>
      <c r="D227" s="446"/>
      <c r="E227" s="444"/>
      <c r="F227" s="443"/>
      <c r="G227" s="454"/>
      <c r="H227" s="442"/>
      <c r="I227" s="442"/>
      <c r="J227" s="442"/>
      <c r="K227" s="442"/>
      <c r="L227" s="441"/>
    </row>
    <row r="228" spans="1:12" ht="15" hidden="1" customHeight="1" x14ac:dyDescent="0.25">
      <c r="A228" s="590" t="s">
        <v>523</v>
      </c>
      <c r="B228" s="590" t="s">
        <v>286</v>
      </c>
      <c r="C228" s="446"/>
      <c r="D228" s="446"/>
      <c r="E228" s="589" t="s">
        <v>375</v>
      </c>
      <c r="F228" s="592" t="s">
        <v>28</v>
      </c>
      <c r="G228" s="454" t="s">
        <v>161</v>
      </c>
      <c r="H228" s="596" t="e">
        <f>ROUND(J228/1.2,2)</f>
        <v>#REF!</v>
      </c>
      <c r="I228" s="596" t="e">
        <f>ROUND(H228*$I$7,2)</f>
        <v>#REF!</v>
      </c>
      <c r="J228" s="596" t="e">
        <f>ROUND((#REF!+#REF!)*(1+$H$7)*1.2,0)</f>
        <v>#REF!</v>
      </c>
      <c r="K228" s="596">
        <v>530</v>
      </c>
      <c r="L228" s="601" t="e">
        <f t="shared" si="16"/>
        <v>#REF!</v>
      </c>
    </row>
    <row r="229" spans="1:12" ht="23.25" hidden="1" customHeight="1" x14ac:dyDescent="0.25">
      <c r="A229" s="590"/>
      <c r="B229" s="590"/>
      <c r="C229" s="446"/>
      <c r="D229" s="446"/>
      <c r="E229" s="589"/>
      <c r="F229" s="592"/>
      <c r="G229" s="454" t="s">
        <v>166</v>
      </c>
      <c r="H229" s="596"/>
      <c r="I229" s="596"/>
      <c r="J229" s="596"/>
      <c r="K229" s="596"/>
      <c r="L229" s="601"/>
    </row>
    <row r="230" spans="1:12" ht="27.95" hidden="1" customHeight="1" outlineLevel="1" x14ac:dyDescent="0.25">
      <c r="A230" s="446"/>
      <c r="B230" s="446"/>
      <c r="C230" s="446"/>
      <c r="D230" s="446"/>
      <c r="E230" s="444"/>
      <c r="F230" s="443"/>
      <c r="G230" s="454"/>
      <c r="H230" s="442"/>
      <c r="I230" s="442"/>
      <c r="J230" s="442"/>
      <c r="K230" s="442"/>
      <c r="L230" s="441"/>
    </row>
    <row r="231" spans="1:12" ht="16.5" hidden="1" customHeight="1" x14ac:dyDescent="0.25">
      <c r="A231" s="590" t="s">
        <v>524</v>
      </c>
      <c r="B231" s="590" t="s">
        <v>286</v>
      </c>
      <c r="C231" s="446"/>
      <c r="D231" s="446"/>
      <c r="E231" s="589" t="s">
        <v>376</v>
      </c>
      <c r="F231" s="592" t="s">
        <v>28</v>
      </c>
      <c r="G231" s="454" t="s">
        <v>161</v>
      </c>
      <c r="H231" s="596" t="e">
        <f>ROUND(J231/1.2,2)</f>
        <v>#REF!</v>
      </c>
      <c r="I231" s="596" t="e">
        <f>ROUND(H231*$I$7,2)</f>
        <v>#REF!</v>
      </c>
      <c r="J231" s="596" t="e">
        <f>ROUND((#REF!+#REF!)*(1+$H$7)*1.2,0)</f>
        <v>#REF!</v>
      </c>
      <c r="K231" s="596">
        <v>700</v>
      </c>
      <c r="L231" s="601" t="e">
        <f t="shared" si="16"/>
        <v>#REF!</v>
      </c>
    </row>
    <row r="232" spans="1:12" ht="16.5" hidden="1" customHeight="1" x14ac:dyDescent="0.25">
      <c r="A232" s="590"/>
      <c r="B232" s="590"/>
      <c r="C232" s="446"/>
      <c r="D232" s="446"/>
      <c r="E232" s="589"/>
      <c r="F232" s="592"/>
      <c r="G232" s="454" t="s">
        <v>166</v>
      </c>
      <c r="H232" s="596"/>
      <c r="I232" s="596"/>
      <c r="J232" s="596"/>
      <c r="K232" s="596"/>
      <c r="L232" s="601"/>
    </row>
    <row r="233" spans="1:12" ht="27" hidden="1" customHeight="1" outlineLevel="1" x14ac:dyDescent="0.25">
      <c r="A233" s="446"/>
      <c r="B233" s="446"/>
      <c r="C233" s="446"/>
      <c r="D233" s="446"/>
      <c r="E233" s="444"/>
      <c r="F233" s="443"/>
      <c r="G233" s="454"/>
      <c r="H233" s="442"/>
      <c r="I233" s="442"/>
      <c r="J233" s="442"/>
      <c r="K233" s="442"/>
      <c r="L233" s="441"/>
    </row>
    <row r="234" spans="1:12" ht="35.25" hidden="1" customHeight="1" x14ac:dyDescent="0.25">
      <c r="A234" s="446" t="s">
        <v>525</v>
      </c>
      <c r="B234" s="446" t="s">
        <v>287</v>
      </c>
      <c r="C234" s="446"/>
      <c r="D234" s="446"/>
      <c r="E234" s="444" t="s">
        <v>378</v>
      </c>
      <c r="F234" s="443" t="s">
        <v>288</v>
      </c>
      <c r="G234" s="454" t="s">
        <v>161</v>
      </c>
      <c r="H234" s="442" t="e">
        <f>ROUND(J234/1.2,2)</f>
        <v>#REF!</v>
      </c>
      <c r="I234" s="442" t="e">
        <f>ROUND(H234*$I$7,2)</f>
        <v>#REF!</v>
      </c>
      <c r="J234" s="442" t="e">
        <f>ROUND((#REF!+#REF!)*(1+$H$7)*1.2,0)</f>
        <v>#REF!</v>
      </c>
      <c r="K234" s="442">
        <v>433</v>
      </c>
      <c r="L234" s="78" t="e">
        <f t="shared" si="16"/>
        <v>#REF!</v>
      </c>
    </row>
    <row r="235" spans="1:12" hidden="1" outlineLevel="1" x14ac:dyDescent="0.25">
      <c r="A235" s="446"/>
      <c r="B235" s="446"/>
      <c r="C235" s="446"/>
      <c r="D235" s="446"/>
      <c r="E235" s="444"/>
      <c r="F235" s="443"/>
      <c r="G235" s="454"/>
      <c r="H235" s="442"/>
      <c r="I235" s="442"/>
      <c r="J235" s="442"/>
      <c r="K235" s="442"/>
      <c r="L235" s="78"/>
    </row>
    <row r="236" spans="1:12" hidden="1" outlineLevel="1" x14ac:dyDescent="0.25">
      <c r="A236" s="446"/>
      <c r="B236" s="446"/>
      <c r="C236" s="446"/>
      <c r="D236" s="446"/>
      <c r="E236" s="444"/>
      <c r="F236" s="443"/>
      <c r="G236" s="454"/>
      <c r="H236" s="442"/>
      <c r="I236" s="442"/>
      <c r="J236" s="442"/>
      <c r="K236" s="442"/>
      <c r="L236" s="78"/>
    </row>
    <row r="237" spans="1:12" hidden="1" outlineLevel="1" x14ac:dyDescent="0.25">
      <c r="A237" s="446"/>
      <c r="B237" s="446"/>
      <c r="C237" s="446"/>
      <c r="D237" s="446"/>
      <c r="E237" s="444"/>
      <c r="F237" s="443"/>
      <c r="G237" s="454"/>
      <c r="H237" s="442"/>
      <c r="I237" s="442"/>
      <c r="J237" s="442"/>
      <c r="K237" s="442"/>
      <c r="L237" s="78"/>
    </row>
    <row r="238" spans="1:12" hidden="1" outlineLevel="1" x14ac:dyDescent="0.25">
      <c r="A238" s="446"/>
      <c r="B238" s="446"/>
      <c r="C238" s="446"/>
      <c r="D238" s="446"/>
      <c r="E238" s="444"/>
      <c r="F238" s="443"/>
      <c r="G238" s="454"/>
      <c r="H238" s="442"/>
      <c r="I238" s="442"/>
      <c r="J238" s="442"/>
      <c r="K238" s="442"/>
      <c r="L238" s="78"/>
    </row>
    <row r="239" spans="1:12" ht="45" hidden="1" customHeight="1" x14ac:dyDescent="0.25">
      <c r="A239" s="446" t="s">
        <v>526</v>
      </c>
      <c r="B239" s="446" t="s">
        <v>289</v>
      </c>
      <c r="C239" s="446"/>
      <c r="D239" s="446"/>
      <c r="E239" s="444" t="s">
        <v>110</v>
      </c>
      <c r="F239" s="443" t="s">
        <v>290</v>
      </c>
      <c r="G239" s="454" t="s">
        <v>161</v>
      </c>
      <c r="H239" s="442" t="e">
        <f>ROUND(J239/1.2,2)</f>
        <v>#REF!</v>
      </c>
      <c r="I239" s="442" t="e">
        <f>ROUND(H239*$I$7,2)</f>
        <v>#REF!</v>
      </c>
      <c r="J239" s="442" t="e">
        <f>ROUND((#REF!+#REF!)*(1+$H$7)*1.2,0)</f>
        <v>#REF!</v>
      </c>
      <c r="K239" s="442">
        <v>237</v>
      </c>
      <c r="L239" s="78" t="e">
        <f t="shared" si="16"/>
        <v>#REF!</v>
      </c>
    </row>
    <row r="240" spans="1:12" ht="33" hidden="1" customHeight="1" x14ac:dyDescent="0.25">
      <c r="A240" s="446" t="s">
        <v>527</v>
      </c>
      <c r="B240" s="446" t="s">
        <v>291</v>
      </c>
      <c r="C240" s="446"/>
      <c r="D240" s="446"/>
      <c r="E240" s="444" t="s">
        <v>111</v>
      </c>
      <c r="F240" s="443" t="s">
        <v>220</v>
      </c>
      <c r="G240" s="454" t="s">
        <v>161</v>
      </c>
      <c r="H240" s="442" t="e">
        <f>ROUND(J240/1.2,2)</f>
        <v>#REF!</v>
      </c>
      <c r="I240" s="442" t="e">
        <f>ROUND(H240*$I$7,2)</f>
        <v>#REF!</v>
      </c>
      <c r="J240" s="442" t="e">
        <f>ROUND((#REF!+#REF!)*(1+$H$7)*1.2,0)</f>
        <v>#REF!</v>
      </c>
      <c r="K240" s="442">
        <v>151</v>
      </c>
      <c r="L240" s="78" t="e">
        <f t="shared" si="16"/>
        <v>#REF!</v>
      </c>
    </row>
    <row r="241" spans="1:12" hidden="1" outlineLevel="1" x14ac:dyDescent="0.25">
      <c r="A241" s="446"/>
      <c r="B241" s="446"/>
      <c r="C241" s="446"/>
      <c r="D241" s="446"/>
      <c r="E241" s="444"/>
      <c r="F241" s="443"/>
      <c r="G241" s="454"/>
      <c r="H241" s="442"/>
      <c r="I241" s="442"/>
      <c r="J241" s="442"/>
      <c r="K241" s="442"/>
      <c r="L241" s="78"/>
    </row>
    <row r="242" spans="1:12" ht="33" hidden="1" customHeight="1" x14ac:dyDescent="0.25">
      <c r="A242" s="446" t="s">
        <v>528</v>
      </c>
      <c r="B242" s="446" t="s">
        <v>292</v>
      </c>
      <c r="C242" s="446"/>
      <c r="D242" s="446"/>
      <c r="E242" s="444" t="s">
        <v>112</v>
      </c>
      <c r="F242" s="443" t="s">
        <v>220</v>
      </c>
      <c r="G242" s="454" t="s">
        <v>161</v>
      </c>
      <c r="H242" s="442" t="e">
        <f>ROUND(J242/1.2,2)</f>
        <v>#REF!</v>
      </c>
      <c r="I242" s="442" t="e">
        <f>ROUND(H242*$I$7,2)</f>
        <v>#REF!</v>
      </c>
      <c r="J242" s="442" t="e">
        <f>ROUND((#REF!+#REF!)*(1+$H$7)*1.2,0)</f>
        <v>#REF!</v>
      </c>
      <c r="K242" s="442">
        <v>199</v>
      </c>
      <c r="L242" s="78" t="e">
        <f>J242/K242*100-100</f>
        <v>#REF!</v>
      </c>
    </row>
    <row r="243" spans="1:12" hidden="1" outlineLevel="1" x14ac:dyDescent="0.25">
      <c r="A243" s="446"/>
      <c r="B243" s="446"/>
      <c r="C243" s="446"/>
      <c r="D243" s="446"/>
      <c r="E243" s="444"/>
      <c r="F243" s="443"/>
      <c r="G243" s="454"/>
      <c r="H243" s="442"/>
      <c r="I243" s="442"/>
      <c r="J243" s="442"/>
      <c r="K243" s="442"/>
      <c r="L243" s="78"/>
    </row>
    <row r="244" spans="1:12" ht="36" hidden="1" customHeight="1" x14ac:dyDescent="0.25">
      <c r="A244" s="446" t="s">
        <v>529</v>
      </c>
      <c r="B244" s="446" t="s">
        <v>359</v>
      </c>
      <c r="C244" s="446"/>
      <c r="D244" s="446"/>
      <c r="E244" s="444" t="s">
        <v>358</v>
      </c>
      <c r="F244" s="443" t="s">
        <v>18</v>
      </c>
      <c r="G244" s="454" t="s">
        <v>161</v>
      </c>
      <c r="H244" s="442" t="e">
        <f>ROUND(J244/1.2,2)</f>
        <v>#REF!</v>
      </c>
      <c r="I244" s="442" t="e">
        <f>ROUND(H244*$I$7,2)</f>
        <v>#REF!</v>
      </c>
      <c r="J244" s="442" t="e">
        <f>ROUND((#REF!+#REF!)*(1+$H$7)*1.2,0)</f>
        <v>#REF!</v>
      </c>
      <c r="K244" s="442">
        <v>117</v>
      </c>
      <c r="L244" s="78" t="e">
        <f>J244/K244*100-100</f>
        <v>#REF!</v>
      </c>
    </row>
    <row r="245" spans="1:12" ht="78.75" hidden="1" customHeight="1" x14ac:dyDescent="0.25">
      <c r="A245" s="443" t="s">
        <v>530</v>
      </c>
      <c r="B245" s="446" t="s">
        <v>293</v>
      </c>
      <c r="C245" s="446"/>
      <c r="D245" s="446"/>
      <c r="E245" s="444" t="s">
        <v>113</v>
      </c>
      <c r="F245" s="443" t="s">
        <v>220</v>
      </c>
      <c r="G245" s="454" t="s">
        <v>161</v>
      </c>
      <c r="H245" s="442" t="e">
        <f>ROUND(J245/1.2,2)</f>
        <v>#REF!</v>
      </c>
      <c r="I245" s="442" t="e">
        <f>ROUND(H245*$I$7,2)</f>
        <v>#REF!</v>
      </c>
      <c r="J245" s="442" t="e">
        <f>ROUND((#REF!+#REF!)*(1+$H$7)*1.2,0)</f>
        <v>#REF!</v>
      </c>
      <c r="K245" s="442">
        <v>73</v>
      </c>
      <c r="L245" s="78" t="e">
        <f>J245/K245*100-100</f>
        <v>#REF!</v>
      </c>
    </row>
    <row r="246" spans="1:12" s="86" customFormat="1" ht="24" hidden="1" customHeight="1" x14ac:dyDescent="0.25">
      <c r="A246" s="606" t="s">
        <v>410</v>
      </c>
      <c r="B246" s="606"/>
      <c r="C246" s="606"/>
      <c r="D246" s="606"/>
      <c r="E246" s="606"/>
      <c r="F246" s="606"/>
      <c r="G246" s="606"/>
      <c r="H246" s="606"/>
      <c r="I246" s="606"/>
      <c r="J246" s="606"/>
      <c r="K246" s="442"/>
      <c r="L246" s="85"/>
    </row>
    <row r="247" spans="1:12" hidden="1" x14ac:dyDescent="0.25">
      <c r="A247" s="446" t="s">
        <v>531</v>
      </c>
      <c r="B247" s="446" t="s">
        <v>298</v>
      </c>
      <c r="C247" s="446"/>
      <c r="D247" s="446"/>
      <c r="E247" s="444" t="s">
        <v>299</v>
      </c>
      <c r="F247" s="443" t="s">
        <v>198</v>
      </c>
      <c r="G247" s="454" t="s">
        <v>162</v>
      </c>
      <c r="H247" s="442" t="e">
        <f>ROUND(J247/1.2,2)</f>
        <v>#REF!</v>
      </c>
      <c r="I247" s="442" t="e">
        <f>ROUND(H247*$I$7,2)</f>
        <v>#REF!</v>
      </c>
      <c r="J247" s="442" t="e">
        <f>ROUND((#REF!+#REF!)*(1+$H$7)*1.2,0)</f>
        <v>#REF!</v>
      </c>
      <c r="K247" s="442">
        <v>207</v>
      </c>
      <c r="L247" s="78" t="e">
        <f t="shared" ref="L247:L286" si="17">J247/K247*100-100</f>
        <v>#REF!</v>
      </c>
    </row>
    <row r="248" spans="1:12" hidden="1" x14ac:dyDescent="0.25">
      <c r="A248" s="446" t="s">
        <v>532</v>
      </c>
      <c r="B248" s="446" t="s">
        <v>298</v>
      </c>
      <c r="C248" s="446"/>
      <c r="D248" s="446"/>
      <c r="E248" s="444" t="s">
        <v>300</v>
      </c>
      <c r="F248" s="443" t="s">
        <v>198</v>
      </c>
      <c r="G248" s="454" t="s">
        <v>162</v>
      </c>
      <c r="H248" s="442" t="e">
        <f>ROUND(J248/1.2,2)</f>
        <v>#REF!</v>
      </c>
      <c r="I248" s="442" t="e">
        <f>ROUND(H248*$I$7,2)</f>
        <v>#REF!</v>
      </c>
      <c r="J248" s="442" t="e">
        <f>ROUND((#REF!+#REF!)*(1+$H$7)*1.2,0)</f>
        <v>#REF!</v>
      </c>
      <c r="K248" s="442">
        <v>83</v>
      </c>
      <c r="L248" s="78" t="e">
        <f t="shared" si="17"/>
        <v>#REF!</v>
      </c>
    </row>
    <row r="249" spans="1:12" ht="15.75" hidden="1" customHeight="1" x14ac:dyDescent="0.25">
      <c r="A249" s="590" t="s">
        <v>533</v>
      </c>
      <c r="B249" s="590" t="s">
        <v>301</v>
      </c>
      <c r="C249" s="446"/>
      <c r="D249" s="446"/>
      <c r="E249" s="607" t="s">
        <v>120</v>
      </c>
      <c r="F249" s="592" t="s">
        <v>198</v>
      </c>
      <c r="G249" s="454" t="s">
        <v>162</v>
      </c>
      <c r="H249" s="596" t="e">
        <f>ROUND(J249/1.2,2)</f>
        <v>#REF!</v>
      </c>
      <c r="I249" s="596" t="e">
        <f>ROUND(H249*$I$7,2)</f>
        <v>#REF!</v>
      </c>
      <c r="J249" s="596" t="e">
        <f>ROUND((#REF!+#REF!)*(1+$H$7)*1.2,0)</f>
        <v>#REF!</v>
      </c>
      <c r="K249" s="596">
        <v>306</v>
      </c>
      <c r="L249" s="601" t="e">
        <f t="shared" si="17"/>
        <v>#REF!</v>
      </c>
    </row>
    <row r="250" spans="1:12" ht="15" hidden="1" customHeight="1" x14ac:dyDescent="0.25">
      <c r="A250" s="590"/>
      <c r="B250" s="590"/>
      <c r="C250" s="446"/>
      <c r="D250" s="446"/>
      <c r="E250" s="607"/>
      <c r="F250" s="592"/>
      <c r="G250" s="454" t="s">
        <v>166</v>
      </c>
      <c r="H250" s="596" t="e">
        <f t="shared" ref="H250" si="18">ROUND(J250/1.18,2)</f>
        <v>#REF!</v>
      </c>
      <c r="I250" s="596" t="e">
        <f>ROUND(H250*$I$7,2)</f>
        <v>#REF!</v>
      </c>
      <c r="J250" s="596" t="e">
        <f>ROUND((#REF!+#REF!)*(1+$H$7)*1.18,0)</f>
        <v>#REF!</v>
      </c>
      <c r="K250" s="596"/>
      <c r="L250" s="601"/>
    </row>
    <row r="251" spans="1:12" ht="31.7" hidden="1" customHeight="1" x14ac:dyDescent="0.25">
      <c r="A251" s="446" t="s">
        <v>534</v>
      </c>
      <c r="B251" s="446" t="s">
        <v>302</v>
      </c>
      <c r="C251" s="446"/>
      <c r="D251" s="446"/>
      <c r="E251" s="444" t="s">
        <v>121</v>
      </c>
      <c r="F251" s="443" t="s">
        <v>198</v>
      </c>
      <c r="G251" s="454" t="s">
        <v>166</v>
      </c>
      <c r="H251" s="442" t="e">
        <f>ROUND(J251/1.2,2)</f>
        <v>#REF!</v>
      </c>
      <c r="I251" s="442" t="e">
        <f>ROUND(H251*$I$7,2)</f>
        <v>#REF!</v>
      </c>
      <c r="J251" s="442" t="e">
        <f>ROUND((#REF!+#REF!)*(1+$H$7)*1.2,0)</f>
        <v>#REF!</v>
      </c>
      <c r="K251" s="442">
        <v>945</v>
      </c>
      <c r="L251" s="78" t="e">
        <f t="shared" si="17"/>
        <v>#REF!</v>
      </c>
    </row>
    <row r="252" spans="1:12" hidden="1" outlineLevel="1" x14ac:dyDescent="0.25">
      <c r="A252" s="446"/>
      <c r="B252" s="446"/>
      <c r="C252" s="446"/>
      <c r="D252" s="446"/>
      <c r="E252" s="444"/>
      <c r="F252" s="443"/>
      <c r="G252" s="454"/>
      <c r="H252" s="442"/>
      <c r="I252" s="442"/>
      <c r="J252" s="442"/>
      <c r="K252" s="442"/>
      <c r="L252" s="78"/>
    </row>
    <row r="253" spans="1:12" hidden="1" outlineLevel="1" x14ac:dyDescent="0.25">
      <c r="A253" s="446"/>
      <c r="B253" s="446"/>
      <c r="C253" s="446"/>
      <c r="D253" s="446"/>
      <c r="E253" s="444"/>
      <c r="F253" s="443"/>
      <c r="G253" s="454"/>
      <c r="H253" s="442"/>
      <c r="I253" s="442"/>
      <c r="J253" s="442"/>
      <c r="K253" s="442"/>
      <c r="L253" s="78"/>
    </row>
    <row r="254" spans="1:12" hidden="1" outlineLevel="1" x14ac:dyDescent="0.25">
      <c r="A254" s="446"/>
      <c r="B254" s="446"/>
      <c r="C254" s="446"/>
      <c r="D254" s="446"/>
      <c r="E254" s="444"/>
      <c r="F254" s="443"/>
      <c r="G254" s="454"/>
      <c r="H254" s="442"/>
      <c r="I254" s="442"/>
      <c r="J254" s="442"/>
      <c r="K254" s="442"/>
      <c r="L254" s="78"/>
    </row>
    <row r="255" spans="1:12" s="86" customFormat="1" ht="24" hidden="1" customHeight="1" x14ac:dyDescent="0.25">
      <c r="A255" s="606" t="s">
        <v>313</v>
      </c>
      <c r="B255" s="606"/>
      <c r="C255" s="606"/>
      <c r="D255" s="606"/>
      <c r="E255" s="606"/>
      <c r="F255" s="606"/>
      <c r="G255" s="606"/>
      <c r="H255" s="606"/>
      <c r="I255" s="606"/>
      <c r="J255" s="606"/>
      <c r="K255" s="442"/>
      <c r="L255" s="85"/>
    </row>
    <row r="256" spans="1:12" ht="38.25" hidden="1" x14ac:dyDescent="0.25">
      <c r="A256" s="446" t="s">
        <v>535</v>
      </c>
      <c r="B256" s="446" t="s">
        <v>304</v>
      </c>
      <c r="C256" s="446"/>
      <c r="D256" s="446"/>
      <c r="E256" s="444" t="s">
        <v>568</v>
      </c>
      <c r="F256" s="146" t="s">
        <v>303</v>
      </c>
      <c r="G256" s="147" t="s">
        <v>587</v>
      </c>
      <c r="H256" s="442" t="e">
        <f>ROUND(J256/1.2,2)</f>
        <v>#REF!</v>
      </c>
      <c r="I256" s="442" t="e">
        <f t="shared" ref="I256:I264" si="19">ROUND(H256*$I$7,2)</f>
        <v>#REF!</v>
      </c>
      <c r="J256" s="442" t="e">
        <f>ROUND((#REF!+#REF!)*(1+$H$7)*1.2,0)</f>
        <v>#REF!</v>
      </c>
      <c r="K256" s="442">
        <v>129</v>
      </c>
      <c r="L256" s="78" t="e">
        <f t="shared" si="17"/>
        <v>#REF!</v>
      </c>
    </row>
    <row r="257" spans="1:12" ht="38.25" hidden="1" x14ac:dyDescent="0.25">
      <c r="A257" s="446" t="s">
        <v>536</v>
      </c>
      <c r="B257" s="446" t="s">
        <v>305</v>
      </c>
      <c r="C257" s="446"/>
      <c r="D257" s="446"/>
      <c r="E257" s="444" t="s">
        <v>569</v>
      </c>
      <c r="F257" s="146" t="s">
        <v>303</v>
      </c>
      <c r="G257" s="147" t="s">
        <v>587</v>
      </c>
      <c r="H257" s="442" t="e">
        <f t="shared" ref="H257:H264" si="20">ROUND(J257/1.2,2)</f>
        <v>#REF!</v>
      </c>
      <c r="I257" s="442" t="e">
        <f t="shared" si="19"/>
        <v>#REF!</v>
      </c>
      <c r="J257" s="442" t="e">
        <f>ROUND((#REF!+#REF!)*(1+$H$7)*1.2,0)</f>
        <v>#REF!</v>
      </c>
      <c r="K257" s="442">
        <v>214</v>
      </c>
      <c r="L257" s="78" t="e">
        <f t="shared" si="17"/>
        <v>#REF!</v>
      </c>
    </row>
    <row r="258" spans="1:12" ht="55.5" hidden="1" customHeight="1" x14ac:dyDescent="0.25">
      <c r="A258" s="446" t="s">
        <v>538</v>
      </c>
      <c r="B258" s="446" t="s">
        <v>306</v>
      </c>
      <c r="C258" s="446"/>
      <c r="D258" s="446"/>
      <c r="E258" s="444" t="s">
        <v>570</v>
      </c>
      <c r="F258" s="146" t="s">
        <v>303</v>
      </c>
      <c r="G258" s="147" t="s">
        <v>587</v>
      </c>
      <c r="H258" s="442" t="e">
        <f t="shared" si="20"/>
        <v>#REF!</v>
      </c>
      <c r="I258" s="442" t="e">
        <f t="shared" si="19"/>
        <v>#REF!</v>
      </c>
      <c r="J258" s="442" t="e">
        <f>ROUND((#REF!+#REF!)*(1+$H$7)*1.2,0)</f>
        <v>#REF!</v>
      </c>
      <c r="K258" s="442">
        <v>89</v>
      </c>
      <c r="L258" s="78" t="e">
        <f t="shared" si="17"/>
        <v>#REF!</v>
      </c>
    </row>
    <row r="259" spans="1:12" ht="33" hidden="1" customHeight="1" x14ac:dyDescent="0.25">
      <c r="A259" s="446" t="s">
        <v>540</v>
      </c>
      <c r="B259" s="446" t="s">
        <v>307</v>
      </c>
      <c r="C259" s="446"/>
      <c r="D259" s="446"/>
      <c r="E259" s="444" t="s">
        <v>571</v>
      </c>
      <c r="F259" s="146" t="s">
        <v>303</v>
      </c>
      <c r="G259" s="147" t="s">
        <v>587</v>
      </c>
      <c r="H259" s="442" t="e">
        <f t="shared" si="20"/>
        <v>#REF!</v>
      </c>
      <c r="I259" s="442" t="e">
        <f t="shared" si="19"/>
        <v>#REF!</v>
      </c>
      <c r="J259" s="442" t="e">
        <f>ROUND((#REF!+#REF!)*(1+$H$7)*1.2,0)</f>
        <v>#REF!</v>
      </c>
      <c r="K259" s="442">
        <v>149</v>
      </c>
      <c r="L259" s="78" t="e">
        <f t="shared" si="17"/>
        <v>#REF!</v>
      </c>
    </row>
    <row r="260" spans="1:12" ht="33.75" hidden="1" customHeight="1" x14ac:dyDescent="0.25">
      <c r="A260" s="446" t="s">
        <v>541</v>
      </c>
      <c r="B260" s="446" t="s">
        <v>27</v>
      </c>
      <c r="C260" s="446"/>
      <c r="D260" s="446"/>
      <c r="E260" s="459" t="s">
        <v>122</v>
      </c>
      <c r="F260" s="146" t="s">
        <v>303</v>
      </c>
      <c r="G260" s="147" t="s">
        <v>587</v>
      </c>
      <c r="H260" s="442" t="e">
        <f t="shared" si="20"/>
        <v>#REF!</v>
      </c>
      <c r="I260" s="442" t="e">
        <f t="shared" si="19"/>
        <v>#REF!</v>
      </c>
      <c r="J260" s="442" t="e">
        <f>ROUND((#REF!+#REF!)*(1+$H$7)*1.2,0)</f>
        <v>#REF!</v>
      </c>
      <c r="K260" s="442">
        <v>249</v>
      </c>
      <c r="L260" s="78" t="e">
        <f t="shared" si="17"/>
        <v>#REF!</v>
      </c>
    </row>
    <row r="261" spans="1:12" ht="33" hidden="1" customHeight="1" x14ac:dyDescent="0.25">
      <c r="A261" s="446" t="s">
        <v>542</v>
      </c>
      <c r="B261" s="446" t="s">
        <v>27</v>
      </c>
      <c r="C261" s="446"/>
      <c r="D261" s="446"/>
      <c r="E261" s="444" t="s">
        <v>123</v>
      </c>
      <c r="F261" s="146" t="s">
        <v>303</v>
      </c>
      <c r="G261" s="147" t="s">
        <v>587</v>
      </c>
      <c r="H261" s="442" t="e">
        <f t="shared" si="20"/>
        <v>#REF!</v>
      </c>
      <c r="I261" s="442" t="e">
        <f t="shared" si="19"/>
        <v>#REF!</v>
      </c>
      <c r="J261" s="442" t="e">
        <f>ROUND((#REF!+#REF!)*(1+$H$7)*1.2,0)</f>
        <v>#REF!</v>
      </c>
      <c r="K261" s="442">
        <v>199</v>
      </c>
      <c r="L261" s="78" t="e">
        <f t="shared" si="17"/>
        <v>#REF!</v>
      </c>
    </row>
    <row r="262" spans="1:12" ht="32.25" hidden="1" customHeight="1" x14ac:dyDescent="0.25">
      <c r="A262" s="446" t="s">
        <v>543</v>
      </c>
      <c r="B262" s="446" t="s">
        <v>27</v>
      </c>
      <c r="C262" s="446"/>
      <c r="D262" s="446"/>
      <c r="E262" s="444" t="s">
        <v>124</v>
      </c>
      <c r="F262" s="146" t="s">
        <v>303</v>
      </c>
      <c r="G262" s="147" t="s">
        <v>587</v>
      </c>
      <c r="H262" s="442" t="e">
        <f t="shared" si="20"/>
        <v>#REF!</v>
      </c>
      <c r="I262" s="442" t="e">
        <f t="shared" si="19"/>
        <v>#REF!</v>
      </c>
      <c r="J262" s="442" t="e">
        <f>ROUND((#REF!+#REF!)*(1+$H$7)*1.2,0)</f>
        <v>#REF!</v>
      </c>
      <c r="K262" s="442">
        <v>298</v>
      </c>
      <c r="L262" s="78" t="e">
        <f t="shared" si="17"/>
        <v>#REF!</v>
      </c>
    </row>
    <row r="263" spans="1:12" ht="45.95" hidden="1" customHeight="1" x14ac:dyDescent="0.25">
      <c r="A263" s="446" t="s">
        <v>537</v>
      </c>
      <c r="B263" s="446" t="s">
        <v>27</v>
      </c>
      <c r="C263" s="446"/>
      <c r="D263" s="446"/>
      <c r="E263" s="444" t="s">
        <v>125</v>
      </c>
      <c r="F263" s="146" t="s">
        <v>303</v>
      </c>
      <c r="G263" s="147" t="s">
        <v>587</v>
      </c>
      <c r="H263" s="442" t="e">
        <f t="shared" si="20"/>
        <v>#REF!</v>
      </c>
      <c r="I263" s="442" t="e">
        <f t="shared" si="19"/>
        <v>#REF!</v>
      </c>
      <c r="J263" s="442" t="e">
        <f>ROUND((#REF!+#REF!)*(1+$H$7)*1.2,0)</f>
        <v>#REF!</v>
      </c>
      <c r="K263" s="442">
        <v>398</v>
      </c>
      <c r="L263" s="78" t="e">
        <f t="shared" si="17"/>
        <v>#REF!</v>
      </c>
    </row>
    <row r="264" spans="1:12" ht="54" hidden="1" customHeight="1" x14ac:dyDescent="0.25">
      <c r="A264" s="446" t="s">
        <v>557</v>
      </c>
      <c r="B264" s="446" t="s">
        <v>27</v>
      </c>
      <c r="C264" s="446"/>
      <c r="D264" s="446"/>
      <c r="E264" s="444" t="s">
        <v>558</v>
      </c>
      <c r="F264" s="443" t="s">
        <v>316</v>
      </c>
      <c r="G264" s="147" t="s">
        <v>587</v>
      </c>
      <c r="H264" s="442" t="e">
        <f t="shared" si="20"/>
        <v>#REF!</v>
      </c>
      <c r="I264" s="442" t="e">
        <f t="shared" si="19"/>
        <v>#REF!</v>
      </c>
      <c r="J264" s="442" t="e">
        <f>ROUND((#REF!+#REF!)*(1+$H$7)*1.2,0)</f>
        <v>#REF!</v>
      </c>
      <c r="K264" s="442">
        <v>60</v>
      </c>
      <c r="L264" s="78" t="e">
        <f t="shared" si="17"/>
        <v>#REF!</v>
      </c>
    </row>
    <row r="265" spans="1:12" s="86" customFormat="1" ht="25.5" hidden="1" customHeight="1" x14ac:dyDescent="0.25">
      <c r="A265" s="606" t="s">
        <v>317</v>
      </c>
      <c r="B265" s="606"/>
      <c r="C265" s="606"/>
      <c r="D265" s="606"/>
      <c r="E265" s="606"/>
      <c r="F265" s="606"/>
      <c r="G265" s="606"/>
      <c r="H265" s="606"/>
      <c r="I265" s="606"/>
      <c r="J265" s="606"/>
      <c r="K265" s="95"/>
      <c r="L265" s="85"/>
    </row>
    <row r="266" spans="1:12" ht="25.5" hidden="1" x14ac:dyDescent="0.25">
      <c r="A266" s="446" t="s">
        <v>544</v>
      </c>
      <c r="B266" s="446" t="s">
        <v>27</v>
      </c>
      <c r="C266" s="446"/>
      <c r="D266" s="446"/>
      <c r="E266" s="444" t="s">
        <v>129</v>
      </c>
      <c r="F266" s="443" t="s">
        <v>308</v>
      </c>
      <c r="G266" s="454" t="s">
        <v>318</v>
      </c>
      <c r="H266" s="442" t="e">
        <f>ROUND(J266/1.2,2)</f>
        <v>#REF!</v>
      </c>
      <c r="I266" s="442" t="e">
        <f t="shared" ref="I266:I282" si="21">ROUND(H266*$I$7,2)</f>
        <v>#REF!</v>
      </c>
      <c r="J266" s="442" t="e">
        <f>ROUND((#REF!+#REF!)*(1+$H$7)*1.2,0)</f>
        <v>#REF!</v>
      </c>
      <c r="K266" s="442">
        <v>730</v>
      </c>
      <c r="L266" s="78" t="e">
        <f t="shared" si="17"/>
        <v>#REF!</v>
      </c>
    </row>
    <row r="267" spans="1:12" ht="25.5" hidden="1" x14ac:dyDescent="0.25">
      <c r="A267" s="446" t="s">
        <v>539</v>
      </c>
      <c r="B267" s="446" t="s">
        <v>27</v>
      </c>
      <c r="C267" s="446"/>
      <c r="D267" s="446"/>
      <c r="E267" s="444" t="s">
        <v>129</v>
      </c>
      <c r="F267" s="443" t="s">
        <v>309</v>
      </c>
      <c r="G267" s="454" t="s">
        <v>318</v>
      </c>
      <c r="H267" s="442" t="e">
        <f t="shared" ref="H267:H277" si="22">ROUND(J267/1.2,2)</f>
        <v>#REF!</v>
      </c>
      <c r="I267" s="442" t="e">
        <f t="shared" si="21"/>
        <v>#REF!</v>
      </c>
      <c r="J267" s="442" t="e">
        <f>ROUND((#REF!+#REF!)*(1+$H$7)*1.2,0)</f>
        <v>#REF!</v>
      </c>
      <c r="K267" s="442">
        <v>15</v>
      </c>
      <c r="L267" s="78" t="e">
        <f t="shared" si="17"/>
        <v>#REF!</v>
      </c>
    </row>
    <row r="268" spans="1:12" ht="25.5" hidden="1" x14ac:dyDescent="0.25">
      <c r="A268" s="446"/>
      <c r="B268" s="446" t="s">
        <v>27</v>
      </c>
      <c r="C268" s="446"/>
      <c r="D268" s="446"/>
      <c r="E268" s="444" t="s">
        <v>126</v>
      </c>
      <c r="F268" s="443" t="s">
        <v>308</v>
      </c>
      <c r="G268" s="454" t="s">
        <v>320</v>
      </c>
      <c r="H268" s="442" t="e">
        <f t="shared" si="22"/>
        <v>#REF!</v>
      </c>
      <c r="I268" s="442" t="e">
        <f t="shared" si="21"/>
        <v>#REF!</v>
      </c>
      <c r="J268" s="442" t="e">
        <f>ROUND((#REF!+#REF!)*(1+$H$7)*1.2,0)</f>
        <v>#REF!</v>
      </c>
      <c r="K268" s="442">
        <v>632</v>
      </c>
      <c r="L268" s="78" t="e">
        <f t="shared" si="17"/>
        <v>#REF!</v>
      </c>
    </row>
    <row r="269" spans="1:12" ht="25.5" hidden="1" x14ac:dyDescent="0.25">
      <c r="A269" s="446"/>
      <c r="B269" s="446" t="s">
        <v>27</v>
      </c>
      <c r="C269" s="446"/>
      <c r="D269" s="446"/>
      <c r="E269" s="444" t="s">
        <v>126</v>
      </c>
      <c r="F269" s="443" t="s">
        <v>309</v>
      </c>
      <c r="G269" s="454" t="s">
        <v>320</v>
      </c>
      <c r="H269" s="442" t="e">
        <f t="shared" si="22"/>
        <v>#REF!</v>
      </c>
      <c r="I269" s="442" t="e">
        <f t="shared" si="21"/>
        <v>#REF!</v>
      </c>
      <c r="J269" s="442" t="e">
        <f>ROUND((#REF!+#REF!)*(1+$H$7)*1.2,0)</f>
        <v>#REF!</v>
      </c>
      <c r="K269" s="442">
        <v>13</v>
      </c>
      <c r="L269" s="78" t="e">
        <f t="shared" si="17"/>
        <v>#REF!</v>
      </c>
    </row>
    <row r="270" spans="1:12" ht="25.5" hidden="1" x14ac:dyDescent="0.25">
      <c r="A270" s="446" t="s">
        <v>545</v>
      </c>
      <c r="B270" s="446" t="s">
        <v>27</v>
      </c>
      <c r="C270" s="446"/>
      <c r="D270" s="446"/>
      <c r="E270" s="444" t="s">
        <v>127</v>
      </c>
      <c r="F270" s="443" t="s">
        <v>308</v>
      </c>
      <c r="G270" s="454" t="s">
        <v>319</v>
      </c>
      <c r="H270" s="442" t="e">
        <f t="shared" si="22"/>
        <v>#REF!</v>
      </c>
      <c r="I270" s="442" t="e">
        <f t="shared" si="21"/>
        <v>#REF!</v>
      </c>
      <c r="J270" s="442" t="e">
        <f>ROUND((#REF!+#REF!)*(1+$H$7)*1.2,0)</f>
        <v>#REF!</v>
      </c>
      <c r="K270" s="442">
        <v>827</v>
      </c>
      <c r="L270" s="78" t="e">
        <f t="shared" si="17"/>
        <v>#REF!</v>
      </c>
    </row>
    <row r="271" spans="1:12" ht="25.5" hidden="1" x14ac:dyDescent="0.25">
      <c r="A271" s="446" t="s">
        <v>546</v>
      </c>
      <c r="B271" s="446" t="s">
        <v>27</v>
      </c>
      <c r="C271" s="446"/>
      <c r="D271" s="446"/>
      <c r="E271" s="444" t="s">
        <v>127</v>
      </c>
      <c r="F271" s="443" t="s">
        <v>309</v>
      </c>
      <c r="G271" s="454" t="s">
        <v>319</v>
      </c>
      <c r="H271" s="442" t="e">
        <f t="shared" si="22"/>
        <v>#REF!</v>
      </c>
      <c r="I271" s="442" t="e">
        <f t="shared" si="21"/>
        <v>#REF!</v>
      </c>
      <c r="J271" s="442" t="e">
        <f>ROUND((#REF!+#REF!)*(1+$H$7)*1.2,0)</f>
        <v>#REF!</v>
      </c>
      <c r="K271" s="442">
        <v>17</v>
      </c>
      <c r="L271" s="78" t="e">
        <f t="shared" si="17"/>
        <v>#REF!</v>
      </c>
    </row>
    <row r="272" spans="1:12" ht="25.5" hidden="1" customHeight="1" x14ac:dyDescent="0.25">
      <c r="A272" s="446" t="s">
        <v>547</v>
      </c>
      <c r="B272" s="446" t="s">
        <v>27</v>
      </c>
      <c r="C272" s="446"/>
      <c r="D272" s="446"/>
      <c r="E272" s="444" t="s">
        <v>128</v>
      </c>
      <c r="F272" s="443" t="s">
        <v>308</v>
      </c>
      <c r="G272" s="454" t="s">
        <v>321</v>
      </c>
      <c r="H272" s="442" t="e">
        <f t="shared" si="22"/>
        <v>#REF!</v>
      </c>
      <c r="I272" s="442" t="e">
        <f t="shared" si="21"/>
        <v>#REF!</v>
      </c>
      <c r="J272" s="442" t="e">
        <f>ROUND((#REF!+#REF!)*(1+$H$7)*1.2,0)</f>
        <v>#REF!</v>
      </c>
      <c r="K272" s="442">
        <v>617</v>
      </c>
      <c r="L272" s="78" t="e">
        <f t="shared" si="17"/>
        <v>#REF!</v>
      </c>
    </row>
    <row r="273" spans="1:12" ht="25.5" hidden="1" customHeight="1" x14ac:dyDescent="0.25">
      <c r="A273" s="446" t="s">
        <v>548</v>
      </c>
      <c r="B273" s="446" t="s">
        <v>27</v>
      </c>
      <c r="C273" s="446"/>
      <c r="D273" s="446"/>
      <c r="E273" s="444" t="s">
        <v>128</v>
      </c>
      <c r="F273" s="443" t="s">
        <v>309</v>
      </c>
      <c r="G273" s="454" t="s">
        <v>321</v>
      </c>
      <c r="H273" s="442" t="e">
        <f>ROUND(J273/1.2,2)</f>
        <v>#REF!</v>
      </c>
      <c r="I273" s="442" t="e">
        <f t="shared" si="21"/>
        <v>#REF!</v>
      </c>
      <c r="J273" s="442" t="e">
        <f>ROUND((#REF!+#REF!)*(1+$H$7)*1.2,0)</f>
        <v>#REF!</v>
      </c>
      <c r="K273" s="442">
        <v>12</v>
      </c>
      <c r="L273" s="78" t="e">
        <f t="shared" si="17"/>
        <v>#REF!</v>
      </c>
    </row>
    <row r="274" spans="1:12" ht="29.25" hidden="1" customHeight="1" x14ac:dyDescent="0.25">
      <c r="A274" s="446" t="s">
        <v>547</v>
      </c>
      <c r="B274" s="446" t="s">
        <v>310</v>
      </c>
      <c r="C274" s="446"/>
      <c r="D274" s="446"/>
      <c r="E274" s="444" t="s">
        <v>130</v>
      </c>
      <c r="F274" s="443" t="s">
        <v>18</v>
      </c>
      <c r="G274" s="443" t="s">
        <v>29</v>
      </c>
      <c r="H274" s="442" t="e">
        <f t="shared" si="22"/>
        <v>#REF!</v>
      </c>
      <c r="I274" s="442" t="e">
        <f t="shared" si="21"/>
        <v>#REF!</v>
      </c>
      <c r="J274" s="442" t="e">
        <f>ROUND((#REF!+#REF!)*(1+$H$7)*1.2,0)</f>
        <v>#REF!</v>
      </c>
      <c r="K274" s="442">
        <v>192</v>
      </c>
      <c r="L274" s="78" t="e">
        <f t="shared" si="17"/>
        <v>#REF!</v>
      </c>
    </row>
    <row r="275" spans="1:12" ht="29.25" hidden="1" customHeight="1" x14ac:dyDescent="0.25">
      <c r="A275" s="446" t="s">
        <v>548</v>
      </c>
      <c r="B275" s="443" t="s">
        <v>27</v>
      </c>
      <c r="C275" s="443"/>
      <c r="D275" s="443"/>
      <c r="E275" s="444" t="s">
        <v>131</v>
      </c>
      <c r="F275" s="443" t="s">
        <v>311</v>
      </c>
      <c r="G275" s="454" t="s">
        <v>312</v>
      </c>
      <c r="H275" s="442" t="e">
        <f t="shared" si="22"/>
        <v>#REF!</v>
      </c>
      <c r="I275" s="442" t="e">
        <f t="shared" si="21"/>
        <v>#REF!</v>
      </c>
      <c r="J275" s="442" t="e">
        <f>ROUND((#REF!+#REF!)*(1+$H$7)*1.2,0)</f>
        <v>#REF!</v>
      </c>
      <c r="K275" s="442">
        <v>66</v>
      </c>
      <c r="L275" s="78" t="e">
        <f t="shared" si="17"/>
        <v>#REF!</v>
      </c>
    </row>
    <row r="276" spans="1:12" ht="26.25" hidden="1" x14ac:dyDescent="0.25">
      <c r="A276" s="175" t="s">
        <v>549</v>
      </c>
      <c r="B276" s="443" t="s">
        <v>27</v>
      </c>
      <c r="C276" s="443"/>
      <c r="D276" s="443"/>
      <c r="E276" s="444" t="s">
        <v>132</v>
      </c>
      <c r="F276" s="443" t="s">
        <v>311</v>
      </c>
      <c r="G276" s="124" t="s">
        <v>363</v>
      </c>
      <c r="H276" s="442" t="e">
        <f t="shared" si="22"/>
        <v>#REF!</v>
      </c>
      <c r="I276" s="442" t="e">
        <f t="shared" si="21"/>
        <v>#REF!</v>
      </c>
      <c r="J276" s="442" t="e">
        <f>ROUND((#REF!+#REF!)*(1+$H$7)*1.2,0)</f>
        <v>#REF!</v>
      </c>
      <c r="K276" s="442">
        <v>39</v>
      </c>
      <c r="L276" s="78" t="e">
        <f t="shared" si="17"/>
        <v>#REF!</v>
      </c>
    </row>
    <row r="277" spans="1:12" ht="22.7" hidden="1" customHeight="1" x14ac:dyDescent="0.25">
      <c r="A277" s="175" t="s">
        <v>550</v>
      </c>
      <c r="B277" s="443" t="s">
        <v>27</v>
      </c>
      <c r="C277" s="443"/>
      <c r="D277" s="443"/>
      <c r="E277" s="444" t="s">
        <v>133</v>
      </c>
      <c r="F277" s="443" t="s">
        <v>316</v>
      </c>
      <c r="G277" s="443" t="s">
        <v>315</v>
      </c>
      <c r="H277" s="442" t="e">
        <f t="shared" si="22"/>
        <v>#REF!</v>
      </c>
      <c r="I277" s="442" t="e">
        <f t="shared" si="21"/>
        <v>#REF!</v>
      </c>
      <c r="J277" s="442" t="e">
        <f>ROUND((#REF!+#REF!)*(1+$H$7)*1.2,0)</f>
        <v>#REF!</v>
      </c>
      <c r="K277" s="442">
        <v>11</v>
      </c>
      <c r="L277" s="78" t="e">
        <f t="shared" si="17"/>
        <v>#REF!</v>
      </c>
    </row>
    <row r="278" spans="1:12" ht="29.25" hidden="1" customHeight="1" x14ac:dyDescent="0.25">
      <c r="A278" s="175" t="s">
        <v>435</v>
      </c>
      <c r="B278" s="443" t="s">
        <v>27</v>
      </c>
      <c r="C278" s="443"/>
      <c r="D278" s="443"/>
      <c r="E278" s="444" t="s">
        <v>134</v>
      </c>
      <c r="F278" s="443" t="s">
        <v>316</v>
      </c>
      <c r="G278" s="454" t="s">
        <v>312</v>
      </c>
      <c r="H278" s="442" t="e">
        <f>ROUND(J278/1.2,2)</f>
        <v>#REF!</v>
      </c>
      <c r="I278" s="442" t="e">
        <f t="shared" si="21"/>
        <v>#REF!</v>
      </c>
      <c r="J278" s="442" t="e">
        <f>ROUND((#REF!+#REF!)*(1+$H$7)*1.2,0)</f>
        <v>#REF!</v>
      </c>
      <c r="K278" s="442">
        <v>53</v>
      </c>
      <c r="L278" s="78" t="e">
        <f t="shared" si="17"/>
        <v>#REF!</v>
      </c>
    </row>
    <row r="279" spans="1:12" ht="16.5" hidden="1" customHeight="1" x14ac:dyDescent="0.25">
      <c r="A279" s="604" t="s">
        <v>551</v>
      </c>
      <c r="B279" s="592" t="s">
        <v>27</v>
      </c>
      <c r="C279" s="443"/>
      <c r="D279" s="443"/>
      <c r="E279" s="589" t="s">
        <v>135</v>
      </c>
      <c r="F279" s="593" t="s">
        <v>18</v>
      </c>
      <c r="G279" s="454" t="s">
        <v>162</v>
      </c>
      <c r="H279" s="596" t="e">
        <f>ROUND(J279/1.2,2)</f>
        <v>#REF!</v>
      </c>
      <c r="I279" s="596" t="e">
        <f t="shared" si="21"/>
        <v>#REF!</v>
      </c>
      <c r="J279" s="596" t="e">
        <f>ROUND((#REF!+#REF!)*(1+$H$7)*1.2,0)</f>
        <v>#REF!</v>
      </c>
      <c r="K279" s="596">
        <v>583</v>
      </c>
      <c r="L279" s="601" t="e">
        <f t="shared" si="17"/>
        <v>#REF!</v>
      </c>
    </row>
    <row r="280" spans="1:12" ht="25.5" hidden="1" customHeight="1" x14ac:dyDescent="0.25">
      <c r="A280" s="605"/>
      <c r="B280" s="592"/>
      <c r="C280" s="443"/>
      <c r="D280" s="443"/>
      <c r="E280" s="589"/>
      <c r="F280" s="593"/>
      <c r="G280" s="458" t="s">
        <v>363</v>
      </c>
      <c r="H280" s="596" t="e">
        <f t="shared" ref="H280" si="23">ROUND(J280/1.18,2)</f>
        <v>#REF!</v>
      </c>
      <c r="I280" s="596" t="e">
        <f t="shared" si="21"/>
        <v>#REF!</v>
      </c>
      <c r="J280" s="596" t="e">
        <f>ROUND((#REF!+#REF!)*(1+$H$7)*1.18,0)</f>
        <v>#REF!</v>
      </c>
      <c r="K280" s="596"/>
      <c r="L280" s="601"/>
    </row>
    <row r="281" spans="1:12" ht="25.5" hidden="1" x14ac:dyDescent="0.25">
      <c r="A281" s="175" t="s">
        <v>552</v>
      </c>
      <c r="B281" s="443" t="s">
        <v>27</v>
      </c>
      <c r="C281" s="443"/>
      <c r="D281" s="443"/>
      <c r="E281" s="444" t="s">
        <v>136</v>
      </c>
      <c r="F281" s="443" t="s">
        <v>316</v>
      </c>
      <c r="G281" s="447" t="s">
        <v>163</v>
      </c>
      <c r="H281" s="442" t="e">
        <f>ROUND(J281/1.2,2)</f>
        <v>#REF!</v>
      </c>
      <c r="I281" s="442" t="e">
        <f t="shared" si="21"/>
        <v>#REF!</v>
      </c>
      <c r="J281" s="442" t="e">
        <f>ROUND((#REF!+#REF!)*(1+$H$7)*1.2,0)</f>
        <v>#REF!</v>
      </c>
      <c r="K281" s="442">
        <v>202</v>
      </c>
      <c r="L281" s="78" t="e">
        <f t="shared" si="17"/>
        <v>#REF!</v>
      </c>
    </row>
    <row r="282" spans="1:12" ht="19.5" hidden="1" customHeight="1" x14ac:dyDescent="0.25">
      <c r="A282" s="604" t="s">
        <v>553</v>
      </c>
      <c r="B282" s="592" t="s">
        <v>27</v>
      </c>
      <c r="C282" s="443"/>
      <c r="D282" s="443"/>
      <c r="E282" s="589" t="s">
        <v>137</v>
      </c>
      <c r="F282" s="592" t="s">
        <v>328</v>
      </c>
      <c r="G282" s="443" t="s">
        <v>350</v>
      </c>
      <c r="H282" s="596" t="e">
        <f>ROUND(J282/1.2,2)</f>
        <v>#REF!</v>
      </c>
      <c r="I282" s="596" t="e">
        <f t="shared" si="21"/>
        <v>#REF!</v>
      </c>
      <c r="J282" s="596" t="e">
        <f>ROUND((#REF!+#REF!)*(1+$H$7)*1.2,0)</f>
        <v>#REF!</v>
      </c>
      <c r="K282" s="596">
        <v>323</v>
      </c>
      <c r="L282" s="601" t="e">
        <f t="shared" si="17"/>
        <v>#REF!</v>
      </c>
    </row>
    <row r="283" spans="1:12" ht="24" hidden="1" customHeight="1" x14ac:dyDescent="0.25">
      <c r="A283" s="605"/>
      <c r="B283" s="592"/>
      <c r="C283" s="443"/>
      <c r="D283" s="443"/>
      <c r="E283" s="589"/>
      <c r="F283" s="592"/>
      <c r="G283" s="447" t="s">
        <v>349</v>
      </c>
      <c r="H283" s="596"/>
      <c r="I283" s="596"/>
      <c r="J283" s="596"/>
      <c r="K283" s="596"/>
      <c r="L283" s="601"/>
    </row>
    <row r="284" spans="1:12" ht="39.75" hidden="1" customHeight="1" x14ac:dyDescent="0.25">
      <c r="A284" s="175" t="s">
        <v>554</v>
      </c>
      <c r="B284" s="443" t="s">
        <v>27</v>
      </c>
      <c r="C284" s="443"/>
      <c r="D284" s="443"/>
      <c r="E284" s="459" t="s">
        <v>138</v>
      </c>
      <c r="F284" s="443" t="s">
        <v>311</v>
      </c>
      <c r="G284" s="443" t="s">
        <v>161</v>
      </c>
      <c r="H284" s="442" t="e">
        <f>ROUND(J284/1.2,2)</f>
        <v>#REF!</v>
      </c>
      <c r="I284" s="442" t="e">
        <f>ROUND(H284*$I$7,2)</f>
        <v>#REF!</v>
      </c>
      <c r="J284" s="442" t="e">
        <f>ROUND((#REF!+#REF!)*(1+$H$7)*1.2,0)</f>
        <v>#REF!</v>
      </c>
      <c r="K284" s="442">
        <v>512</v>
      </c>
      <c r="L284" s="78" t="e">
        <f t="shared" si="17"/>
        <v>#REF!</v>
      </c>
    </row>
    <row r="285" spans="1:12" ht="43.5" hidden="1" customHeight="1" x14ac:dyDescent="0.25">
      <c r="A285" s="445" t="s">
        <v>555</v>
      </c>
      <c r="B285" s="443" t="s">
        <v>27</v>
      </c>
      <c r="C285" s="443"/>
      <c r="D285" s="443"/>
      <c r="E285" s="444" t="s">
        <v>139</v>
      </c>
      <c r="F285" s="443" t="s">
        <v>348</v>
      </c>
      <c r="G285" s="447" t="s">
        <v>163</v>
      </c>
      <c r="H285" s="442" t="e">
        <f>ROUND(J285/1.2,2)</f>
        <v>#REF!</v>
      </c>
      <c r="I285" s="442" t="e">
        <f>ROUND(H285*$I$7,2)</f>
        <v>#REF!</v>
      </c>
      <c r="J285" s="442" t="e">
        <f>ROUND((#REF!+#REF!)*(1+$H$7)*1.2,0)</f>
        <v>#REF!</v>
      </c>
      <c r="K285" s="442">
        <v>297</v>
      </c>
      <c r="L285" s="78" t="e">
        <f t="shared" si="17"/>
        <v>#REF!</v>
      </c>
    </row>
    <row r="286" spans="1:12" ht="66.75" hidden="1" customHeight="1" x14ac:dyDescent="0.25">
      <c r="A286" s="175" t="s">
        <v>556</v>
      </c>
      <c r="B286" s="443" t="s">
        <v>27</v>
      </c>
      <c r="C286" s="443"/>
      <c r="D286" s="443"/>
      <c r="E286" s="459" t="s">
        <v>314</v>
      </c>
      <c r="F286" s="443" t="s">
        <v>18</v>
      </c>
      <c r="G286" s="443" t="s">
        <v>161</v>
      </c>
      <c r="H286" s="442" t="e">
        <f>ROUND(J286/1.2,2)</f>
        <v>#REF!</v>
      </c>
      <c r="I286" s="442" t="e">
        <f>ROUND(H286*$I$7,2)</f>
        <v>#REF!</v>
      </c>
      <c r="J286" s="442" t="e">
        <f>ROUND((#REF!+#REF!)*(1+$H$7)*1.2,0)</f>
        <v>#REF!</v>
      </c>
      <c r="K286" s="442">
        <v>512</v>
      </c>
      <c r="L286" s="78" t="e">
        <f t="shared" si="17"/>
        <v>#REF!</v>
      </c>
    </row>
    <row r="287" spans="1:12" hidden="1" x14ac:dyDescent="0.25">
      <c r="B287" s="77"/>
      <c r="C287" s="77"/>
      <c r="D287" s="77"/>
      <c r="E287" s="108"/>
      <c r="F287" s="77"/>
      <c r="G287" s="77"/>
      <c r="H287" s="138"/>
      <c r="I287" s="138"/>
      <c r="J287" s="138"/>
    </row>
    <row r="288" spans="1:12" hidden="1" x14ac:dyDescent="0.25">
      <c r="B288" s="587" t="s">
        <v>573</v>
      </c>
      <c r="C288" s="587"/>
      <c r="D288" s="587"/>
      <c r="E288" s="587"/>
      <c r="F288" s="77"/>
      <c r="G288" s="77"/>
      <c r="H288" s="138"/>
      <c r="I288" s="138"/>
      <c r="J288" s="138"/>
    </row>
    <row r="289" spans="1:10" ht="53.25" hidden="1" customHeight="1" x14ac:dyDescent="0.25">
      <c r="A289" s="583" t="s">
        <v>572</v>
      </c>
      <c r="B289" s="583"/>
      <c r="C289" s="583"/>
      <c r="D289" s="583"/>
      <c r="E289" s="583"/>
      <c r="F289" s="583"/>
      <c r="G289" s="583"/>
      <c r="H289" s="583"/>
      <c r="I289" s="583"/>
      <c r="J289" s="583"/>
    </row>
    <row r="290" spans="1:10" ht="38.25" hidden="1" customHeight="1" x14ac:dyDescent="0.25">
      <c r="B290" s="77"/>
      <c r="C290" s="77"/>
      <c r="D290" s="77"/>
      <c r="E290" s="110" t="s">
        <v>561</v>
      </c>
      <c r="F290" s="85"/>
      <c r="G290" s="85"/>
      <c r="H290" s="138"/>
      <c r="I290" s="138"/>
      <c r="J290" s="138"/>
    </row>
    <row r="291" spans="1:10" ht="15.75" hidden="1" x14ac:dyDescent="0.25">
      <c r="E291" s="110"/>
      <c r="F291" s="85"/>
      <c r="G291" s="85"/>
    </row>
    <row r="292" spans="1:10" ht="45" hidden="1" customHeight="1" x14ac:dyDescent="0.25">
      <c r="E292" s="110" t="s">
        <v>564</v>
      </c>
      <c r="F292" s="85"/>
      <c r="G292" s="85"/>
    </row>
    <row r="293" spans="1:10" hidden="1" x14ac:dyDescent="0.25">
      <c r="E293" s="108"/>
      <c r="F293" s="77"/>
      <c r="G293" s="77"/>
    </row>
    <row r="294" spans="1:10" hidden="1" x14ac:dyDescent="0.25">
      <c r="E294" s="108"/>
      <c r="F294" s="77"/>
      <c r="G294" s="77"/>
    </row>
    <row r="295" spans="1:10" hidden="1" x14ac:dyDescent="0.25"/>
  </sheetData>
  <mergeCells count="166">
    <mergeCell ref="L282:L283"/>
    <mergeCell ref="B288:E288"/>
    <mergeCell ref="A289:J289"/>
    <mergeCell ref="I27:J27"/>
    <mergeCell ref="I29:J29"/>
    <mergeCell ref="C29:E29"/>
    <mergeCell ref="H282:H283"/>
    <mergeCell ref="I282:I283"/>
    <mergeCell ref="J282:J283"/>
    <mergeCell ref="K282:K283"/>
    <mergeCell ref="K279:K280"/>
    <mergeCell ref="L279:L280"/>
    <mergeCell ref="A282:A283"/>
    <mergeCell ref="B282:B283"/>
    <mergeCell ref="E282:E283"/>
    <mergeCell ref="F282:F283"/>
    <mergeCell ref="H279:H280"/>
    <mergeCell ref="I279:I280"/>
    <mergeCell ref="J279:J280"/>
    <mergeCell ref="K249:K250"/>
    <mergeCell ref="L249:L250"/>
    <mergeCell ref="A255:J255"/>
    <mergeCell ref="A265:J265"/>
    <mergeCell ref="A279:A280"/>
    <mergeCell ref="B279:B280"/>
    <mergeCell ref="E279:E280"/>
    <mergeCell ref="F279:F280"/>
    <mergeCell ref="H249:H250"/>
    <mergeCell ref="I249:I250"/>
    <mergeCell ref="J249:J250"/>
    <mergeCell ref="A231:A232"/>
    <mergeCell ref="B231:B232"/>
    <mergeCell ref="E231:E232"/>
    <mergeCell ref="F231:F232"/>
    <mergeCell ref="J231:J232"/>
    <mergeCell ref="K231:K232"/>
    <mergeCell ref="L231:L232"/>
    <mergeCell ref="A246:J246"/>
    <mergeCell ref="A249:A250"/>
    <mergeCell ref="B249:B250"/>
    <mergeCell ref="E249:E250"/>
    <mergeCell ref="F249:F250"/>
    <mergeCell ref="H231:H232"/>
    <mergeCell ref="I231:I232"/>
    <mergeCell ref="A220:A221"/>
    <mergeCell ref="B220:B221"/>
    <mergeCell ref="E220:E221"/>
    <mergeCell ref="F220:F221"/>
    <mergeCell ref="L220:L221"/>
    <mergeCell ref="A228:A229"/>
    <mergeCell ref="B228:B229"/>
    <mergeCell ref="E228:E229"/>
    <mergeCell ref="F228:F229"/>
    <mergeCell ref="H220:H221"/>
    <mergeCell ref="I220:I221"/>
    <mergeCell ref="J220:J221"/>
    <mergeCell ref="K220:K221"/>
    <mergeCell ref="H228:H229"/>
    <mergeCell ref="I228:I229"/>
    <mergeCell ref="J228:J229"/>
    <mergeCell ref="K228:K229"/>
    <mergeCell ref="L228:L229"/>
    <mergeCell ref="A207:K207"/>
    <mergeCell ref="A212:A213"/>
    <mergeCell ref="B212:B213"/>
    <mergeCell ref="E212:E213"/>
    <mergeCell ref="F212:F213"/>
    <mergeCell ref="H147:H148"/>
    <mergeCell ref="J212:J213"/>
    <mergeCell ref="K212:K213"/>
    <mergeCell ref="L212:L213"/>
    <mergeCell ref="H212:H213"/>
    <mergeCell ref="I212:I213"/>
    <mergeCell ref="K67:K68"/>
    <mergeCell ref="A124:K124"/>
    <mergeCell ref="A138:A139"/>
    <mergeCell ref="B138:B139"/>
    <mergeCell ref="E138:E139"/>
    <mergeCell ref="F138:F139"/>
    <mergeCell ref="H67:H68"/>
    <mergeCell ref="L138:L139"/>
    <mergeCell ref="A147:A148"/>
    <mergeCell ref="B147:B148"/>
    <mergeCell ref="E147:E148"/>
    <mergeCell ref="F147:F148"/>
    <mergeCell ref="H138:H139"/>
    <mergeCell ref="I138:I139"/>
    <mergeCell ref="J138:J139"/>
    <mergeCell ref="K138:K139"/>
    <mergeCell ref="I147:I148"/>
    <mergeCell ref="J147:J148"/>
    <mergeCell ref="K147:K148"/>
    <mergeCell ref="L147:L148"/>
    <mergeCell ref="A64:G66"/>
    <mergeCell ref="A67:A68"/>
    <mergeCell ref="E67:E68"/>
    <mergeCell ref="F67:F68"/>
    <mergeCell ref="H52:H53"/>
    <mergeCell ref="I52:I53"/>
    <mergeCell ref="J52:J53"/>
    <mergeCell ref="I67:I68"/>
    <mergeCell ref="J67:J68"/>
    <mergeCell ref="K30:K31"/>
    <mergeCell ref="J39:J40"/>
    <mergeCell ref="K39:K40"/>
    <mergeCell ref="A47:G49"/>
    <mergeCell ref="B39:B40"/>
    <mergeCell ref="E39:E40"/>
    <mergeCell ref="F39:F40"/>
    <mergeCell ref="B50:E50"/>
    <mergeCell ref="A51:A63"/>
    <mergeCell ref="B52:B53"/>
    <mergeCell ref="E52:E53"/>
    <mergeCell ref="F52:F53"/>
    <mergeCell ref="H39:H40"/>
    <mergeCell ref="I39:I40"/>
    <mergeCell ref="K52:K53"/>
    <mergeCell ref="E25:F25"/>
    <mergeCell ref="C26:J26"/>
    <mergeCell ref="A30:A46"/>
    <mergeCell ref="B30:B31"/>
    <mergeCell ref="E30:E31"/>
    <mergeCell ref="F30:F31"/>
    <mergeCell ref="J21:J22"/>
    <mergeCell ref="G21:G22"/>
    <mergeCell ref="A21:A22"/>
    <mergeCell ref="B21:B22"/>
    <mergeCell ref="H30:H31"/>
    <mergeCell ref="I30:I31"/>
    <mergeCell ref="J30:J31"/>
    <mergeCell ref="C21:C22"/>
    <mergeCell ref="D21:D22"/>
    <mergeCell ref="E21:E22"/>
    <mergeCell ref="F21:F22"/>
    <mergeCell ref="J16:J17"/>
    <mergeCell ref="K16:K17"/>
    <mergeCell ref="L16:L17"/>
    <mergeCell ref="A20:K20"/>
    <mergeCell ref="K21:K22"/>
    <mergeCell ref="L21:L22"/>
    <mergeCell ref="A16:A17"/>
    <mergeCell ref="B16:B17"/>
    <mergeCell ref="E16:E17"/>
    <mergeCell ref="F16:F17"/>
    <mergeCell ref="G16:G17"/>
    <mergeCell ref="J11:J12"/>
    <mergeCell ref="K11:K12"/>
    <mergeCell ref="L11:L12"/>
    <mergeCell ref="H1:J1"/>
    <mergeCell ref="A2:J2"/>
    <mergeCell ref="H3:J3"/>
    <mergeCell ref="C4:J4"/>
    <mergeCell ref="A6:A7"/>
    <mergeCell ref="B6:B7"/>
    <mergeCell ref="E6:E7"/>
    <mergeCell ref="F6:F7"/>
    <mergeCell ref="G6:G7"/>
    <mergeCell ref="J6:J7"/>
    <mergeCell ref="K6:K7"/>
    <mergeCell ref="L6:L7"/>
    <mergeCell ref="A10:K10"/>
    <mergeCell ref="A11:A12"/>
    <mergeCell ref="B11:B12"/>
    <mergeCell ref="E11:E12"/>
    <mergeCell ref="F11:F12"/>
    <mergeCell ref="G11:G12"/>
  </mergeCells>
  <pageMargins left="0.70866141732283472" right="0.70866141732283472" top="0.74803149606299213" bottom="0.74803149606299213" header="0.31496062992125984" footer="0.31496062992125984"/>
  <pageSetup paperSize="9" scale="88" fitToHeight="0" orientation="portrait" r:id="rId1"/>
  <headerFooter>
    <oddFooter>&amp;R&amp;P</oddFooter>
  </headerFooter>
  <rowBreaks count="7" manualBreakCount="7">
    <brk id="49" max="21" man="1"/>
    <brk id="79" max="21" man="1"/>
    <brk id="118" max="21" man="1"/>
    <brk id="154" max="21" man="1"/>
    <brk id="200" max="21" man="1"/>
    <brk id="238" max="21" man="1"/>
    <brk id="264"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95"/>
  <sheetViews>
    <sheetView view="pageBreakPreview" topLeftCell="C3" zoomScale="90" zoomScaleSheetLayoutView="90" workbookViewId="0">
      <selection activeCell="H23" sqref="H23"/>
    </sheetView>
  </sheetViews>
  <sheetFormatPr defaultRowHeight="15" outlineLevelRow="1" outlineLevelCol="1" x14ac:dyDescent="0.25"/>
  <cols>
    <col min="1" max="1" width="8.42578125" style="47" hidden="1" customWidth="1"/>
    <col min="2" max="2" width="8.7109375" hidden="1" customWidth="1"/>
    <col min="3" max="3" width="7.28515625" customWidth="1"/>
    <col min="4" max="4" width="8.7109375" customWidth="1"/>
    <col min="5" max="5" width="37.5703125" style="45" customWidth="1"/>
    <col min="6" max="6" width="11.28515625" customWidth="1"/>
    <col min="7" max="7" width="12.28515625" customWidth="1"/>
    <col min="8" max="8" width="9.140625" customWidth="1" outlineLevel="1"/>
    <col min="9" max="9" width="9.7109375" customWidth="1" outlineLevel="1"/>
    <col min="10" max="11" width="9.140625" customWidth="1" outlineLevel="1"/>
    <col min="12" max="12" width="10.5703125" customWidth="1" outlineLevel="1"/>
    <col min="13" max="13" width="14.7109375" style="45" customWidth="1" outlineLevel="1"/>
    <col min="14" max="15" width="9.140625" style="37" customWidth="1" outlineLevel="1"/>
    <col min="16" max="16" width="11.7109375" style="37" customWidth="1" outlineLevel="1"/>
    <col min="17" max="17" width="10.140625" style="37" customWidth="1" outlineLevel="1"/>
    <col min="18" max="18" width="9.140625" customWidth="1" outlineLevel="1"/>
    <col min="19" max="19" width="10" customWidth="1" outlineLevel="1"/>
    <col min="20" max="20" width="10.28515625" style="140" customWidth="1"/>
    <col min="21" max="22" width="9.140625" style="140"/>
    <col min="23" max="23" width="14" customWidth="1"/>
  </cols>
  <sheetData>
    <row r="1" spans="1:24" ht="93.75" hidden="1" customHeight="1" x14ac:dyDescent="0.25">
      <c r="A1" s="107"/>
      <c r="B1" s="77"/>
      <c r="C1" s="77"/>
      <c r="D1" s="77"/>
      <c r="E1" s="108"/>
      <c r="F1" s="77"/>
      <c r="G1" s="77"/>
      <c r="H1" s="77"/>
      <c r="I1" s="77"/>
      <c r="J1" s="77"/>
      <c r="K1" s="77"/>
      <c r="L1" s="77"/>
      <c r="M1" s="108"/>
      <c r="N1" s="109"/>
      <c r="O1" s="109"/>
      <c r="P1" s="109"/>
      <c r="Q1" s="109"/>
      <c r="R1" s="584" t="s">
        <v>578</v>
      </c>
      <c r="S1" s="584"/>
      <c r="T1" s="584"/>
      <c r="U1" s="584"/>
      <c r="V1" s="584"/>
    </row>
    <row r="2" spans="1:24" ht="78.75" hidden="1" customHeight="1" x14ac:dyDescent="0.25">
      <c r="A2" s="585" t="s">
        <v>560</v>
      </c>
      <c r="B2" s="586"/>
      <c r="C2" s="586"/>
      <c r="D2" s="586"/>
      <c r="E2" s="586"/>
      <c r="F2" s="586"/>
      <c r="G2" s="586"/>
      <c r="H2" s="586"/>
      <c r="I2" s="586"/>
      <c r="J2" s="586"/>
      <c r="K2" s="586"/>
      <c r="L2" s="586"/>
      <c r="M2" s="586"/>
      <c r="N2" s="586"/>
      <c r="O2" s="586"/>
      <c r="P2" s="586"/>
      <c r="Q2" s="586"/>
      <c r="R2" s="586"/>
      <c r="S2" s="586"/>
      <c r="T2" s="586"/>
      <c r="U2" s="586"/>
      <c r="V2" s="586"/>
    </row>
    <row r="3" spans="1:24" ht="78.75" customHeight="1" x14ac:dyDescent="0.25">
      <c r="A3" s="218"/>
      <c r="B3" s="219"/>
      <c r="C3" s="219"/>
      <c r="D3" s="219"/>
      <c r="E3" s="219"/>
      <c r="F3" s="219"/>
      <c r="G3" s="219"/>
      <c r="H3" s="219"/>
      <c r="I3" s="219"/>
      <c r="J3" s="219"/>
      <c r="K3" s="219"/>
      <c r="L3" s="219"/>
      <c r="M3" s="219"/>
      <c r="N3" s="219"/>
      <c r="O3" s="219"/>
      <c r="P3" s="219"/>
      <c r="Q3" s="219"/>
      <c r="R3" s="219"/>
      <c r="S3" s="584" t="s">
        <v>706</v>
      </c>
      <c r="T3" s="584"/>
      <c r="U3" s="584"/>
      <c r="V3" s="584"/>
    </row>
    <row r="4" spans="1:24" ht="95.25" customHeight="1" x14ac:dyDescent="0.3">
      <c r="A4" s="218"/>
      <c r="B4" s="219"/>
      <c r="C4" s="756" t="s">
        <v>709</v>
      </c>
      <c r="D4" s="757"/>
      <c r="E4" s="757"/>
      <c r="F4" s="757"/>
      <c r="G4" s="757"/>
      <c r="H4" s="757"/>
      <c r="I4" s="757"/>
      <c r="J4" s="757"/>
      <c r="K4" s="757"/>
      <c r="L4" s="757"/>
      <c r="M4" s="757"/>
      <c r="N4" s="757"/>
      <c r="O4" s="757"/>
      <c r="P4" s="757"/>
      <c r="Q4" s="757"/>
      <c r="R4" s="757"/>
      <c r="S4" s="757"/>
      <c r="T4" s="757"/>
      <c r="U4" s="757"/>
      <c r="V4" s="757"/>
    </row>
    <row r="5" spans="1:24" ht="37.5" customHeight="1" x14ac:dyDescent="0.25">
      <c r="A5" s="107"/>
      <c r="B5" s="77"/>
      <c r="C5" s="77"/>
      <c r="D5" s="77"/>
      <c r="E5" s="108"/>
      <c r="F5" s="77"/>
      <c r="G5" s="77"/>
      <c r="H5" s="77"/>
      <c r="I5" s="77"/>
      <c r="J5" s="77"/>
      <c r="K5" s="77"/>
      <c r="L5" s="77"/>
      <c r="M5" s="108"/>
      <c r="N5" s="109"/>
      <c r="O5" s="109"/>
      <c r="P5" s="109"/>
      <c r="Q5" s="109"/>
      <c r="R5" s="77"/>
      <c r="S5" s="77"/>
      <c r="T5" s="138"/>
      <c r="U5" s="138"/>
      <c r="V5" s="138"/>
    </row>
    <row r="6" spans="1:24" s="82" customFormat="1" ht="39.75" hidden="1" customHeight="1" x14ac:dyDescent="0.2">
      <c r="A6" s="615" t="s">
        <v>0</v>
      </c>
      <c r="B6" s="602" t="s">
        <v>1</v>
      </c>
      <c r="C6" s="212"/>
      <c r="D6" s="212"/>
      <c r="E6" s="600" t="s">
        <v>2</v>
      </c>
      <c r="F6" s="600" t="s">
        <v>590</v>
      </c>
      <c r="G6" s="600" t="s">
        <v>4</v>
      </c>
      <c r="H6" s="600" t="s">
        <v>5</v>
      </c>
      <c r="I6" s="600" t="s">
        <v>6</v>
      </c>
      <c r="J6" s="600" t="s">
        <v>7</v>
      </c>
      <c r="K6" s="165" t="s">
        <v>589</v>
      </c>
      <c r="L6" s="602" t="s">
        <v>19</v>
      </c>
      <c r="M6" s="611" t="s">
        <v>9</v>
      </c>
      <c r="N6" s="611" t="s">
        <v>10</v>
      </c>
      <c r="O6" s="611" t="s">
        <v>11</v>
      </c>
      <c r="P6" s="611" t="s">
        <v>12</v>
      </c>
      <c r="Q6" s="611" t="s">
        <v>13</v>
      </c>
      <c r="R6" s="602" t="s">
        <v>17</v>
      </c>
      <c r="S6" s="170" t="s">
        <v>14</v>
      </c>
      <c r="T6" s="173" t="s">
        <v>16</v>
      </c>
      <c r="U6" s="173" t="s">
        <v>20</v>
      </c>
      <c r="V6" s="613" t="s">
        <v>15</v>
      </c>
      <c r="W6" s="602"/>
      <c r="X6" s="602"/>
    </row>
    <row r="7" spans="1:24" s="82" customFormat="1" ht="13.7" hidden="1" customHeight="1" x14ac:dyDescent="0.2">
      <c r="A7" s="616"/>
      <c r="B7" s="617"/>
      <c r="C7" s="213"/>
      <c r="D7" s="213"/>
      <c r="E7" s="600"/>
      <c r="F7" s="618"/>
      <c r="G7" s="618"/>
      <c r="H7" s="618"/>
      <c r="I7" s="619"/>
      <c r="J7" s="619"/>
      <c r="K7" s="84">
        <f>'[1]Исходные данные'!$C$6</f>
        <v>0.30199999999999999</v>
      </c>
      <c r="L7" s="603"/>
      <c r="M7" s="612"/>
      <c r="N7" s="612"/>
      <c r="O7" s="612"/>
      <c r="P7" s="612"/>
      <c r="Q7" s="612"/>
      <c r="R7" s="603"/>
      <c r="S7" s="186">
        <v>1.2210000000000001</v>
      </c>
      <c r="T7" s="141">
        <f>'условия, ФОТ'!$C$8</f>
        <v>0.1</v>
      </c>
      <c r="U7" s="141">
        <v>0.2</v>
      </c>
      <c r="V7" s="614"/>
      <c r="W7" s="603"/>
      <c r="X7" s="603"/>
    </row>
    <row r="8" spans="1:24" ht="39" hidden="1" customHeight="1" x14ac:dyDescent="0.25">
      <c r="A8" s="158" t="s">
        <v>426</v>
      </c>
      <c r="B8" s="112" t="s">
        <v>343</v>
      </c>
      <c r="C8" s="112"/>
      <c r="D8" s="112"/>
      <c r="E8" s="156" t="s">
        <v>361</v>
      </c>
      <c r="F8" s="165">
        <v>11280</v>
      </c>
      <c r="G8" s="167" t="s">
        <v>162</v>
      </c>
      <c r="H8" s="160">
        <v>146.5</v>
      </c>
      <c r="I8" s="160">
        <v>0.4</v>
      </c>
      <c r="J8" s="160">
        <f>ROUND(H8*I8,2)*2</f>
        <v>117.2</v>
      </c>
      <c r="K8" s="160">
        <f>ROUND(J8*$K$7,2)</f>
        <v>35.39</v>
      </c>
      <c r="L8" s="160">
        <f>J8+K8</f>
        <v>152.59</v>
      </c>
      <c r="M8" s="79"/>
      <c r="N8" s="80"/>
      <c r="O8" s="80"/>
      <c r="P8" s="80"/>
      <c r="Q8" s="80"/>
      <c r="R8" s="160">
        <f>L8+Q8</f>
        <v>152.59</v>
      </c>
      <c r="S8" s="160">
        <f>ROUND(R8*$S$7,2)</f>
        <v>186.31</v>
      </c>
      <c r="T8" s="162">
        <f>ROUND(V8/1.2,2)</f>
        <v>372.5</v>
      </c>
      <c r="U8" s="162">
        <f>ROUND(T8*$U$7,2)</f>
        <v>74.5</v>
      </c>
      <c r="V8" s="162">
        <f>ROUND((R8+S8)*(1+$T$7)*1.2,0)</f>
        <v>447</v>
      </c>
      <c r="W8" s="162"/>
      <c r="X8" s="78"/>
    </row>
    <row r="9" spans="1:24" ht="39" hidden="1" customHeight="1" x14ac:dyDescent="0.25">
      <c r="A9" s="158" t="s">
        <v>426</v>
      </c>
      <c r="B9" s="112" t="s">
        <v>343</v>
      </c>
      <c r="C9" s="112"/>
      <c r="D9" s="112"/>
      <c r="E9" s="156" t="s">
        <v>361</v>
      </c>
      <c r="F9" s="165">
        <v>12634</v>
      </c>
      <c r="G9" s="167" t="s">
        <v>162</v>
      </c>
      <c r="H9" s="160">
        <v>164.09</v>
      </c>
      <c r="I9" s="160">
        <v>0.4</v>
      </c>
      <c r="J9" s="160">
        <f>ROUND(H9*I9,2)*2</f>
        <v>131.28</v>
      </c>
      <c r="K9" s="160">
        <f>ROUND(J9*$K$7,2)</f>
        <v>39.65</v>
      </c>
      <c r="L9" s="160">
        <f>J9+K9</f>
        <v>170.93</v>
      </c>
      <c r="M9" s="79"/>
      <c r="N9" s="80"/>
      <c r="O9" s="80"/>
      <c r="P9" s="80"/>
      <c r="Q9" s="80"/>
      <c r="R9" s="160">
        <f>L9+Q9</f>
        <v>170.93</v>
      </c>
      <c r="S9" s="160">
        <f>ROUND(R9*$S$7,2)</f>
        <v>208.71</v>
      </c>
      <c r="T9" s="162">
        <f>ROUND(V9/1.2,2)</f>
        <v>417.5</v>
      </c>
      <c r="U9" s="162">
        <f>ROUND(T9*$U$7,2)</f>
        <v>83.5</v>
      </c>
      <c r="V9" s="162">
        <f>ROUND((R9+S9)*(1+$T$7)*1.2,0)</f>
        <v>501</v>
      </c>
      <c r="W9" s="162"/>
      <c r="X9" s="78"/>
    </row>
    <row r="10" spans="1:24" ht="31.7" hidden="1" customHeight="1" x14ac:dyDescent="0.25">
      <c r="A10" s="610"/>
      <c r="B10" s="610"/>
      <c r="C10" s="610"/>
      <c r="D10" s="610"/>
      <c r="E10" s="610"/>
      <c r="F10" s="610"/>
      <c r="G10" s="610"/>
      <c r="H10" s="610"/>
      <c r="I10" s="610"/>
      <c r="J10" s="610"/>
      <c r="K10" s="610"/>
      <c r="L10" s="610"/>
      <c r="M10" s="610"/>
      <c r="N10" s="610"/>
      <c r="O10" s="610"/>
      <c r="P10" s="610"/>
      <c r="Q10" s="610"/>
      <c r="R10" s="610"/>
      <c r="S10" s="610"/>
      <c r="T10" s="610"/>
      <c r="U10" s="610"/>
      <c r="V10" s="610"/>
      <c r="W10" s="610"/>
      <c r="X10" s="77"/>
    </row>
    <row r="11" spans="1:24" s="82" customFormat="1" ht="39.75" hidden="1" customHeight="1" x14ac:dyDescent="0.2">
      <c r="A11" s="615" t="s">
        <v>0</v>
      </c>
      <c r="B11" s="602" t="s">
        <v>1</v>
      </c>
      <c r="C11" s="212"/>
      <c r="D11" s="212"/>
      <c r="E11" s="600" t="s">
        <v>2</v>
      </c>
      <c r="F11" s="600" t="s">
        <v>590</v>
      </c>
      <c r="G11" s="600" t="s">
        <v>4</v>
      </c>
      <c r="H11" s="600" t="s">
        <v>5</v>
      </c>
      <c r="I11" s="600" t="s">
        <v>6</v>
      </c>
      <c r="J11" s="600" t="s">
        <v>7</v>
      </c>
      <c r="K11" s="181" t="s">
        <v>589</v>
      </c>
      <c r="L11" s="602" t="s">
        <v>19</v>
      </c>
      <c r="M11" s="611" t="s">
        <v>9</v>
      </c>
      <c r="N11" s="611" t="s">
        <v>10</v>
      </c>
      <c r="O11" s="611" t="s">
        <v>11</v>
      </c>
      <c r="P11" s="611" t="s">
        <v>12</v>
      </c>
      <c r="Q11" s="611" t="s">
        <v>13</v>
      </c>
      <c r="R11" s="602" t="s">
        <v>17</v>
      </c>
      <c r="S11" s="182" t="s">
        <v>14</v>
      </c>
      <c r="T11" s="184" t="s">
        <v>16</v>
      </c>
      <c r="U11" s="184" t="s">
        <v>20</v>
      </c>
      <c r="V11" s="613" t="s">
        <v>15</v>
      </c>
      <c r="W11" s="602"/>
      <c r="X11" s="602"/>
    </row>
    <row r="12" spans="1:24" s="82" customFormat="1" ht="13.7" hidden="1" customHeight="1" x14ac:dyDescent="0.2">
      <c r="A12" s="616"/>
      <c r="B12" s="617"/>
      <c r="C12" s="213"/>
      <c r="D12" s="213"/>
      <c r="E12" s="600"/>
      <c r="F12" s="618"/>
      <c r="G12" s="618"/>
      <c r="H12" s="618"/>
      <c r="I12" s="619"/>
      <c r="J12" s="619"/>
      <c r="K12" s="84">
        <f>'[1]Исходные данные'!$C$6</f>
        <v>0.30199999999999999</v>
      </c>
      <c r="L12" s="603"/>
      <c r="M12" s="612"/>
      <c r="N12" s="612"/>
      <c r="O12" s="612"/>
      <c r="P12" s="612"/>
      <c r="Q12" s="612"/>
      <c r="R12" s="603"/>
      <c r="S12" s="186">
        <v>0.76300000000000001</v>
      </c>
      <c r="T12" s="141">
        <f>'условия, ФОТ'!$C$8</f>
        <v>0.1</v>
      </c>
      <c r="U12" s="141">
        <v>0.2</v>
      </c>
      <c r="V12" s="614"/>
      <c r="W12" s="603"/>
      <c r="X12" s="603"/>
    </row>
    <row r="13" spans="1:24" ht="39" hidden="1" customHeight="1" x14ac:dyDescent="0.25">
      <c r="A13" s="179" t="s">
        <v>426</v>
      </c>
      <c r="B13" s="112" t="s">
        <v>343</v>
      </c>
      <c r="C13" s="112"/>
      <c r="D13" s="112"/>
      <c r="E13" s="178" t="s">
        <v>361</v>
      </c>
      <c r="F13" s="181">
        <v>11280</v>
      </c>
      <c r="G13" s="180" t="s">
        <v>162</v>
      </c>
      <c r="H13" s="177">
        <v>146.5</v>
      </c>
      <c r="I13" s="177">
        <v>0.4</v>
      </c>
      <c r="J13" s="177">
        <f>ROUND(H13*I13,2)*2</f>
        <v>117.2</v>
      </c>
      <c r="K13" s="177">
        <f>ROUND(J13*$K$7,2)</f>
        <v>35.39</v>
      </c>
      <c r="L13" s="177">
        <f>J13+K13</f>
        <v>152.59</v>
      </c>
      <c r="M13" s="79"/>
      <c r="N13" s="80"/>
      <c r="O13" s="80"/>
      <c r="P13" s="80"/>
      <c r="Q13" s="80"/>
      <c r="R13" s="177">
        <f>L13+Q13</f>
        <v>152.59</v>
      </c>
      <c r="S13" s="177">
        <f>ROUND(R13*$S$12,2)</f>
        <v>116.43</v>
      </c>
      <c r="T13" s="176">
        <f>ROUND(V13/1.2,2)</f>
        <v>295.83</v>
      </c>
      <c r="U13" s="176">
        <f>ROUND(T13*$U$7,2)</f>
        <v>59.17</v>
      </c>
      <c r="V13" s="176">
        <f>ROUND((R13+S13)*(1+$T$7)*1.2,0)</f>
        <v>355</v>
      </c>
      <c r="W13" s="176"/>
      <c r="X13" s="78"/>
    </row>
    <row r="14" spans="1:24" ht="39" hidden="1" customHeight="1" x14ac:dyDescent="0.25">
      <c r="A14" s="179" t="s">
        <v>426</v>
      </c>
      <c r="B14" s="112" t="s">
        <v>343</v>
      </c>
      <c r="C14" s="112"/>
      <c r="D14" s="112"/>
      <c r="E14" s="178" t="s">
        <v>361</v>
      </c>
      <c r="F14" s="181">
        <v>12634</v>
      </c>
      <c r="G14" s="180" t="s">
        <v>162</v>
      </c>
      <c r="H14" s="177">
        <v>164.09</v>
      </c>
      <c r="I14" s="177">
        <v>0.4</v>
      </c>
      <c r="J14" s="177">
        <f>ROUND(H14*I14,2)*2</f>
        <v>131.28</v>
      </c>
      <c r="K14" s="177">
        <f>ROUND(J14*$K$7,2)</f>
        <v>39.65</v>
      </c>
      <c r="L14" s="177">
        <f>J14+K14</f>
        <v>170.93</v>
      </c>
      <c r="M14" s="79"/>
      <c r="N14" s="80"/>
      <c r="O14" s="80"/>
      <c r="P14" s="80"/>
      <c r="Q14" s="80"/>
      <c r="R14" s="177">
        <f>L14+Q14</f>
        <v>170.93</v>
      </c>
      <c r="S14" s="177">
        <f>ROUND(R14*$S$12,2)</f>
        <v>130.41999999999999</v>
      </c>
      <c r="T14" s="176">
        <f>ROUND(V14/1.2,2)</f>
        <v>331.67</v>
      </c>
      <c r="U14" s="176">
        <f>ROUND(T14*$U$7,2)</f>
        <v>66.33</v>
      </c>
      <c r="V14" s="176">
        <f>ROUND((R14+S14)*(1+$T$7)*1.2,0)</f>
        <v>398</v>
      </c>
      <c r="W14" s="176"/>
      <c r="X14" s="78"/>
    </row>
    <row r="15" spans="1:24" ht="37.5" hidden="1" customHeight="1" x14ac:dyDescent="0.25">
      <c r="A15" s="158" t="s">
        <v>427</v>
      </c>
      <c r="B15" s="166" t="s">
        <v>171</v>
      </c>
      <c r="C15" s="215"/>
      <c r="D15" s="215"/>
      <c r="E15" s="156"/>
      <c r="F15" s="165"/>
      <c r="G15" s="167"/>
      <c r="H15" s="160"/>
      <c r="I15" s="172"/>
      <c r="J15" s="160"/>
      <c r="K15" s="160"/>
      <c r="L15" s="160"/>
      <c r="M15" s="159"/>
      <c r="N15" s="160"/>
      <c r="O15" s="160"/>
      <c r="P15" s="160"/>
      <c r="Q15" s="160"/>
      <c r="R15" s="160"/>
      <c r="S15" s="160"/>
      <c r="T15" s="162"/>
      <c r="U15" s="162"/>
      <c r="V15" s="162"/>
      <c r="W15" s="162">
        <v>423</v>
      </c>
      <c r="X15" s="78">
        <f>V15/W15*100-100</f>
        <v>-100</v>
      </c>
    </row>
    <row r="16" spans="1:24" s="82" customFormat="1" ht="39.75" hidden="1" customHeight="1" x14ac:dyDescent="0.2">
      <c r="A16" s="615" t="s">
        <v>0</v>
      </c>
      <c r="B16" s="602" t="s">
        <v>1</v>
      </c>
      <c r="C16" s="212"/>
      <c r="D16" s="212"/>
      <c r="E16" s="600" t="s">
        <v>2</v>
      </c>
      <c r="F16" s="600" t="s">
        <v>590</v>
      </c>
      <c r="G16" s="600" t="s">
        <v>4</v>
      </c>
      <c r="H16" s="600" t="s">
        <v>5</v>
      </c>
      <c r="I16" s="600" t="s">
        <v>6</v>
      </c>
      <c r="J16" s="600" t="s">
        <v>7</v>
      </c>
      <c r="K16" s="181" t="s">
        <v>589</v>
      </c>
      <c r="L16" s="602" t="s">
        <v>19</v>
      </c>
      <c r="M16" s="611" t="s">
        <v>9</v>
      </c>
      <c r="N16" s="611" t="s">
        <v>10</v>
      </c>
      <c r="O16" s="611" t="s">
        <v>11</v>
      </c>
      <c r="P16" s="611" t="s">
        <v>12</v>
      </c>
      <c r="Q16" s="611" t="s">
        <v>13</v>
      </c>
      <c r="R16" s="602" t="s">
        <v>17</v>
      </c>
      <c r="S16" s="182" t="s">
        <v>14</v>
      </c>
      <c r="T16" s="184" t="s">
        <v>16</v>
      </c>
      <c r="U16" s="184" t="s">
        <v>20</v>
      </c>
      <c r="V16" s="613" t="s">
        <v>15</v>
      </c>
      <c r="W16" s="602"/>
      <c r="X16" s="602"/>
    </row>
    <row r="17" spans="1:24" s="82" customFormat="1" ht="13.7" hidden="1" customHeight="1" x14ac:dyDescent="0.2">
      <c r="A17" s="616"/>
      <c r="B17" s="617"/>
      <c r="C17" s="213"/>
      <c r="D17" s="213"/>
      <c r="E17" s="600"/>
      <c r="F17" s="618"/>
      <c r="G17" s="618"/>
      <c r="H17" s="618"/>
      <c r="I17" s="619"/>
      <c r="J17" s="619"/>
      <c r="K17" s="84">
        <f>'[1]Исходные данные'!$C$6</f>
        <v>0.30199999999999999</v>
      </c>
      <c r="L17" s="603"/>
      <c r="M17" s="612"/>
      <c r="N17" s="612"/>
      <c r="O17" s="612"/>
      <c r="P17" s="612"/>
      <c r="Q17" s="612"/>
      <c r="R17" s="603"/>
      <c r="S17" s="186">
        <v>1.2210000000000001</v>
      </c>
      <c r="T17" s="141">
        <f>'условия, ФОТ'!$C$8</f>
        <v>0.1</v>
      </c>
      <c r="U17" s="141">
        <v>0.2</v>
      </c>
      <c r="V17" s="614"/>
      <c r="W17" s="603"/>
      <c r="X17" s="603"/>
    </row>
    <row r="18" spans="1:24" ht="39" hidden="1" customHeight="1" x14ac:dyDescent="0.25">
      <c r="A18" s="179" t="s">
        <v>426</v>
      </c>
      <c r="B18" s="112" t="s">
        <v>343</v>
      </c>
      <c r="C18" s="112"/>
      <c r="D18" s="112"/>
      <c r="E18" s="178" t="s">
        <v>361</v>
      </c>
      <c r="F18" s="181">
        <v>11280</v>
      </c>
      <c r="G18" s="180" t="s">
        <v>162</v>
      </c>
      <c r="H18" s="177">
        <v>146.5</v>
      </c>
      <c r="I18" s="177">
        <v>1.4</v>
      </c>
      <c r="J18" s="177">
        <f>ROUND(H18*I18,2)*2</f>
        <v>410.2</v>
      </c>
      <c r="K18" s="177">
        <f>ROUND(J18*$K$7,2)</f>
        <v>123.88</v>
      </c>
      <c r="L18" s="177">
        <f>J18+K18</f>
        <v>534.07999999999993</v>
      </c>
      <c r="M18" s="79"/>
      <c r="N18" s="80"/>
      <c r="O18" s="80"/>
      <c r="P18" s="80"/>
      <c r="Q18" s="80"/>
      <c r="R18" s="177">
        <f>L18+Q18</f>
        <v>534.07999999999993</v>
      </c>
      <c r="S18" s="177">
        <f>ROUND(R18*$S$17,2)</f>
        <v>652.11</v>
      </c>
      <c r="T18" s="176">
        <f>ROUND(V18/1.2,2)</f>
        <v>1305</v>
      </c>
      <c r="U18" s="176">
        <f>ROUND(T18*$U$7,2)</f>
        <v>261</v>
      </c>
      <c r="V18" s="176">
        <f>ROUND((R18+S18)*(1+$T$7)*1.2,0)</f>
        <v>1566</v>
      </c>
      <c r="W18" s="176"/>
      <c r="X18" s="78"/>
    </row>
    <row r="19" spans="1:24" ht="39" hidden="1" customHeight="1" x14ac:dyDescent="0.25">
      <c r="A19" s="179" t="s">
        <v>426</v>
      </c>
      <c r="B19" s="112" t="s">
        <v>343</v>
      </c>
      <c r="C19" s="112"/>
      <c r="D19" s="112"/>
      <c r="E19" s="178" t="s">
        <v>361</v>
      </c>
      <c r="F19" s="181">
        <v>12634</v>
      </c>
      <c r="G19" s="180" t="s">
        <v>162</v>
      </c>
      <c r="H19" s="177">
        <v>164.09</v>
      </c>
      <c r="I19" s="177">
        <v>1.4</v>
      </c>
      <c r="J19" s="177">
        <f>ROUND(H19*I19,2)*2</f>
        <v>459.46</v>
      </c>
      <c r="K19" s="177">
        <f>ROUND(J19*$K$7,2)</f>
        <v>138.76</v>
      </c>
      <c r="L19" s="177">
        <f>J19+K19</f>
        <v>598.22</v>
      </c>
      <c r="M19" s="79"/>
      <c r="N19" s="80"/>
      <c r="O19" s="80"/>
      <c r="P19" s="80"/>
      <c r="Q19" s="80"/>
      <c r="R19" s="177">
        <f>L19+Q19</f>
        <v>598.22</v>
      </c>
      <c r="S19" s="177">
        <f>ROUND(R19*$S$17,2)</f>
        <v>730.43</v>
      </c>
      <c r="T19" s="176">
        <f>ROUND(V19/1.2,2)</f>
        <v>1461.67</v>
      </c>
      <c r="U19" s="176">
        <f>ROUND(T19*$U$7,2)</f>
        <v>292.33</v>
      </c>
      <c r="V19" s="176">
        <f>ROUND((R19+S19)*(1+$T$7)*1.2,0)</f>
        <v>1754</v>
      </c>
      <c r="W19" s="176"/>
      <c r="X19" s="78"/>
    </row>
    <row r="20" spans="1:24" ht="31.7" hidden="1" customHeight="1" x14ac:dyDescent="0.25">
      <c r="A20" s="610"/>
      <c r="B20" s="610"/>
      <c r="C20" s="610"/>
      <c r="D20" s="610"/>
      <c r="E20" s="610"/>
      <c r="F20" s="610"/>
      <c r="G20" s="610"/>
      <c r="H20" s="610"/>
      <c r="I20" s="610"/>
      <c r="J20" s="610"/>
      <c r="K20" s="610"/>
      <c r="L20" s="610"/>
      <c r="M20" s="610"/>
      <c r="N20" s="610"/>
      <c r="O20" s="610"/>
      <c r="P20" s="610"/>
      <c r="Q20" s="610"/>
      <c r="R20" s="610"/>
      <c r="S20" s="610"/>
      <c r="T20" s="610"/>
      <c r="U20" s="610"/>
      <c r="V20" s="610"/>
      <c r="W20" s="610"/>
      <c r="X20" s="77"/>
    </row>
    <row r="21" spans="1:24" s="82" customFormat="1" ht="45.75" customHeight="1" x14ac:dyDescent="0.2">
      <c r="A21" s="615" t="s">
        <v>0</v>
      </c>
      <c r="B21" s="602" t="s">
        <v>1</v>
      </c>
      <c r="C21" s="602" t="s">
        <v>0</v>
      </c>
      <c r="D21" s="602" t="s">
        <v>710</v>
      </c>
      <c r="E21" s="600" t="s">
        <v>2</v>
      </c>
      <c r="F21" s="600" t="s">
        <v>3</v>
      </c>
      <c r="G21" s="600" t="s">
        <v>4</v>
      </c>
      <c r="H21" s="600" t="s">
        <v>5</v>
      </c>
      <c r="I21" s="600" t="s">
        <v>6</v>
      </c>
      <c r="J21" s="600" t="s">
        <v>7</v>
      </c>
      <c r="K21" s="181" t="s">
        <v>589</v>
      </c>
      <c r="L21" s="602" t="s">
        <v>19</v>
      </c>
      <c r="M21" s="611" t="s">
        <v>9</v>
      </c>
      <c r="N21" s="611" t="s">
        <v>10</v>
      </c>
      <c r="O21" s="611" t="s">
        <v>11</v>
      </c>
      <c r="P21" s="611" t="s">
        <v>12</v>
      </c>
      <c r="Q21" s="611" t="s">
        <v>13</v>
      </c>
      <c r="R21" s="602" t="s">
        <v>17</v>
      </c>
      <c r="S21" s="182" t="s">
        <v>14</v>
      </c>
      <c r="T21" s="184" t="s">
        <v>16</v>
      </c>
      <c r="U21" s="184" t="s">
        <v>20</v>
      </c>
      <c r="V21" s="613" t="s">
        <v>708</v>
      </c>
      <c r="W21" s="602"/>
      <c r="X21" s="602"/>
    </row>
    <row r="22" spans="1:24" s="82" customFormat="1" ht="36" customHeight="1" x14ac:dyDescent="0.2">
      <c r="A22" s="616"/>
      <c r="B22" s="617"/>
      <c r="C22" s="603"/>
      <c r="D22" s="758"/>
      <c r="E22" s="600"/>
      <c r="F22" s="618"/>
      <c r="G22" s="618"/>
      <c r="H22" s="618"/>
      <c r="I22" s="619"/>
      <c r="J22" s="619"/>
      <c r="K22" s="84">
        <f>'[1]Исходные данные'!$C$6</f>
        <v>0.30199999999999999</v>
      </c>
      <c r="L22" s="603"/>
      <c r="M22" s="612"/>
      <c r="N22" s="612"/>
      <c r="O22" s="612"/>
      <c r="P22" s="612"/>
      <c r="Q22" s="612"/>
      <c r="R22" s="603"/>
      <c r="S22" s="84">
        <v>0.66500000000000004</v>
      </c>
      <c r="T22" s="141">
        <v>7.6399999999999996E-2</v>
      </c>
      <c r="U22" s="141">
        <v>0.2</v>
      </c>
      <c r="V22" s="614"/>
      <c r="W22" s="603"/>
      <c r="X22" s="603"/>
    </row>
    <row r="23" spans="1:24" ht="62.25" customHeight="1" x14ac:dyDescent="0.25">
      <c r="A23" s="179" t="s">
        <v>426</v>
      </c>
      <c r="B23" s="112" t="s">
        <v>343</v>
      </c>
      <c r="C23" s="112" t="s">
        <v>580</v>
      </c>
      <c r="D23" s="112" t="s">
        <v>27</v>
      </c>
      <c r="E23" s="209" t="s">
        <v>591</v>
      </c>
      <c r="F23" s="268" t="s">
        <v>167</v>
      </c>
      <c r="G23" s="211" t="s">
        <v>161</v>
      </c>
      <c r="H23" s="168">
        <v>180.5</v>
      </c>
      <c r="I23" s="177">
        <v>1.4</v>
      </c>
      <c r="J23" s="177">
        <f>ROUND(H23*I23,2)*2</f>
        <v>505.4</v>
      </c>
      <c r="K23" s="177">
        <f>ROUND(J23*$K$7,2)</f>
        <v>152.63</v>
      </c>
      <c r="L23" s="177">
        <f>J23+K23</f>
        <v>658.03</v>
      </c>
      <c r="M23" s="79"/>
      <c r="N23" s="80"/>
      <c r="O23" s="80"/>
      <c r="P23" s="80"/>
      <c r="Q23" s="80"/>
      <c r="R23" s="177">
        <f>L23+Q23</f>
        <v>658.03</v>
      </c>
      <c r="S23" s="177">
        <f>ROUND(R23*$S$22,2)</f>
        <v>437.59</v>
      </c>
      <c r="T23" s="176">
        <f>ROUND(V23/1.2,2)</f>
        <v>1179.17</v>
      </c>
      <c r="U23" s="176">
        <f>ROUND(T23*$U$7,2)</f>
        <v>235.83</v>
      </c>
      <c r="V23" s="176">
        <f>ROUND((R23+S23)*(1+$T$22)*1.2,0)</f>
        <v>1415</v>
      </c>
      <c r="W23" s="176"/>
      <c r="X23" s="78"/>
    </row>
    <row r="24" spans="1:24" ht="39" hidden="1" customHeight="1" x14ac:dyDescent="0.25">
      <c r="A24" s="179" t="s">
        <v>426</v>
      </c>
      <c r="B24" s="112" t="s">
        <v>343</v>
      </c>
      <c r="C24" s="112"/>
      <c r="D24" s="112"/>
      <c r="E24" s="178" t="s">
        <v>361</v>
      </c>
      <c r="F24" s="181">
        <v>12634</v>
      </c>
      <c r="G24" s="180" t="s">
        <v>162</v>
      </c>
      <c r="H24" s="177">
        <v>164.09</v>
      </c>
      <c r="I24" s="177">
        <v>1.4</v>
      </c>
      <c r="J24" s="177">
        <f>ROUND(H24*I24,2)*2</f>
        <v>459.46</v>
      </c>
      <c r="K24" s="177">
        <f>ROUND(J24*$K$7,2)</f>
        <v>138.76</v>
      </c>
      <c r="L24" s="177">
        <f>J24+K24</f>
        <v>598.22</v>
      </c>
      <c r="M24" s="79"/>
      <c r="N24" s="80"/>
      <c r="O24" s="80"/>
      <c r="P24" s="80"/>
      <c r="Q24" s="80"/>
      <c r="R24" s="177">
        <f>L24+Q24</f>
        <v>598.22</v>
      </c>
      <c r="S24" s="177">
        <f>ROUND(R24*$S$22,2)</f>
        <v>397.82</v>
      </c>
      <c r="T24" s="176">
        <f>ROUND(V24/1.2,2)</f>
        <v>1095.83</v>
      </c>
      <c r="U24" s="176">
        <f>ROUND(T24*$U$7,2)</f>
        <v>219.17</v>
      </c>
      <c r="V24" s="176">
        <f>ROUND((R24+S24)*(1+$T$7)*1.2,0)</f>
        <v>1315</v>
      </c>
      <c r="W24" s="176"/>
      <c r="X24" s="78"/>
    </row>
    <row r="25" spans="1:24" ht="26.25" customHeight="1" outlineLevel="1" x14ac:dyDescent="0.25">
      <c r="A25" s="158"/>
      <c r="B25" s="199"/>
      <c r="C25" s="435"/>
      <c r="D25" s="435"/>
      <c r="E25" s="739" t="s">
        <v>573</v>
      </c>
      <c r="F25" s="739"/>
      <c r="G25" s="200"/>
      <c r="H25" s="201"/>
      <c r="I25" s="202"/>
      <c r="J25" s="201"/>
      <c r="K25" s="201"/>
      <c r="L25" s="203"/>
      <c r="M25" s="204"/>
      <c r="N25" s="205"/>
      <c r="O25" s="201"/>
      <c r="P25" s="201"/>
      <c r="Q25" s="201"/>
      <c r="R25" s="201"/>
      <c r="S25" s="201"/>
      <c r="T25" s="206"/>
      <c r="U25" s="206"/>
      <c r="V25" s="206"/>
      <c r="W25" s="185"/>
      <c r="X25" s="78"/>
    </row>
    <row r="26" spans="1:24" ht="44.25" customHeight="1" outlineLevel="1" x14ac:dyDescent="0.25">
      <c r="A26" s="187"/>
      <c r="B26" s="190"/>
      <c r="C26" s="740" t="s">
        <v>572</v>
      </c>
      <c r="D26" s="740"/>
      <c r="E26" s="740"/>
      <c r="F26" s="740"/>
      <c r="G26" s="740"/>
      <c r="H26" s="740"/>
      <c r="I26" s="740"/>
      <c r="J26" s="740"/>
      <c r="K26" s="740"/>
      <c r="L26" s="740"/>
      <c r="M26" s="740"/>
      <c r="N26" s="740"/>
      <c r="O26" s="740"/>
      <c r="P26" s="740"/>
      <c r="Q26" s="740"/>
      <c r="R26" s="740"/>
      <c r="S26" s="740"/>
      <c r="T26" s="740"/>
      <c r="U26" s="740"/>
      <c r="V26" s="740"/>
      <c r="W26" s="185"/>
      <c r="X26" s="78"/>
    </row>
    <row r="27" spans="1:24" ht="43.5" customHeight="1" outlineLevel="1" x14ac:dyDescent="0.25">
      <c r="A27" s="187"/>
      <c r="B27" s="190"/>
      <c r="C27" s="190"/>
      <c r="D27" s="190"/>
      <c r="E27" s="437" t="s">
        <v>561</v>
      </c>
      <c r="F27" s="191"/>
      <c r="G27" s="192"/>
      <c r="H27" s="438"/>
      <c r="I27" s="439"/>
      <c r="J27" s="438"/>
      <c r="K27" s="417" t="s">
        <v>563</v>
      </c>
      <c r="L27" s="193"/>
      <c r="M27" s="194"/>
      <c r="N27" s="195"/>
      <c r="O27" s="193"/>
      <c r="P27" s="195"/>
      <c r="Q27" s="193"/>
      <c r="R27" s="193"/>
      <c r="S27" s="193"/>
      <c r="T27" s="196"/>
      <c r="U27" s="196"/>
      <c r="V27" s="196"/>
      <c r="W27" s="185"/>
      <c r="X27" s="78"/>
    </row>
    <row r="28" spans="1:24" ht="21" customHeight="1" outlineLevel="1" x14ac:dyDescent="0.25">
      <c r="A28" s="187"/>
      <c r="B28" s="190"/>
      <c r="C28" s="190"/>
      <c r="D28" s="190"/>
      <c r="E28" s="220"/>
      <c r="F28" s="191"/>
      <c r="G28" s="192"/>
      <c r="H28" s="193"/>
      <c r="I28" s="150"/>
      <c r="J28" s="193"/>
      <c r="K28" s="193"/>
      <c r="L28" s="193"/>
      <c r="M28" s="194"/>
      <c r="N28" s="195"/>
      <c r="O28" s="193"/>
      <c r="P28" s="195"/>
      <c r="Q28" s="193"/>
      <c r="R28" s="193"/>
      <c r="S28" s="193"/>
      <c r="T28" s="196"/>
      <c r="U28" s="196"/>
      <c r="V28" s="196"/>
      <c r="W28" s="185"/>
      <c r="X28" s="78"/>
    </row>
    <row r="29" spans="1:24" ht="39.75" customHeight="1" x14ac:dyDescent="0.25">
      <c r="A29" s="187" t="s">
        <v>428</v>
      </c>
      <c r="B29" s="436"/>
      <c r="C29" s="436"/>
      <c r="D29" s="436"/>
      <c r="E29" s="437" t="s">
        <v>564</v>
      </c>
      <c r="F29" s="191"/>
      <c r="G29" s="197"/>
      <c r="H29" s="438"/>
      <c r="I29" s="439"/>
      <c r="J29" s="438"/>
      <c r="K29" s="417" t="s">
        <v>565</v>
      </c>
      <c r="L29" s="193"/>
      <c r="M29" s="198"/>
      <c r="N29" s="193"/>
      <c r="O29" s="193"/>
      <c r="P29" s="193"/>
      <c r="Q29" s="193"/>
      <c r="R29" s="193"/>
      <c r="S29" s="193"/>
      <c r="T29" s="196"/>
      <c r="U29" s="196"/>
      <c r="V29" s="196"/>
      <c r="W29" s="185"/>
      <c r="X29" s="78"/>
    </row>
    <row r="30" spans="1:24" ht="23.25" hidden="1" customHeight="1" x14ac:dyDescent="0.25">
      <c r="A30" s="590" t="s">
        <v>351</v>
      </c>
      <c r="B30" s="760"/>
      <c r="C30" s="221"/>
      <c r="D30" s="221"/>
      <c r="E30" s="761"/>
      <c r="F30" s="612"/>
      <c r="G30" s="183"/>
      <c r="H30" s="188"/>
      <c r="I30" s="189"/>
      <c r="J30" s="762"/>
      <c r="K30" s="762"/>
      <c r="L30" s="762"/>
      <c r="M30" s="764"/>
      <c r="N30" s="762"/>
      <c r="O30" s="762"/>
      <c r="P30" s="762"/>
      <c r="Q30" s="762"/>
      <c r="R30" s="762"/>
      <c r="S30" s="762"/>
      <c r="T30" s="595"/>
      <c r="U30" s="595"/>
      <c r="V30" s="595"/>
      <c r="W30" s="594">
        <v>892</v>
      </c>
      <c r="X30" s="78">
        <f t="shared" ref="X30:X171" si="0">V30/W30*100-100</f>
        <v>-100</v>
      </c>
    </row>
    <row r="31" spans="1:24" ht="24" hidden="1" customHeight="1" x14ac:dyDescent="0.25">
      <c r="A31" s="590"/>
      <c r="B31" s="620"/>
      <c r="C31" s="215"/>
      <c r="D31" s="215"/>
      <c r="E31" s="589"/>
      <c r="F31" s="621"/>
      <c r="G31" s="167"/>
      <c r="H31" s="160"/>
      <c r="I31" s="87"/>
      <c r="J31" s="592"/>
      <c r="K31" s="592"/>
      <c r="L31" s="592"/>
      <c r="M31" s="591"/>
      <c r="N31" s="592"/>
      <c r="O31" s="592"/>
      <c r="P31" s="592"/>
      <c r="Q31" s="592"/>
      <c r="R31" s="592"/>
      <c r="S31" s="592"/>
      <c r="T31" s="596"/>
      <c r="U31" s="596"/>
      <c r="V31" s="596"/>
      <c r="W31" s="595"/>
      <c r="X31" s="78"/>
    </row>
    <row r="32" spans="1:24" ht="17.25" hidden="1" customHeight="1" outlineLevel="1" x14ac:dyDescent="0.25">
      <c r="A32" s="590"/>
      <c r="B32" s="166"/>
      <c r="C32" s="215"/>
      <c r="D32" s="215"/>
      <c r="E32" s="156"/>
      <c r="F32" s="167"/>
      <c r="G32" s="167"/>
      <c r="H32" s="160"/>
      <c r="I32" s="87"/>
      <c r="J32" s="160"/>
      <c r="K32" s="160"/>
      <c r="L32" s="96"/>
      <c r="M32" s="97"/>
      <c r="N32" s="98"/>
      <c r="O32" s="160"/>
      <c r="P32" s="98"/>
      <c r="Q32" s="160"/>
      <c r="R32" s="160"/>
      <c r="S32" s="160"/>
      <c r="T32" s="162"/>
      <c r="U32" s="162"/>
      <c r="V32" s="162"/>
      <c r="W32" s="162"/>
      <c r="X32" s="78"/>
    </row>
    <row r="33" spans="1:24" ht="17.25" hidden="1" customHeight="1" outlineLevel="1" x14ac:dyDescent="0.25">
      <c r="A33" s="590"/>
      <c r="B33" s="166"/>
      <c r="C33" s="215"/>
      <c r="D33" s="215"/>
      <c r="E33" s="156"/>
      <c r="F33" s="167"/>
      <c r="G33" s="167"/>
      <c r="H33" s="160"/>
      <c r="I33" s="87"/>
      <c r="J33" s="160"/>
      <c r="K33" s="160"/>
      <c r="L33" s="160"/>
      <c r="M33" s="97"/>
      <c r="N33" s="98"/>
      <c r="O33" s="160"/>
      <c r="P33" s="160"/>
      <c r="Q33" s="160"/>
      <c r="R33" s="160"/>
      <c r="S33" s="160"/>
      <c r="T33" s="162"/>
      <c r="U33" s="162"/>
      <c r="V33" s="162"/>
      <c r="W33" s="162"/>
      <c r="X33" s="78"/>
    </row>
    <row r="34" spans="1:24" ht="35.25" hidden="1" customHeight="1" outlineLevel="1" x14ac:dyDescent="0.25">
      <c r="A34" s="590"/>
      <c r="B34" s="166"/>
      <c r="C34" s="215"/>
      <c r="D34" s="215"/>
      <c r="E34" s="156"/>
      <c r="F34" s="167"/>
      <c r="G34" s="167"/>
      <c r="H34" s="160"/>
      <c r="I34" s="87"/>
      <c r="J34" s="160"/>
      <c r="K34" s="160"/>
      <c r="L34" s="160"/>
      <c r="M34" s="97"/>
      <c r="N34" s="98"/>
      <c r="O34" s="160"/>
      <c r="P34" s="160"/>
      <c r="Q34" s="160"/>
      <c r="R34" s="160"/>
      <c r="S34" s="160"/>
      <c r="T34" s="162"/>
      <c r="U34" s="162"/>
      <c r="V34" s="162"/>
      <c r="W34" s="162"/>
      <c r="X34" s="78"/>
    </row>
    <row r="35" spans="1:24" ht="24" hidden="1" customHeight="1" outlineLevel="1" x14ac:dyDescent="0.25">
      <c r="A35" s="590"/>
      <c r="B35" s="166"/>
      <c r="C35" s="215"/>
      <c r="D35" s="215"/>
      <c r="E35" s="156"/>
      <c r="F35" s="167"/>
      <c r="G35" s="167"/>
      <c r="H35" s="160"/>
      <c r="I35" s="87"/>
      <c r="J35" s="160"/>
      <c r="K35" s="160"/>
      <c r="L35" s="160"/>
      <c r="M35" s="97"/>
      <c r="N35" s="98"/>
      <c r="O35" s="160"/>
      <c r="P35" s="160"/>
      <c r="Q35" s="160"/>
      <c r="R35" s="160"/>
      <c r="S35" s="160"/>
      <c r="T35" s="162"/>
      <c r="U35" s="162"/>
      <c r="V35" s="162"/>
      <c r="W35" s="162"/>
      <c r="X35" s="78"/>
    </row>
    <row r="36" spans="1:24" ht="24" hidden="1" customHeight="1" outlineLevel="1" x14ac:dyDescent="0.25">
      <c r="A36" s="590"/>
      <c r="B36" s="166"/>
      <c r="C36" s="215"/>
      <c r="D36" s="215"/>
      <c r="E36" s="156"/>
      <c r="F36" s="167"/>
      <c r="G36" s="167"/>
      <c r="H36" s="160"/>
      <c r="I36" s="87"/>
      <c r="J36" s="160"/>
      <c r="K36" s="160"/>
      <c r="L36" s="160"/>
      <c r="M36" s="97"/>
      <c r="N36" s="98"/>
      <c r="O36" s="160"/>
      <c r="P36" s="160"/>
      <c r="Q36" s="160"/>
      <c r="R36" s="160"/>
      <c r="S36" s="160"/>
      <c r="T36" s="162"/>
      <c r="U36" s="162"/>
      <c r="V36" s="162"/>
      <c r="W36" s="162"/>
      <c r="X36" s="78"/>
    </row>
    <row r="37" spans="1:24" ht="20.25" hidden="1" customHeight="1" outlineLevel="1" x14ac:dyDescent="0.25">
      <c r="A37" s="590"/>
      <c r="B37" s="166"/>
      <c r="C37" s="215"/>
      <c r="D37" s="215"/>
      <c r="E37" s="156"/>
      <c r="F37" s="167"/>
      <c r="G37" s="167"/>
      <c r="H37" s="160"/>
      <c r="I37" s="87"/>
      <c r="J37" s="160"/>
      <c r="K37" s="160"/>
      <c r="L37" s="160"/>
      <c r="M37" s="97"/>
      <c r="N37" s="98"/>
      <c r="O37" s="160"/>
      <c r="P37" s="98"/>
      <c r="Q37" s="160"/>
      <c r="R37" s="160"/>
      <c r="S37" s="160"/>
      <c r="T37" s="162"/>
      <c r="U37" s="162"/>
      <c r="V37" s="162"/>
      <c r="W37" s="162"/>
      <c r="X37" s="78"/>
    </row>
    <row r="38" spans="1:24" ht="16.5" hidden="1" customHeight="1" outlineLevel="1" x14ac:dyDescent="0.25">
      <c r="A38" s="590"/>
      <c r="B38" s="166"/>
      <c r="C38" s="215"/>
      <c r="D38" s="215"/>
      <c r="E38" s="156"/>
      <c r="F38" s="167"/>
      <c r="G38" s="167"/>
      <c r="H38" s="160"/>
      <c r="I38" s="87"/>
      <c r="J38" s="160"/>
      <c r="K38" s="160"/>
      <c r="L38" s="160"/>
      <c r="M38" s="97"/>
      <c r="N38" s="98"/>
      <c r="O38" s="160"/>
      <c r="P38" s="100"/>
      <c r="Q38" s="160"/>
      <c r="R38" s="160"/>
      <c r="S38" s="160"/>
      <c r="T38" s="162"/>
      <c r="U38" s="162"/>
      <c r="V38" s="162"/>
      <c r="W38" s="162"/>
      <c r="X38" s="78"/>
    </row>
    <row r="39" spans="1:24" ht="18" hidden="1" customHeight="1" x14ac:dyDescent="0.25">
      <c r="A39" s="590"/>
      <c r="B39" s="598" t="s">
        <v>344</v>
      </c>
      <c r="C39" s="217"/>
      <c r="D39" s="217"/>
      <c r="E39" s="599" t="s">
        <v>345</v>
      </c>
      <c r="F39" s="600" t="s">
        <v>28</v>
      </c>
      <c r="G39" s="167" t="s">
        <v>166</v>
      </c>
      <c r="H39" s="160">
        <f>VLOOKUP(G39,'условия, ФОТ'!$A$14:$I$32,9, FALSE)</f>
        <v>185.8</v>
      </c>
      <c r="I39" s="172">
        <v>0.2</v>
      </c>
      <c r="J39" s="592">
        <f>ROUND(H39*I39+H40*I40,2)</f>
        <v>69.98</v>
      </c>
      <c r="K39" s="592">
        <f>ROUND(J39*$K$7,2)</f>
        <v>21.13</v>
      </c>
      <c r="L39" s="592">
        <f t="shared" ref="L39:L42" si="1">J39+K39</f>
        <v>91.11</v>
      </c>
      <c r="M39" s="591"/>
      <c r="N39" s="592"/>
      <c r="O39" s="592"/>
      <c r="P39" s="592"/>
      <c r="Q39" s="592">
        <f>Q41</f>
        <v>44.39</v>
      </c>
      <c r="R39" s="592">
        <f>L39+Q39</f>
        <v>135.5</v>
      </c>
      <c r="S39" s="592">
        <f>ROUND(R39*$S$7,2)</f>
        <v>165.45</v>
      </c>
      <c r="T39" s="596">
        <f>ROUND(V39/1.2,2)</f>
        <v>330.83</v>
      </c>
      <c r="U39" s="596">
        <f>ROUND(T39*$U$7,2)</f>
        <v>66.17</v>
      </c>
      <c r="V39" s="596">
        <f>ROUND((R39+S39)*(1+$T$7)*1.2,0)</f>
        <v>397</v>
      </c>
      <c r="W39" s="594">
        <v>316</v>
      </c>
      <c r="X39" s="78">
        <f t="shared" ref="X39" si="2">V39/W39*100-100</f>
        <v>25.632911392405063</v>
      </c>
    </row>
    <row r="40" spans="1:24" ht="27.95" hidden="1" customHeight="1" x14ac:dyDescent="0.25">
      <c r="A40" s="590"/>
      <c r="B40" s="598"/>
      <c r="C40" s="217"/>
      <c r="D40" s="217"/>
      <c r="E40" s="599"/>
      <c r="F40" s="600"/>
      <c r="G40" s="167" t="s">
        <v>162</v>
      </c>
      <c r="H40" s="160">
        <f>VLOOKUP(G40,'условия, ФОТ'!$A$14:$I$32,9, FALSE)</f>
        <v>164.09</v>
      </c>
      <c r="I40" s="172">
        <v>0.2</v>
      </c>
      <c r="J40" s="592"/>
      <c r="K40" s="592">
        <f>ROUND(J40*$K$7,2)</f>
        <v>0</v>
      </c>
      <c r="L40" s="592">
        <f t="shared" si="1"/>
        <v>0</v>
      </c>
      <c r="M40" s="591"/>
      <c r="N40" s="592"/>
      <c r="O40" s="592"/>
      <c r="P40" s="592"/>
      <c r="Q40" s="592"/>
      <c r="R40" s="592">
        <f t="shared" ref="R40:R42" si="3">L40+Q40</f>
        <v>0</v>
      </c>
      <c r="S40" s="592">
        <f>ROUND(R40*$S$7,2)</f>
        <v>0</v>
      </c>
      <c r="T40" s="596">
        <f t="shared" ref="T40" si="4">ROUND(V40/1.18,2)</f>
        <v>0</v>
      </c>
      <c r="U40" s="596">
        <f>ROUND(T40*$U$7,2)</f>
        <v>0</v>
      </c>
      <c r="V40" s="596">
        <f>ROUND((R40+S40)*(1+$T$7)*1.18,0)</f>
        <v>0</v>
      </c>
      <c r="W40" s="595"/>
      <c r="X40" s="78"/>
    </row>
    <row r="41" spans="1:24" ht="31.7" hidden="1" customHeight="1" outlineLevel="1" x14ac:dyDescent="0.25">
      <c r="A41" s="590"/>
      <c r="B41" s="164"/>
      <c r="C41" s="217"/>
      <c r="D41" s="217"/>
      <c r="E41" s="157"/>
      <c r="F41" s="165"/>
      <c r="G41" s="167"/>
      <c r="H41" s="160"/>
      <c r="I41" s="172"/>
      <c r="J41" s="160"/>
      <c r="K41" s="160"/>
      <c r="L41" s="96" t="s">
        <v>366</v>
      </c>
      <c r="M41" s="97" t="s">
        <v>369</v>
      </c>
      <c r="N41" s="98" t="str">
        <f>VLOOKUP(M41,материалы!$A$5:$G$31,5, FALSE)</f>
        <v>м</v>
      </c>
      <c r="O41" s="160">
        <f>VLOOKUP(M41,материалы!$A$5:$G$31,7, FALSE)</f>
        <v>44.39</v>
      </c>
      <c r="P41" s="98">
        <v>1</v>
      </c>
      <c r="Q41" s="160">
        <f t="shared" ref="Q41" si="5">ROUND(O41*P41,2)</f>
        <v>44.39</v>
      </c>
      <c r="R41" s="160"/>
      <c r="S41" s="160"/>
      <c r="T41" s="162"/>
      <c r="U41" s="162"/>
      <c r="V41" s="162"/>
      <c r="W41" s="162"/>
      <c r="X41" s="78"/>
    </row>
    <row r="42" spans="1:24" ht="35.25" hidden="1" customHeight="1" x14ac:dyDescent="0.25">
      <c r="A42" s="590"/>
      <c r="B42" s="166" t="s">
        <v>171</v>
      </c>
      <c r="C42" s="215"/>
      <c r="D42" s="215"/>
      <c r="E42" s="113" t="s">
        <v>353</v>
      </c>
      <c r="F42" s="165" t="s">
        <v>30</v>
      </c>
      <c r="G42" s="167" t="s">
        <v>162</v>
      </c>
      <c r="H42" s="160">
        <f>VLOOKUP(G42,'условия, ФОТ'!$A$14:$I$32,9, FALSE)</f>
        <v>164.09</v>
      </c>
      <c r="I42" s="172">
        <v>1</v>
      </c>
      <c r="J42" s="160">
        <f t="shared" ref="J42" si="6">ROUND(H42*I42,2)</f>
        <v>164.09</v>
      </c>
      <c r="K42" s="160">
        <f>ROUND(J42*$K$7,2)</f>
        <v>49.56</v>
      </c>
      <c r="L42" s="160">
        <f t="shared" si="1"/>
        <v>213.65</v>
      </c>
      <c r="M42" s="159"/>
      <c r="N42" s="160"/>
      <c r="O42" s="160"/>
      <c r="P42" s="160"/>
      <c r="Q42" s="160">
        <f>SUM(Q43:Q45)</f>
        <v>4.03</v>
      </c>
      <c r="R42" s="160">
        <f t="shared" si="3"/>
        <v>217.68</v>
      </c>
      <c r="S42" s="160">
        <f>ROUND(R42*$S$7,2)</f>
        <v>265.79000000000002</v>
      </c>
      <c r="T42" s="162">
        <f>ROUND(V42/1.2,2)</f>
        <v>531.66999999999996</v>
      </c>
      <c r="U42" s="162">
        <f>ROUND(T42*$U$7,2)</f>
        <v>106.33</v>
      </c>
      <c r="V42" s="162">
        <f>ROUND((R42+S42)*(1+$T$7)*1.2,0)</f>
        <v>638</v>
      </c>
      <c r="W42" s="162">
        <v>423</v>
      </c>
      <c r="X42" s="78">
        <f t="shared" ref="X42" si="7">V42/W42*100-100</f>
        <v>50.827423167848707</v>
      </c>
    </row>
    <row r="43" spans="1:24" ht="24.75" hidden="1" customHeight="1" outlineLevel="1" x14ac:dyDescent="0.25">
      <c r="A43" s="590"/>
      <c r="B43" s="166"/>
      <c r="C43" s="215"/>
      <c r="D43" s="215"/>
      <c r="E43" s="113"/>
      <c r="F43" s="165"/>
      <c r="G43" s="167"/>
      <c r="H43" s="160"/>
      <c r="I43" s="172"/>
      <c r="J43" s="160"/>
      <c r="K43" s="160"/>
      <c r="L43" s="96" t="s">
        <v>366</v>
      </c>
      <c r="M43" s="104" t="s">
        <v>335</v>
      </c>
      <c r="N43" s="98" t="str">
        <f>VLOOKUP(M43,материалы!$A$5:$G$31,5, FALSE)</f>
        <v>кг</v>
      </c>
      <c r="O43" s="160">
        <f>VLOOKUP(M43,материалы!$A$5:$G$31,7, FALSE)</f>
        <v>712.76</v>
      </c>
      <c r="P43" s="160">
        <v>5.0000000000000001E-3</v>
      </c>
      <c r="Q43" s="160">
        <f>ROUND(O43*P43,2)</f>
        <v>3.56</v>
      </c>
      <c r="R43" s="160"/>
      <c r="S43" s="160"/>
      <c r="T43" s="162"/>
      <c r="U43" s="162"/>
      <c r="V43" s="162"/>
      <c r="W43" s="162"/>
      <c r="X43" s="78"/>
    </row>
    <row r="44" spans="1:24" ht="24.75" hidden="1" customHeight="1" outlineLevel="1" x14ac:dyDescent="0.25">
      <c r="A44" s="590"/>
      <c r="B44" s="166"/>
      <c r="C44" s="215"/>
      <c r="D44" s="215"/>
      <c r="E44" s="113"/>
      <c r="F44" s="165"/>
      <c r="G44" s="167"/>
      <c r="H44" s="160"/>
      <c r="I44" s="172"/>
      <c r="J44" s="160"/>
      <c r="K44" s="160"/>
      <c r="L44" s="160"/>
      <c r="M44" s="97" t="s">
        <v>329</v>
      </c>
      <c r="N44" s="98" t="str">
        <f>VLOOKUP(M44,материалы!$A$5:$G$31,5, FALSE)</f>
        <v>кг</v>
      </c>
      <c r="O44" s="160">
        <f>VLOOKUP(M44,материалы!$A$5:$G$31,7, FALSE)</f>
        <v>65.599999999999994</v>
      </c>
      <c r="P44" s="100">
        <v>1E-3</v>
      </c>
      <c r="Q44" s="160">
        <f>ROUND(O44*P44,2)</f>
        <v>7.0000000000000007E-2</v>
      </c>
      <c r="R44" s="160"/>
      <c r="S44" s="160"/>
      <c r="T44" s="162"/>
      <c r="U44" s="162"/>
      <c r="V44" s="162"/>
      <c r="W44" s="162"/>
      <c r="X44" s="78"/>
    </row>
    <row r="45" spans="1:24" ht="24.75" hidden="1" customHeight="1" outlineLevel="1" x14ac:dyDescent="0.25">
      <c r="A45" s="590"/>
      <c r="B45" s="166"/>
      <c r="C45" s="215"/>
      <c r="D45" s="215"/>
      <c r="E45" s="113"/>
      <c r="F45" s="165"/>
      <c r="G45" s="167"/>
      <c r="H45" s="160"/>
      <c r="I45" s="172"/>
      <c r="J45" s="160"/>
      <c r="K45" s="160"/>
      <c r="L45" s="160"/>
      <c r="M45" s="97" t="s">
        <v>330</v>
      </c>
      <c r="N45" s="98" t="str">
        <f>VLOOKUP(M45,материалы!$A$5:$G$31,5, FALSE)</f>
        <v>кг</v>
      </c>
      <c r="O45" s="160">
        <f>VLOOKUP(M45,материалы!$A$5:$G$31,7, FALSE)</f>
        <v>39.82</v>
      </c>
      <c r="P45" s="98">
        <v>0.01</v>
      </c>
      <c r="Q45" s="160">
        <f>ROUND(O45*P45,2)</f>
        <v>0.4</v>
      </c>
      <c r="R45" s="160"/>
      <c r="S45" s="160"/>
      <c r="T45" s="162"/>
      <c r="U45" s="162"/>
      <c r="V45" s="162"/>
      <c r="W45" s="162"/>
      <c r="X45" s="78"/>
    </row>
    <row r="46" spans="1:24" ht="58.7" hidden="1" customHeight="1" x14ac:dyDescent="0.25">
      <c r="A46" s="590"/>
      <c r="B46" s="166" t="s">
        <v>170</v>
      </c>
      <c r="C46" s="215"/>
      <c r="D46" s="215"/>
      <c r="E46" s="157" t="s">
        <v>559</v>
      </c>
      <c r="F46" s="165" t="s">
        <v>26</v>
      </c>
      <c r="G46" s="167" t="s">
        <v>162</v>
      </c>
      <c r="H46" s="160">
        <f>VLOOKUP(G46,'условия, ФОТ'!$A$14:$I$32,9, FALSE)</f>
        <v>164.09</v>
      </c>
      <c r="I46" s="172">
        <v>0.25</v>
      </c>
      <c r="J46" s="160">
        <f t="shared" ref="J46" si="8">ROUND(H46*I46,2)</f>
        <v>41.02</v>
      </c>
      <c r="K46" s="160">
        <f>ROUND(J46*$K$7,2)</f>
        <v>12.39</v>
      </c>
      <c r="L46" s="160">
        <f t="shared" ref="L46" si="9">J46+K46</f>
        <v>53.410000000000004</v>
      </c>
      <c r="M46" s="159"/>
      <c r="N46" s="160"/>
      <c r="O46" s="160"/>
      <c r="P46" s="160"/>
      <c r="Q46" s="160">
        <f>SUM(Q47:Q49)</f>
        <v>4.03</v>
      </c>
      <c r="R46" s="160">
        <f t="shared" ref="R46" si="10">L46+Q46</f>
        <v>57.440000000000005</v>
      </c>
      <c r="S46" s="160">
        <f>ROUND(R46*$S$7,2)</f>
        <v>70.13</v>
      </c>
      <c r="T46" s="162">
        <f>ROUND(V46/1.2,2)</f>
        <v>140</v>
      </c>
      <c r="U46" s="162">
        <f>ROUND(T46*$U$7,2)</f>
        <v>28</v>
      </c>
      <c r="V46" s="162">
        <f>ROUND((R46+S46)*(1+$T$7)*1.2,0)</f>
        <v>168</v>
      </c>
      <c r="W46" s="162">
        <v>113</v>
      </c>
      <c r="X46" s="78">
        <f t="shared" ref="X46" si="11">V46/W46*100-100</f>
        <v>48.672566371681427</v>
      </c>
    </row>
    <row r="47" spans="1:24" ht="30.75" hidden="1" customHeight="1" x14ac:dyDescent="0.25">
      <c r="A47" s="588" t="s">
        <v>576</v>
      </c>
      <c r="B47" s="588"/>
      <c r="C47" s="588"/>
      <c r="D47" s="588"/>
      <c r="E47" s="588"/>
      <c r="F47" s="588"/>
      <c r="G47" s="588"/>
      <c r="H47" s="588"/>
      <c r="I47" s="588"/>
      <c r="J47" s="588"/>
      <c r="K47" s="588"/>
      <c r="L47" s="96" t="s">
        <v>366</v>
      </c>
      <c r="M47" s="104" t="s">
        <v>335</v>
      </c>
      <c r="N47" s="98" t="str">
        <f>VLOOKUP(M47,материалы!$A$5:$G$31,5, FALSE)</f>
        <v>кг</v>
      </c>
      <c r="O47" s="160">
        <f>VLOOKUP(M47,материалы!$A$5:$G$31,7, FALSE)</f>
        <v>712.76</v>
      </c>
      <c r="P47" s="160">
        <v>5.0000000000000001E-3</v>
      </c>
      <c r="Q47" s="160">
        <f t="shared" ref="Q47:Q49" si="12">ROUND(O47*P47,2)</f>
        <v>3.56</v>
      </c>
      <c r="R47" s="160"/>
      <c r="S47" s="160"/>
      <c r="T47" s="162"/>
      <c r="U47" s="162"/>
      <c r="V47" s="162"/>
      <c r="W47" s="162"/>
      <c r="X47" s="78"/>
    </row>
    <row r="48" spans="1:24" ht="24.75" hidden="1" customHeight="1" x14ac:dyDescent="0.25">
      <c r="A48" s="588"/>
      <c r="B48" s="588"/>
      <c r="C48" s="588"/>
      <c r="D48" s="588"/>
      <c r="E48" s="588"/>
      <c r="F48" s="588"/>
      <c r="G48" s="588"/>
      <c r="H48" s="588"/>
      <c r="I48" s="588"/>
      <c r="J48" s="588"/>
      <c r="K48" s="588"/>
      <c r="L48" s="160"/>
      <c r="M48" s="97" t="s">
        <v>329</v>
      </c>
      <c r="N48" s="98" t="str">
        <f>VLOOKUP(M48,материалы!$A$5:$G$31,5, FALSE)</f>
        <v>кг</v>
      </c>
      <c r="O48" s="160">
        <f>VLOOKUP(M48,материалы!$A$5:$G$31,7, FALSE)</f>
        <v>65.599999999999994</v>
      </c>
      <c r="P48" s="100">
        <f>0.001</f>
        <v>1E-3</v>
      </c>
      <c r="Q48" s="160">
        <f t="shared" si="12"/>
        <v>7.0000000000000007E-2</v>
      </c>
      <c r="R48" s="160"/>
      <c r="S48" s="160"/>
      <c r="T48" s="162"/>
      <c r="U48" s="162"/>
      <c r="V48" s="162"/>
      <c r="W48" s="162"/>
      <c r="X48" s="78"/>
    </row>
    <row r="49" spans="1:24" ht="27" hidden="1" customHeight="1" x14ac:dyDescent="0.25">
      <c r="A49" s="588"/>
      <c r="B49" s="588"/>
      <c r="C49" s="588"/>
      <c r="D49" s="588"/>
      <c r="E49" s="588"/>
      <c r="F49" s="588"/>
      <c r="G49" s="588"/>
      <c r="H49" s="588"/>
      <c r="I49" s="588"/>
      <c r="J49" s="588"/>
      <c r="K49" s="588"/>
      <c r="L49" s="160"/>
      <c r="M49" s="97" t="s">
        <v>330</v>
      </c>
      <c r="N49" s="98" t="str">
        <f>VLOOKUP(M49,материалы!$A$5:$G$31,5, FALSE)</f>
        <v>кг</v>
      </c>
      <c r="O49" s="160">
        <f>VLOOKUP(M49,материалы!$A$5:$G$31,7, FALSE)</f>
        <v>39.82</v>
      </c>
      <c r="P49" s="98">
        <f>0.01</f>
        <v>0.01</v>
      </c>
      <c r="Q49" s="160">
        <f t="shared" si="12"/>
        <v>0.4</v>
      </c>
      <c r="R49" s="160"/>
      <c r="S49" s="160"/>
      <c r="T49" s="162"/>
      <c r="U49" s="162"/>
      <c r="V49" s="162"/>
      <c r="W49" s="162"/>
      <c r="X49" s="78"/>
    </row>
    <row r="50" spans="1:24" ht="44.25" hidden="1" customHeight="1" x14ac:dyDescent="0.25">
      <c r="A50" s="158" t="s">
        <v>429</v>
      </c>
      <c r="B50" s="589" t="s">
        <v>567</v>
      </c>
      <c r="C50" s="589"/>
      <c r="D50" s="589"/>
      <c r="E50" s="589"/>
      <c r="F50" s="165" t="s">
        <v>30</v>
      </c>
      <c r="G50" s="167"/>
      <c r="H50" s="160"/>
      <c r="I50" s="172"/>
      <c r="J50" s="160"/>
      <c r="K50" s="160"/>
      <c r="L50" s="160"/>
      <c r="M50" s="159"/>
      <c r="N50" s="160"/>
      <c r="O50" s="160"/>
      <c r="P50" s="160"/>
      <c r="Q50" s="160"/>
      <c r="R50" s="160"/>
      <c r="S50" s="160"/>
      <c r="T50" s="162"/>
      <c r="U50" s="162"/>
      <c r="V50" s="162"/>
      <c r="W50" s="162"/>
      <c r="X50" s="78"/>
    </row>
    <row r="51" spans="1:24" ht="29.25" hidden="1" customHeight="1" x14ac:dyDescent="0.25">
      <c r="A51" s="590" t="s">
        <v>351</v>
      </c>
      <c r="B51" s="166" t="s">
        <v>355</v>
      </c>
      <c r="C51" s="215"/>
      <c r="D51" s="215"/>
      <c r="E51" s="113" t="s">
        <v>354</v>
      </c>
      <c r="F51" s="165" t="s">
        <v>356</v>
      </c>
      <c r="G51" s="105" t="s">
        <v>161</v>
      </c>
      <c r="H51" s="160">
        <f>VLOOKUP(G51,'условия, ФОТ'!$A$14:$I$32,9, FALSE)</f>
        <v>111.79</v>
      </c>
      <c r="I51" s="172">
        <v>0.5</v>
      </c>
      <c r="J51" s="160">
        <f t="shared" ref="J51" si="13">ROUND(H51*I51,2)</f>
        <v>55.9</v>
      </c>
      <c r="K51" s="160">
        <f>ROUND(J51*$K$7,2)</f>
        <v>16.88</v>
      </c>
      <c r="L51" s="160">
        <f t="shared" ref="L51:L63" si="14">J51+K51</f>
        <v>72.78</v>
      </c>
      <c r="M51" s="159"/>
      <c r="N51" s="160"/>
      <c r="O51" s="160"/>
      <c r="P51" s="160"/>
      <c r="Q51" s="160"/>
      <c r="R51" s="160">
        <f t="shared" ref="R51" si="15">L51+Q51</f>
        <v>72.78</v>
      </c>
      <c r="S51" s="160">
        <f>ROUND(R51*$S$7,2)</f>
        <v>88.86</v>
      </c>
      <c r="T51" s="162">
        <f>ROUND(V51/1.2,2)</f>
        <v>177.5</v>
      </c>
      <c r="U51" s="162">
        <f>ROUND(T51*$U$7,2)</f>
        <v>35.5</v>
      </c>
      <c r="V51" s="162">
        <f>ROUND((R51+S51)*(1+$T$7)*1.2,0)</f>
        <v>213</v>
      </c>
      <c r="W51" s="162">
        <v>183</v>
      </c>
      <c r="X51" s="78">
        <f t="shared" ref="X51:X52" si="16">V51/W51*100-100</f>
        <v>16.393442622950815</v>
      </c>
    </row>
    <row r="52" spans="1:24" ht="24.75" hidden="1" customHeight="1" x14ac:dyDescent="0.25">
      <c r="A52" s="590"/>
      <c r="B52" s="598" t="s">
        <v>344</v>
      </c>
      <c r="C52" s="217"/>
      <c r="D52" s="217"/>
      <c r="E52" s="599" t="s">
        <v>345</v>
      </c>
      <c r="F52" s="600" t="s">
        <v>28</v>
      </c>
      <c r="G52" s="167" t="s">
        <v>166</v>
      </c>
      <c r="H52" s="160">
        <f>VLOOKUP(G52,'условия, ФОТ'!$A$14:$I$32,9, FALSE)</f>
        <v>185.8</v>
      </c>
      <c r="I52" s="172">
        <v>0.2</v>
      </c>
      <c r="J52" s="592">
        <f>ROUND(H52*I52+H53*I53,2)</f>
        <v>69.98</v>
      </c>
      <c r="K52" s="592">
        <f>ROUND(J52*$K$7,2)</f>
        <v>21.13</v>
      </c>
      <c r="L52" s="592">
        <f t="shared" si="14"/>
        <v>91.11</v>
      </c>
      <c r="M52" s="591"/>
      <c r="N52" s="592"/>
      <c r="O52" s="592"/>
      <c r="P52" s="592"/>
      <c r="Q52" s="592">
        <f>Q54</f>
        <v>44.39</v>
      </c>
      <c r="R52" s="592">
        <f>L52+Q52</f>
        <v>135.5</v>
      </c>
      <c r="S52" s="592">
        <f>ROUND(R52*$S$7,2)</f>
        <v>165.45</v>
      </c>
      <c r="T52" s="596">
        <f>ROUND(V52/1.2,2)</f>
        <v>330.83</v>
      </c>
      <c r="U52" s="596">
        <f>ROUND(T52*$U$7,2)</f>
        <v>66.17</v>
      </c>
      <c r="V52" s="596">
        <f>ROUND((R52+S52)*(1+$T$7)*1.2,0)</f>
        <v>397</v>
      </c>
      <c r="W52" s="594">
        <v>316</v>
      </c>
      <c r="X52" s="78">
        <f t="shared" si="16"/>
        <v>25.632911392405063</v>
      </c>
    </row>
    <row r="53" spans="1:24" ht="22.7" hidden="1" customHeight="1" x14ac:dyDescent="0.25">
      <c r="A53" s="590"/>
      <c r="B53" s="598"/>
      <c r="C53" s="217"/>
      <c r="D53" s="217"/>
      <c r="E53" s="599"/>
      <c r="F53" s="600"/>
      <c r="G53" s="167" t="s">
        <v>162</v>
      </c>
      <c r="H53" s="160">
        <f>VLOOKUP(G53,'условия, ФОТ'!$A$14:$I$32,9, FALSE)</f>
        <v>164.09</v>
      </c>
      <c r="I53" s="172">
        <v>0.2</v>
      </c>
      <c r="J53" s="592"/>
      <c r="K53" s="592"/>
      <c r="L53" s="592"/>
      <c r="M53" s="591"/>
      <c r="N53" s="592"/>
      <c r="O53" s="592"/>
      <c r="P53" s="592"/>
      <c r="Q53" s="592"/>
      <c r="R53" s="592"/>
      <c r="S53" s="592">
        <f>ROUND(R53*$S$7,2)</f>
        <v>0</v>
      </c>
      <c r="T53" s="596">
        <f t="shared" ref="T53" si="17">ROUND(V53/1.18,2)</f>
        <v>0</v>
      </c>
      <c r="U53" s="596">
        <f>ROUND(T53*$U$7,2)</f>
        <v>0</v>
      </c>
      <c r="V53" s="596">
        <f>ROUND((R53+S53)*(1+$T$7)*1.18,0)</f>
        <v>0</v>
      </c>
      <c r="W53" s="595"/>
      <c r="X53" s="78"/>
    </row>
    <row r="54" spans="1:24" ht="27" hidden="1" customHeight="1" outlineLevel="1" x14ac:dyDescent="0.25">
      <c r="A54" s="590"/>
      <c r="B54" s="164"/>
      <c r="C54" s="217"/>
      <c r="D54" s="217"/>
      <c r="E54" s="157"/>
      <c r="F54" s="165"/>
      <c r="G54" s="167"/>
      <c r="H54" s="160"/>
      <c r="I54" s="172"/>
      <c r="J54" s="160"/>
      <c r="K54" s="160"/>
      <c r="L54" s="96" t="s">
        <v>366</v>
      </c>
      <c r="M54" s="97" t="s">
        <v>369</v>
      </c>
      <c r="N54" s="98" t="str">
        <f>VLOOKUP(M54,материалы!$A$5:$G$31,5, FALSE)</f>
        <v>м</v>
      </c>
      <c r="O54" s="160">
        <f>VLOOKUP(M54,материалы!$A$5:$G$31,7, FALSE)</f>
        <v>44.39</v>
      </c>
      <c r="P54" s="98">
        <v>1</v>
      </c>
      <c r="Q54" s="160">
        <f t="shared" ref="Q54" si="18">ROUND(O54*P54,2)</f>
        <v>44.39</v>
      </c>
      <c r="R54" s="160"/>
      <c r="S54" s="160"/>
      <c r="T54" s="162"/>
      <c r="U54" s="162"/>
      <c r="V54" s="162"/>
      <c r="W54" s="162"/>
      <c r="X54" s="78"/>
    </row>
    <row r="55" spans="1:24" ht="46.5" hidden="1" customHeight="1" x14ac:dyDescent="0.25">
      <c r="A55" s="590"/>
      <c r="B55" s="166" t="s">
        <v>169</v>
      </c>
      <c r="C55" s="215"/>
      <c r="D55" s="215"/>
      <c r="E55" s="113" t="s">
        <v>365</v>
      </c>
      <c r="F55" s="167" t="s">
        <v>22</v>
      </c>
      <c r="G55" s="167" t="s">
        <v>162</v>
      </c>
      <c r="H55" s="160">
        <f>VLOOKUP(G55,'условия, ФОТ'!$A$14:$I$32,9, FALSE)</f>
        <v>164.09</v>
      </c>
      <c r="I55" s="120" t="e">
        <f>#REF!</f>
        <v>#REF!</v>
      </c>
      <c r="J55" s="160" t="e">
        <f t="shared" ref="J55" si="19">ROUND(H55*I55,2)</f>
        <v>#REF!</v>
      </c>
      <c r="K55" s="160" t="e">
        <f>ROUND(J55*$K$7,2)</f>
        <v>#REF!</v>
      </c>
      <c r="L55" s="160" t="e">
        <f t="shared" ref="L55" si="20">J55+K55</f>
        <v>#REF!</v>
      </c>
      <c r="M55" s="159"/>
      <c r="N55" s="160"/>
      <c r="O55" s="160"/>
      <c r="P55" s="160"/>
      <c r="Q55" s="160">
        <f>SUM(Q56:Q61)</f>
        <v>54.07</v>
      </c>
      <c r="R55" s="160" t="e">
        <f t="shared" ref="R55:R63" si="21">L55+Q55</f>
        <v>#REF!</v>
      </c>
      <c r="S55" s="160" t="e">
        <f>ROUND(R55*$S$7,2)</f>
        <v>#REF!</v>
      </c>
      <c r="T55" s="162" t="e">
        <f>ROUND(V55/1.2,2)</f>
        <v>#REF!</v>
      </c>
      <c r="U55" s="162" t="e">
        <f>ROUND(T55*$U$7,2)</f>
        <v>#REF!</v>
      </c>
      <c r="V55" s="162" t="e">
        <f>ROUND((R55+S55)*(1+$T$7)*1.2,0)</f>
        <v>#REF!</v>
      </c>
      <c r="W55" s="162">
        <v>332</v>
      </c>
      <c r="X55" s="78" t="e">
        <f t="shared" ref="X55" si="22">V55/W55*100-100</f>
        <v>#REF!</v>
      </c>
    </row>
    <row r="56" spans="1:24" ht="25.5" hidden="1" customHeight="1" outlineLevel="1" x14ac:dyDescent="0.25">
      <c r="A56" s="590"/>
      <c r="B56" s="166"/>
      <c r="C56" s="215"/>
      <c r="D56" s="215"/>
      <c r="E56" s="113"/>
      <c r="F56" s="167"/>
      <c r="G56" s="167"/>
      <c r="H56" s="160"/>
      <c r="I56" s="120"/>
      <c r="J56" s="160"/>
      <c r="K56" s="160"/>
      <c r="L56" s="96" t="s">
        <v>366</v>
      </c>
      <c r="M56" s="97" t="s">
        <v>323</v>
      </c>
      <c r="N56" s="98" t="str">
        <f>VLOOKUP(M56,материалы!$A$5:$G$31,5, FALSE)</f>
        <v>м3</v>
      </c>
      <c r="O56" s="160">
        <f>VLOOKUP(M56,материалы!$A$5:$G$31,7, FALSE)</f>
        <v>379.24</v>
      </c>
      <c r="P56" s="98">
        <v>8.7499999999999994E-2</v>
      </c>
      <c r="Q56" s="160">
        <f>ROUND(O56*P56,2)</f>
        <v>33.18</v>
      </c>
      <c r="R56" s="160"/>
      <c r="S56" s="160"/>
      <c r="T56" s="162"/>
      <c r="U56" s="162"/>
      <c r="V56" s="162"/>
      <c r="W56" s="162"/>
      <c r="X56" s="78"/>
    </row>
    <row r="57" spans="1:24" ht="17.25" hidden="1" customHeight="1" outlineLevel="1" x14ac:dyDescent="0.25">
      <c r="A57" s="590"/>
      <c r="B57" s="166"/>
      <c r="C57" s="215"/>
      <c r="D57" s="215"/>
      <c r="E57" s="113"/>
      <c r="F57" s="167"/>
      <c r="G57" s="167"/>
      <c r="H57" s="160"/>
      <c r="I57" s="120"/>
      <c r="J57" s="160"/>
      <c r="K57" s="160"/>
      <c r="L57" s="160"/>
      <c r="M57" s="97" t="s">
        <v>324</v>
      </c>
      <c r="N57" s="98" t="str">
        <f>VLOOKUP(M57,материалы!$A$5:$G$31,5, FALSE)</f>
        <v>м3</v>
      </c>
      <c r="O57" s="160">
        <f>VLOOKUP(M57,материалы!$A$5:$G$31,7, FALSE)</f>
        <v>54.61</v>
      </c>
      <c r="P57" s="160">
        <v>0.15</v>
      </c>
      <c r="Q57" s="160">
        <f t="shared" ref="Q57:Q61" si="23">ROUND(O57*P57,2)</f>
        <v>8.19</v>
      </c>
      <c r="R57" s="160"/>
      <c r="S57" s="160"/>
      <c r="T57" s="162"/>
      <c r="U57" s="162"/>
      <c r="V57" s="162"/>
      <c r="W57" s="162"/>
      <c r="X57" s="78"/>
    </row>
    <row r="58" spans="1:24" ht="36.950000000000003" hidden="1" customHeight="1" outlineLevel="1" x14ac:dyDescent="0.25">
      <c r="A58" s="590"/>
      <c r="B58" s="166"/>
      <c r="C58" s="215"/>
      <c r="D58" s="215"/>
      <c r="E58" s="113"/>
      <c r="F58" s="167"/>
      <c r="G58" s="167"/>
      <c r="H58" s="160"/>
      <c r="I58" s="120"/>
      <c r="J58" s="160"/>
      <c r="K58" s="160"/>
      <c r="L58" s="160"/>
      <c r="M58" s="97" t="s">
        <v>341</v>
      </c>
      <c r="N58" s="98" t="str">
        <f>VLOOKUP(M58,материалы!$A$5:$G$31,5, FALSE)</f>
        <v>кг</v>
      </c>
      <c r="O58" s="160">
        <f>VLOOKUP(M58,материалы!$A$5:$G$31,7, FALSE)</f>
        <v>44.94</v>
      </c>
      <c r="P58" s="160">
        <v>0.1</v>
      </c>
      <c r="Q58" s="160">
        <f t="shared" si="23"/>
        <v>4.49</v>
      </c>
      <c r="R58" s="160"/>
      <c r="S58" s="160"/>
      <c r="T58" s="162"/>
      <c r="U58" s="162"/>
      <c r="V58" s="162"/>
      <c r="W58" s="162"/>
      <c r="X58" s="78"/>
    </row>
    <row r="59" spans="1:24" ht="28.5" hidden="1" customHeight="1" outlineLevel="1" x14ac:dyDescent="0.25">
      <c r="A59" s="590"/>
      <c r="B59" s="166"/>
      <c r="C59" s="215"/>
      <c r="D59" s="215"/>
      <c r="E59" s="113"/>
      <c r="F59" s="167"/>
      <c r="G59" s="167"/>
      <c r="H59" s="160"/>
      <c r="I59" s="120"/>
      <c r="J59" s="160"/>
      <c r="K59" s="160"/>
      <c r="L59" s="160"/>
      <c r="M59" s="97" t="s">
        <v>342</v>
      </c>
      <c r="N59" s="98" t="str">
        <f>VLOOKUP(M59,материалы!$A$5:$G$31,5, FALSE)</f>
        <v>шт.</v>
      </c>
      <c r="O59" s="160">
        <f>VLOOKUP(M59,материалы!$A$5:$G$31,7, FALSE)</f>
        <v>30.94</v>
      </c>
      <c r="P59" s="160">
        <v>0.25</v>
      </c>
      <c r="Q59" s="160">
        <f t="shared" si="23"/>
        <v>7.74</v>
      </c>
      <c r="R59" s="160"/>
      <c r="S59" s="160"/>
      <c r="T59" s="162"/>
      <c r="U59" s="162"/>
      <c r="V59" s="162"/>
      <c r="W59" s="162"/>
      <c r="X59" s="78"/>
    </row>
    <row r="60" spans="1:24" ht="15.75" hidden="1" customHeight="1" outlineLevel="1" x14ac:dyDescent="0.25">
      <c r="A60" s="590"/>
      <c r="B60" s="166"/>
      <c r="C60" s="215"/>
      <c r="D60" s="215"/>
      <c r="E60" s="113"/>
      <c r="F60" s="167"/>
      <c r="G60" s="167"/>
      <c r="H60" s="160"/>
      <c r="I60" s="120"/>
      <c r="J60" s="160"/>
      <c r="K60" s="160"/>
      <c r="L60" s="160"/>
      <c r="M60" s="97" t="s">
        <v>329</v>
      </c>
      <c r="N60" s="98" t="str">
        <f>VLOOKUP(M60,материалы!$A$5:$G$31,5, FALSE)</f>
        <v>кг</v>
      </c>
      <c r="O60" s="160">
        <f>VLOOKUP(M60,материалы!$A$5:$G$31,7, FALSE)</f>
        <v>65.599999999999994</v>
      </c>
      <c r="P60" s="100">
        <f>0.001</f>
        <v>1E-3</v>
      </c>
      <c r="Q60" s="160">
        <f t="shared" si="23"/>
        <v>7.0000000000000007E-2</v>
      </c>
      <c r="R60" s="160"/>
      <c r="S60" s="160"/>
      <c r="T60" s="162"/>
      <c r="U60" s="162"/>
      <c r="V60" s="162"/>
      <c r="W60" s="162"/>
      <c r="X60" s="78"/>
    </row>
    <row r="61" spans="1:24" ht="21" hidden="1" customHeight="1" outlineLevel="1" x14ac:dyDescent="0.25">
      <c r="A61" s="590"/>
      <c r="B61" s="166"/>
      <c r="C61" s="215"/>
      <c r="D61" s="215"/>
      <c r="E61" s="113"/>
      <c r="F61" s="167"/>
      <c r="G61" s="167"/>
      <c r="H61" s="160"/>
      <c r="I61" s="120"/>
      <c r="J61" s="160"/>
      <c r="K61" s="160"/>
      <c r="L61" s="160"/>
      <c r="M61" s="97" t="s">
        <v>330</v>
      </c>
      <c r="N61" s="98" t="str">
        <f>VLOOKUP(M61,материалы!$A$5:$G$31,5, FALSE)</f>
        <v>кг</v>
      </c>
      <c r="O61" s="160">
        <f>VLOOKUP(M61,материалы!$A$5:$G$31,7, FALSE)</f>
        <v>39.82</v>
      </c>
      <c r="P61" s="98">
        <f>0.01</f>
        <v>0.01</v>
      </c>
      <c r="Q61" s="160">
        <f t="shared" si="23"/>
        <v>0.4</v>
      </c>
      <c r="R61" s="160"/>
      <c r="S61" s="160"/>
      <c r="T61" s="162"/>
      <c r="U61" s="162"/>
      <c r="V61" s="162"/>
      <c r="W61" s="162"/>
      <c r="X61" s="78"/>
    </row>
    <row r="62" spans="1:24" ht="33" hidden="1" customHeight="1" x14ac:dyDescent="0.25">
      <c r="A62" s="590"/>
      <c r="B62" s="166" t="s">
        <v>171</v>
      </c>
      <c r="C62" s="215"/>
      <c r="D62" s="215"/>
      <c r="E62" s="113" t="s">
        <v>353</v>
      </c>
      <c r="F62" s="165" t="s">
        <v>30</v>
      </c>
      <c r="G62" s="167" t="s">
        <v>161</v>
      </c>
      <c r="H62" s="160">
        <f>VLOOKUP(G62,'условия, ФОТ'!$A$14:$I$32,9, FALSE)</f>
        <v>111.79</v>
      </c>
      <c r="I62" s="87">
        <v>1</v>
      </c>
      <c r="J62" s="160">
        <f t="shared" ref="J62:J63" si="24">ROUND(H62*I62,2)</f>
        <v>111.79</v>
      </c>
      <c r="K62" s="160">
        <f>ROUND(J62*$K$7,2)</f>
        <v>33.76</v>
      </c>
      <c r="L62" s="160">
        <f t="shared" ref="L62" si="25">J62+K62</f>
        <v>145.55000000000001</v>
      </c>
      <c r="M62" s="159"/>
      <c r="N62" s="160"/>
      <c r="O62" s="160"/>
      <c r="P62" s="160"/>
      <c r="Q62" s="160"/>
      <c r="R62" s="160">
        <f t="shared" ref="R62" si="26">L62+Q62</f>
        <v>145.55000000000001</v>
      </c>
      <c r="S62" s="160">
        <f>ROUND(R62*$S$7,2)</f>
        <v>177.72</v>
      </c>
      <c r="T62" s="162">
        <f>ROUND(V62/1.2,2)</f>
        <v>355.83</v>
      </c>
      <c r="U62" s="162">
        <f>ROUND(T62*$U$7,2)</f>
        <v>71.17</v>
      </c>
      <c r="V62" s="162">
        <f>ROUND((R62+S62)*(1+$T$7)*1.2,0)</f>
        <v>427</v>
      </c>
      <c r="W62" s="162">
        <v>365</v>
      </c>
      <c r="X62" s="78">
        <f t="shared" ref="X62:X63" si="27">V62/W62*100-100</f>
        <v>16.986301369863014</v>
      </c>
    </row>
    <row r="63" spans="1:24" ht="55.5" hidden="1" customHeight="1" x14ac:dyDescent="0.25">
      <c r="A63" s="590"/>
      <c r="B63" s="166" t="s">
        <v>170</v>
      </c>
      <c r="C63" s="215"/>
      <c r="D63" s="215"/>
      <c r="E63" s="157" t="s">
        <v>559</v>
      </c>
      <c r="F63" s="165" t="s">
        <v>26</v>
      </c>
      <c r="G63" s="167" t="s">
        <v>162</v>
      </c>
      <c r="H63" s="160">
        <f>VLOOKUP(G63,'условия, ФОТ'!$A$14:$I$32,9, FALSE)</f>
        <v>164.09</v>
      </c>
      <c r="I63" s="172">
        <v>0.25</v>
      </c>
      <c r="J63" s="160">
        <f t="shared" si="24"/>
        <v>41.02</v>
      </c>
      <c r="K63" s="160">
        <f>ROUND(J63*$K$7,2)</f>
        <v>12.39</v>
      </c>
      <c r="L63" s="160">
        <f t="shared" si="14"/>
        <v>53.410000000000004</v>
      </c>
      <c r="M63" s="159"/>
      <c r="N63" s="160"/>
      <c r="O63" s="160"/>
      <c r="P63" s="160"/>
      <c r="Q63" s="160">
        <f>SUM(Q64:Q66)</f>
        <v>4.03</v>
      </c>
      <c r="R63" s="160">
        <f t="shared" si="21"/>
        <v>57.440000000000005</v>
      </c>
      <c r="S63" s="160">
        <f>ROUND(R63*$S$7,2)</f>
        <v>70.13</v>
      </c>
      <c r="T63" s="162">
        <f>ROUND(V63/1.2,2)</f>
        <v>140</v>
      </c>
      <c r="U63" s="162">
        <f>ROUND(T63*$U$7,2)</f>
        <v>28</v>
      </c>
      <c r="V63" s="162">
        <f>ROUND((R63+S63)*(1+$T$7)*1.2,0)</f>
        <v>168</v>
      </c>
      <c r="W63" s="162">
        <v>113</v>
      </c>
      <c r="X63" s="78">
        <f t="shared" si="27"/>
        <v>48.672566371681427</v>
      </c>
    </row>
    <row r="64" spans="1:24" ht="31.7" hidden="1" customHeight="1" x14ac:dyDescent="0.25">
      <c r="A64" s="588" t="s">
        <v>577</v>
      </c>
      <c r="B64" s="588"/>
      <c r="C64" s="588"/>
      <c r="D64" s="588"/>
      <c r="E64" s="588"/>
      <c r="F64" s="588"/>
      <c r="G64" s="588"/>
      <c r="H64" s="588"/>
      <c r="I64" s="588"/>
      <c r="J64" s="588"/>
      <c r="K64" s="588"/>
      <c r="L64" s="96" t="s">
        <v>366</v>
      </c>
      <c r="M64" s="104" t="s">
        <v>335</v>
      </c>
      <c r="N64" s="98" t="str">
        <f>VLOOKUP(M64,материалы!$A$5:$G$31,5, FALSE)</f>
        <v>кг</v>
      </c>
      <c r="O64" s="160">
        <f>VLOOKUP(M64,материалы!$A$5:$G$31,7, FALSE)</f>
        <v>712.76</v>
      </c>
      <c r="P64" s="160">
        <v>5.0000000000000001E-3</v>
      </c>
      <c r="Q64" s="160">
        <f t="shared" ref="Q64:Q66" si="28">ROUND(O64*P64,2)</f>
        <v>3.56</v>
      </c>
      <c r="R64" s="160"/>
      <c r="S64" s="160"/>
      <c r="T64" s="162"/>
      <c r="U64" s="162"/>
      <c r="V64" s="162"/>
      <c r="W64" s="162"/>
      <c r="X64" s="78"/>
    </row>
    <row r="65" spans="1:24" ht="14.25" hidden="1" customHeight="1" x14ac:dyDescent="0.25">
      <c r="A65" s="588"/>
      <c r="B65" s="588"/>
      <c r="C65" s="588"/>
      <c r="D65" s="588"/>
      <c r="E65" s="588"/>
      <c r="F65" s="588"/>
      <c r="G65" s="588"/>
      <c r="H65" s="588"/>
      <c r="I65" s="588"/>
      <c r="J65" s="588"/>
      <c r="K65" s="588"/>
      <c r="L65" s="160"/>
      <c r="M65" s="97" t="s">
        <v>329</v>
      </c>
      <c r="N65" s="98" t="str">
        <f>VLOOKUP(M65,материалы!$A$5:$G$31,5, FALSE)</f>
        <v>кг</v>
      </c>
      <c r="O65" s="160">
        <f>VLOOKUP(M65,материалы!$A$5:$G$31,7, FALSE)</f>
        <v>65.599999999999994</v>
      </c>
      <c r="P65" s="100">
        <f>0.001</f>
        <v>1E-3</v>
      </c>
      <c r="Q65" s="160">
        <f t="shared" si="28"/>
        <v>7.0000000000000007E-2</v>
      </c>
      <c r="R65" s="160"/>
      <c r="S65" s="160"/>
      <c r="T65" s="162"/>
      <c r="U65" s="162"/>
      <c r="V65" s="162"/>
      <c r="W65" s="162"/>
      <c r="X65" s="78"/>
    </row>
    <row r="66" spans="1:24" ht="18.95" hidden="1" customHeight="1" x14ac:dyDescent="0.25">
      <c r="A66" s="588"/>
      <c r="B66" s="588"/>
      <c r="C66" s="588"/>
      <c r="D66" s="588"/>
      <c r="E66" s="588"/>
      <c r="F66" s="588"/>
      <c r="G66" s="588"/>
      <c r="H66" s="588"/>
      <c r="I66" s="588"/>
      <c r="J66" s="588"/>
      <c r="K66" s="588"/>
      <c r="L66" s="160"/>
      <c r="M66" s="97" t="s">
        <v>330</v>
      </c>
      <c r="N66" s="98" t="str">
        <f>VLOOKUP(M66,материалы!$A$5:$G$31,5, FALSE)</f>
        <v>кг</v>
      </c>
      <c r="O66" s="160">
        <f>VLOOKUP(M66,материалы!$A$5:$G$31,7, FALSE)</f>
        <v>39.82</v>
      </c>
      <c r="P66" s="98">
        <f>0.01</f>
        <v>0.01</v>
      </c>
      <c r="Q66" s="160">
        <f t="shared" si="28"/>
        <v>0.4</v>
      </c>
      <c r="R66" s="160"/>
      <c r="S66" s="160"/>
      <c r="T66" s="162"/>
      <c r="U66" s="162"/>
      <c r="V66" s="162"/>
      <c r="W66" s="162"/>
      <c r="X66" s="78"/>
    </row>
    <row r="67" spans="1:24" ht="15" hidden="1" customHeight="1" x14ac:dyDescent="0.25">
      <c r="A67" s="590" t="s">
        <v>430</v>
      </c>
      <c r="B67" s="166" t="s">
        <v>172</v>
      </c>
      <c r="C67" s="215"/>
      <c r="D67" s="215"/>
      <c r="E67" s="589" t="s">
        <v>31</v>
      </c>
      <c r="F67" s="600" t="s">
        <v>30</v>
      </c>
      <c r="G67" s="105" t="s">
        <v>162</v>
      </c>
      <c r="H67" s="160">
        <f>VLOOKUP(G67,'условия, ФОТ'!$A$14:$I$32,9, FALSE)</f>
        <v>164.09</v>
      </c>
      <c r="I67" s="172">
        <f>0.72+0.68</f>
        <v>1.4</v>
      </c>
      <c r="J67" s="592">
        <f>ROUND(H67*I67+H68*I68,2)</f>
        <v>356.07</v>
      </c>
      <c r="K67" s="592">
        <f>ROUND(J67*$K$7,2)</f>
        <v>107.53</v>
      </c>
      <c r="L67" s="592">
        <f t="shared" ref="L67:L171" si="29">J67+K67</f>
        <v>463.6</v>
      </c>
      <c r="M67" s="591"/>
      <c r="N67" s="592"/>
      <c r="O67" s="592"/>
      <c r="P67" s="592"/>
      <c r="Q67" s="592">
        <f>SUM(Q69:Q75)</f>
        <v>78.88</v>
      </c>
      <c r="R67" s="592">
        <f>L67+Q67</f>
        <v>542.48</v>
      </c>
      <c r="S67" s="592">
        <f>ROUND(R67*$S$7,2)</f>
        <v>662.37</v>
      </c>
      <c r="T67" s="596">
        <f>ROUND(V67/1.2,2)</f>
        <v>1325</v>
      </c>
      <c r="U67" s="596">
        <f>ROUND(T67*$U$7,2)</f>
        <v>265</v>
      </c>
      <c r="V67" s="596">
        <f>ROUND((R67+S67)*(1+$T$7)*1.2,0)</f>
        <v>1590</v>
      </c>
      <c r="W67" s="594">
        <v>1190</v>
      </c>
      <c r="X67" s="78">
        <f t="shared" si="0"/>
        <v>33.613445378151255</v>
      </c>
    </row>
    <row r="68" spans="1:24" ht="14.25" hidden="1" customHeight="1" x14ac:dyDescent="0.25">
      <c r="A68" s="590"/>
      <c r="B68" s="166" t="s">
        <v>169</v>
      </c>
      <c r="C68" s="215"/>
      <c r="D68" s="215"/>
      <c r="E68" s="589"/>
      <c r="F68" s="600"/>
      <c r="G68" s="167" t="s">
        <v>166</v>
      </c>
      <c r="H68" s="160">
        <f>VLOOKUP(G68,'условия, ФОТ'!$A$14:$I$32,9, FALSE)</f>
        <v>185.8</v>
      </c>
      <c r="I68" s="172">
        <v>0.68</v>
      </c>
      <c r="J68" s="592"/>
      <c r="K68" s="592"/>
      <c r="L68" s="592"/>
      <c r="M68" s="591"/>
      <c r="N68" s="592"/>
      <c r="O68" s="592"/>
      <c r="P68" s="592"/>
      <c r="Q68" s="592"/>
      <c r="R68" s="592"/>
      <c r="S68" s="592"/>
      <c r="T68" s="596"/>
      <c r="U68" s="596"/>
      <c r="V68" s="596"/>
      <c r="W68" s="595"/>
      <c r="X68" s="78"/>
    </row>
    <row r="69" spans="1:24" ht="18.95" hidden="1" customHeight="1" outlineLevel="1" x14ac:dyDescent="0.25">
      <c r="A69" s="158"/>
      <c r="B69" s="166"/>
      <c r="C69" s="215"/>
      <c r="D69" s="215"/>
      <c r="E69" s="156"/>
      <c r="F69" s="165"/>
      <c r="G69" s="167"/>
      <c r="H69" s="160"/>
      <c r="I69" s="172"/>
      <c r="J69" s="160"/>
      <c r="K69" s="160"/>
      <c r="L69" s="96" t="s">
        <v>366</v>
      </c>
      <c r="M69" s="104" t="s">
        <v>324</v>
      </c>
      <c r="N69" s="98" t="str">
        <f>VLOOKUP(M69,материалы!$A$5:$G$31,5, FALSE)</f>
        <v>м3</v>
      </c>
      <c r="O69" s="160">
        <f>VLOOKUP(M69,материалы!$A$5:$G$31,7, FALSE)</f>
        <v>54.61</v>
      </c>
      <c r="P69" s="160">
        <v>0.15</v>
      </c>
      <c r="Q69" s="160">
        <f t="shared" ref="Q69:Q75" si="30">ROUND(O69*P69,2)</f>
        <v>8.19</v>
      </c>
      <c r="R69" s="160"/>
      <c r="S69" s="160"/>
      <c r="T69" s="162"/>
      <c r="U69" s="162"/>
      <c r="V69" s="162"/>
      <c r="W69" s="162"/>
      <c r="X69" s="78"/>
    </row>
    <row r="70" spans="1:24" ht="18.95" hidden="1" customHeight="1" outlineLevel="1" x14ac:dyDescent="0.25">
      <c r="A70" s="158"/>
      <c r="B70" s="166"/>
      <c r="C70" s="215"/>
      <c r="D70" s="215"/>
      <c r="E70" s="156"/>
      <c r="F70" s="165"/>
      <c r="G70" s="167"/>
      <c r="H70" s="160"/>
      <c r="I70" s="172"/>
      <c r="J70" s="160"/>
      <c r="K70" s="160"/>
      <c r="L70" s="160"/>
      <c r="M70" s="104" t="s">
        <v>323</v>
      </c>
      <c r="N70" s="98" t="str">
        <f>VLOOKUP(M70,материалы!$A$5:$G$31,5, FALSE)</f>
        <v>м3</v>
      </c>
      <c r="O70" s="160">
        <f>VLOOKUP(M70,материалы!$A$5:$G$31,7, FALSE)</f>
        <v>379.24</v>
      </c>
      <c r="P70" s="172">
        <v>8.7499999999999994E-2</v>
      </c>
      <c r="Q70" s="160">
        <f t="shared" si="30"/>
        <v>33.18</v>
      </c>
      <c r="R70" s="160"/>
      <c r="S70" s="160"/>
      <c r="T70" s="162"/>
      <c r="U70" s="162"/>
      <c r="V70" s="162"/>
      <c r="W70" s="162"/>
      <c r="X70" s="78"/>
    </row>
    <row r="71" spans="1:24" ht="41.25" hidden="1" customHeight="1" outlineLevel="1" x14ac:dyDescent="0.25">
      <c r="A71" s="158"/>
      <c r="B71" s="166"/>
      <c r="C71" s="215"/>
      <c r="D71" s="215"/>
      <c r="E71" s="156"/>
      <c r="F71" s="165"/>
      <c r="G71" s="167"/>
      <c r="H71" s="160"/>
      <c r="I71" s="172"/>
      <c r="J71" s="160"/>
      <c r="K71" s="160"/>
      <c r="L71" s="160"/>
      <c r="M71" s="104" t="s">
        <v>341</v>
      </c>
      <c r="N71" s="98" t="str">
        <f>VLOOKUP(M71,материалы!$A$5:$G$31,5, FALSE)</f>
        <v>кг</v>
      </c>
      <c r="O71" s="160">
        <f>VLOOKUP(M71,материалы!$A$5:$G$31,7, FALSE)</f>
        <v>44.94</v>
      </c>
      <c r="P71" s="160">
        <v>0.1</v>
      </c>
      <c r="Q71" s="160">
        <f t="shared" si="30"/>
        <v>4.49</v>
      </c>
      <c r="R71" s="160"/>
      <c r="S71" s="160"/>
      <c r="T71" s="162"/>
      <c r="U71" s="162"/>
      <c r="V71" s="162"/>
      <c r="W71" s="162"/>
      <c r="X71" s="78"/>
    </row>
    <row r="72" spans="1:24" ht="29.25" hidden="1" customHeight="1" outlineLevel="1" x14ac:dyDescent="0.25">
      <c r="A72" s="158"/>
      <c r="B72" s="166"/>
      <c r="C72" s="215"/>
      <c r="D72" s="215"/>
      <c r="E72" s="156"/>
      <c r="F72" s="165"/>
      <c r="G72" s="167"/>
      <c r="H72" s="160"/>
      <c r="I72" s="172"/>
      <c r="J72" s="160"/>
      <c r="K72" s="160"/>
      <c r="L72" s="160"/>
      <c r="M72" s="104" t="s">
        <v>342</v>
      </c>
      <c r="N72" s="98" t="str">
        <f>VLOOKUP(M72,материалы!$A$5:$G$31,5, FALSE)</f>
        <v>шт.</v>
      </c>
      <c r="O72" s="160">
        <f>VLOOKUP(M72,материалы!$A$5:$G$31,7, FALSE)</f>
        <v>30.94</v>
      </c>
      <c r="P72" s="160">
        <v>0.25</v>
      </c>
      <c r="Q72" s="160">
        <f t="shared" si="30"/>
        <v>7.74</v>
      </c>
      <c r="R72" s="160"/>
      <c r="S72" s="160"/>
      <c r="T72" s="162"/>
      <c r="U72" s="162"/>
      <c r="V72" s="162"/>
      <c r="W72" s="162"/>
      <c r="X72" s="78"/>
    </row>
    <row r="73" spans="1:24" ht="29.25" hidden="1" customHeight="1" outlineLevel="1" x14ac:dyDescent="0.25">
      <c r="A73" s="158"/>
      <c r="B73" s="166"/>
      <c r="C73" s="215"/>
      <c r="D73" s="215"/>
      <c r="E73" s="156"/>
      <c r="F73" s="165"/>
      <c r="G73" s="167"/>
      <c r="H73" s="160"/>
      <c r="I73" s="172"/>
      <c r="J73" s="160"/>
      <c r="K73" s="160"/>
      <c r="L73" s="160"/>
      <c r="M73" s="121" t="s">
        <v>346</v>
      </c>
      <c r="N73" s="98" t="str">
        <f>VLOOKUP(M73,материалы!$A$5:$G$31,5, FALSE)</f>
        <v>шт.</v>
      </c>
      <c r="O73" s="160">
        <f>VLOOKUP(M73,материалы!$A$5:$G$31,7, FALSE)</f>
        <v>24.810000000000002</v>
      </c>
      <c r="P73" s="160">
        <v>1</v>
      </c>
      <c r="Q73" s="160">
        <f t="shared" si="30"/>
        <v>24.81</v>
      </c>
      <c r="R73" s="160"/>
      <c r="S73" s="160"/>
      <c r="T73" s="162"/>
      <c r="U73" s="162"/>
      <c r="V73" s="162"/>
      <c r="W73" s="162"/>
      <c r="X73" s="78"/>
    </row>
    <row r="74" spans="1:24" ht="21" hidden="1" customHeight="1" outlineLevel="1" x14ac:dyDescent="0.25">
      <c r="A74" s="158"/>
      <c r="B74" s="166"/>
      <c r="C74" s="215"/>
      <c r="D74" s="215"/>
      <c r="E74" s="156"/>
      <c r="F74" s="165"/>
      <c r="G74" s="167"/>
      <c r="H74" s="160"/>
      <c r="I74" s="172"/>
      <c r="J74" s="160"/>
      <c r="K74" s="160"/>
      <c r="L74" s="160"/>
      <c r="M74" s="97" t="s">
        <v>329</v>
      </c>
      <c r="N74" s="98" t="str">
        <f>VLOOKUP(M74,материалы!$A$5:$G$31,5, FALSE)</f>
        <v>кг</v>
      </c>
      <c r="O74" s="160">
        <f>VLOOKUP(M74,материалы!$A$5:$G$31,7, FALSE)</f>
        <v>65.599999999999994</v>
      </c>
      <c r="P74" s="160">
        <v>1E-3</v>
      </c>
      <c r="Q74" s="160">
        <f t="shared" si="30"/>
        <v>7.0000000000000007E-2</v>
      </c>
      <c r="R74" s="160"/>
      <c r="S74" s="160"/>
      <c r="T74" s="162"/>
      <c r="U74" s="162"/>
      <c r="V74" s="162"/>
      <c r="W74" s="162"/>
      <c r="X74" s="78"/>
    </row>
    <row r="75" spans="1:24" ht="20.25" hidden="1" customHeight="1" outlineLevel="1" x14ac:dyDescent="0.25">
      <c r="A75" s="158"/>
      <c r="B75" s="166"/>
      <c r="C75" s="215"/>
      <c r="D75" s="215"/>
      <c r="E75" s="156"/>
      <c r="F75" s="165"/>
      <c r="G75" s="167"/>
      <c r="H75" s="160"/>
      <c r="I75" s="172"/>
      <c r="J75" s="160"/>
      <c r="K75" s="160"/>
      <c r="L75" s="160"/>
      <c r="M75" s="97" t="s">
        <v>330</v>
      </c>
      <c r="N75" s="98" t="str">
        <f>VLOOKUP(M75,материалы!$A$5:$G$31,5, FALSE)</f>
        <v>кг</v>
      </c>
      <c r="O75" s="160">
        <f>VLOOKUP(M75,материалы!$A$5:$G$31,7, FALSE)</f>
        <v>39.82</v>
      </c>
      <c r="P75" s="160">
        <v>0.01</v>
      </c>
      <c r="Q75" s="160">
        <f t="shared" si="30"/>
        <v>0.4</v>
      </c>
      <c r="R75" s="160"/>
      <c r="S75" s="160"/>
      <c r="T75" s="162"/>
      <c r="U75" s="162"/>
      <c r="V75" s="162"/>
      <c r="W75" s="162"/>
      <c r="X75" s="78"/>
    </row>
    <row r="76" spans="1:24" ht="51" hidden="1" x14ac:dyDescent="0.25">
      <c r="A76" s="158" t="s">
        <v>431</v>
      </c>
      <c r="B76" s="158" t="s">
        <v>173</v>
      </c>
      <c r="C76" s="210"/>
      <c r="D76" s="210"/>
      <c r="E76" s="156" t="s">
        <v>407</v>
      </c>
      <c r="F76" s="165" t="s">
        <v>30</v>
      </c>
      <c r="G76" s="167" t="s">
        <v>161</v>
      </c>
      <c r="H76" s="160">
        <f>VLOOKUP(G76,'условия, ФОТ'!$A$14:$I$32,9, FALSE)</f>
        <v>111.79</v>
      </c>
      <c r="I76" s="172">
        <v>1.3</v>
      </c>
      <c r="J76" s="160">
        <f t="shared" ref="J76:J171" si="31">ROUND(H76*I76,2)</f>
        <v>145.33000000000001</v>
      </c>
      <c r="K76" s="160">
        <f>ROUND(J76*$K$7,2)</f>
        <v>43.89</v>
      </c>
      <c r="L76" s="160">
        <f t="shared" si="29"/>
        <v>189.22000000000003</v>
      </c>
      <c r="M76" s="159"/>
      <c r="N76" s="160"/>
      <c r="O76" s="160"/>
      <c r="P76" s="160"/>
      <c r="Q76" s="160">
        <f>SUM(Q77:Q79)</f>
        <v>4.03</v>
      </c>
      <c r="R76" s="160">
        <f>L76+Q76</f>
        <v>193.25000000000003</v>
      </c>
      <c r="S76" s="160">
        <f>ROUND(R76*$S$7,2)</f>
        <v>235.96</v>
      </c>
      <c r="T76" s="162">
        <f>ROUND(V76/1.2,2)</f>
        <v>472.5</v>
      </c>
      <c r="U76" s="162">
        <f>ROUND(T76*$U$7,2)</f>
        <v>94.5</v>
      </c>
      <c r="V76" s="162">
        <f>ROUND((R76+S76)*(1+$T$7)*1.2,0)</f>
        <v>567</v>
      </c>
      <c r="W76" s="162">
        <v>485</v>
      </c>
      <c r="X76" s="78">
        <f t="shared" si="0"/>
        <v>16.907216494845372</v>
      </c>
    </row>
    <row r="77" spans="1:24" ht="25.5" hidden="1" outlineLevel="1" x14ac:dyDescent="0.25">
      <c r="A77" s="158"/>
      <c r="B77" s="158"/>
      <c r="C77" s="210"/>
      <c r="D77" s="210"/>
      <c r="E77" s="156"/>
      <c r="F77" s="165"/>
      <c r="G77" s="167"/>
      <c r="H77" s="160"/>
      <c r="I77" s="172"/>
      <c r="J77" s="160"/>
      <c r="K77" s="160"/>
      <c r="L77" s="96" t="s">
        <v>366</v>
      </c>
      <c r="M77" s="104" t="s">
        <v>335</v>
      </c>
      <c r="N77" s="98" t="str">
        <f>VLOOKUP(M77,материалы!$A$5:$G$31,5, FALSE)</f>
        <v>кг</v>
      </c>
      <c r="O77" s="160">
        <f>VLOOKUP(M77,материалы!$A$5:$G$31,7, FALSE)</f>
        <v>712.76</v>
      </c>
      <c r="P77" s="160">
        <v>5.0000000000000001E-3</v>
      </c>
      <c r="Q77" s="160">
        <f t="shared" ref="Q77:Q79" si="32">ROUND(O77*P77,2)</f>
        <v>3.56</v>
      </c>
      <c r="R77" s="160"/>
      <c r="S77" s="160"/>
      <c r="T77" s="162"/>
      <c r="U77" s="162"/>
      <c r="V77" s="162"/>
      <c r="W77" s="162"/>
      <c r="X77" s="78"/>
    </row>
    <row r="78" spans="1:24" hidden="1" outlineLevel="1" x14ac:dyDescent="0.25">
      <c r="A78" s="158"/>
      <c r="B78" s="158"/>
      <c r="C78" s="210"/>
      <c r="D78" s="210"/>
      <c r="E78" s="156"/>
      <c r="F78" s="165"/>
      <c r="G78" s="167"/>
      <c r="H78" s="160"/>
      <c r="I78" s="172"/>
      <c r="J78" s="160"/>
      <c r="K78" s="160"/>
      <c r="L78" s="160"/>
      <c r="M78" s="97" t="s">
        <v>329</v>
      </c>
      <c r="N78" s="98" t="str">
        <f>VLOOKUP(M78,материалы!$A$5:$G$31,5, FALSE)</f>
        <v>кг</v>
      </c>
      <c r="O78" s="160">
        <f>VLOOKUP(M78,материалы!$A$5:$G$31,7, FALSE)</f>
        <v>65.599999999999994</v>
      </c>
      <c r="P78" s="160">
        <v>1E-3</v>
      </c>
      <c r="Q78" s="160">
        <f t="shared" si="32"/>
        <v>7.0000000000000007E-2</v>
      </c>
      <c r="R78" s="160"/>
      <c r="S78" s="160"/>
      <c r="T78" s="162"/>
      <c r="U78" s="162"/>
      <c r="V78" s="162"/>
      <c r="W78" s="162"/>
      <c r="X78" s="78"/>
    </row>
    <row r="79" spans="1:24" hidden="1" outlineLevel="1" x14ac:dyDescent="0.25">
      <c r="A79" s="158"/>
      <c r="B79" s="158"/>
      <c r="C79" s="210"/>
      <c r="D79" s="210"/>
      <c r="E79" s="156"/>
      <c r="F79" s="165"/>
      <c r="G79" s="167"/>
      <c r="H79" s="160"/>
      <c r="I79" s="172"/>
      <c r="J79" s="160"/>
      <c r="K79" s="160"/>
      <c r="L79" s="160"/>
      <c r="M79" s="97" t="s">
        <v>330</v>
      </c>
      <c r="N79" s="98" t="str">
        <f>VLOOKUP(M79,материалы!$A$5:$G$31,5, FALSE)</f>
        <v>кг</v>
      </c>
      <c r="O79" s="160">
        <f>VLOOKUP(M79,материалы!$A$5:$G$31,7, FALSE)</f>
        <v>39.82</v>
      </c>
      <c r="P79" s="160">
        <v>0.01</v>
      </c>
      <c r="Q79" s="160">
        <f t="shared" si="32"/>
        <v>0.4</v>
      </c>
      <c r="R79" s="160"/>
      <c r="S79" s="160"/>
      <c r="T79" s="162"/>
      <c r="U79" s="162"/>
      <c r="V79" s="162"/>
      <c r="W79" s="162"/>
      <c r="X79" s="78"/>
    </row>
    <row r="80" spans="1:24" ht="45.95" hidden="1" customHeight="1" x14ac:dyDescent="0.25">
      <c r="A80" s="158" t="s">
        <v>432</v>
      </c>
      <c r="B80" s="158" t="s">
        <v>27</v>
      </c>
      <c r="C80" s="210"/>
      <c r="D80" s="210"/>
      <c r="E80" s="156" t="s">
        <v>408</v>
      </c>
      <c r="F80" s="165" t="s">
        <v>30</v>
      </c>
      <c r="G80" s="167" t="s">
        <v>161</v>
      </c>
      <c r="H80" s="160">
        <f>VLOOKUP(G80,'условия, ФОТ'!$A$14:$I$32,9, FALSE)</f>
        <v>111.79</v>
      </c>
      <c r="I80" s="172">
        <v>1.4</v>
      </c>
      <c r="J80" s="160">
        <f t="shared" si="31"/>
        <v>156.51</v>
      </c>
      <c r="K80" s="160">
        <f>ROUND(J80*$K$7,2)</f>
        <v>47.27</v>
      </c>
      <c r="L80" s="160">
        <f t="shared" si="29"/>
        <v>203.78</v>
      </c>
      <c r="M80" s="159"/>
      <c r="N80" s="160"/>
      <c r="O80" s="160"/>
      <c r="P80" s="160"/>
      <c r="Q80" s="160">
        <f>SUM(Q81:Q83)</f>
        <v>4.03</v>
      </c>
      <c r="R80" s="160">
        <f t="shared" ref="R80:R171" si="33">L80+Q80</f>
        <v>207.81</v>
      </c>
      <c r="S80" s="160">
        <f>ROUND(R80*$S$7,2)</f>
        <v>253.74</v>
      </c>
      <c r="T80" s="162">
        <f>ROUND(V80/1.2,2)</f>
        <v>507.5</v>
      </c>
      <c r="U80" s="162">
        <f>ROUND(T80*$U$7,2)</f>
        <v>101.5</v>
      </c>
      <c r="V80" s="162">
        <f>ROUND((R80+S80)*(1+$T$7)*1.2,0)</f>
        <v>609</v>
      </c>
      <c r="W80" s="162">
        <v>522</v>
      </c>
      <c r="X80" s="78">
        <f t="shared" si="0"/>
        <v>16.666666666666671</v>
      </c>
    </row>
    <row r="81" spans="1:24" ht="25.5" hidden="1" outlineLevel="1" x14ac:dyDescent="0.25">
      <c r="A81" s="158"/>
      <c r="B81" s="158"/>
      <c r="C81" s="210"/>
      <c r="D81" s="210"/>
      <c r="E81" s="156"/>
      <c r="F81" s="165"/>
      <c r="G81" s="167"/>
      <c r="H81" s="160"/>
      <c r="I81" s="172"/>
      <c r="J81" s="160"/>
      <c r="K81" s="160"/>
      <c r="L81" s="96" t="s">
        <v>366</v>
      </c>
      <c r="M81" s="104" t="s">
        <v>335</v>
      </c>
      <c r="N81" s="98" t="str">
        <f>VLOOKUP(M81,материалы!$A$5:$G$31,5, FALSE)</f>
        <v>кг</v>
      </c>
      <c r="O81" s="160">
        <f>VLOOKUP(M81,материалы!$A$5:$G$31,7, FALSE)</f>
        <v>712.76</v>
      </c>
      <c r="P81" s="160">
        <v>5.0000000000000001E-3</v>
      </c>
      <c r="Q81" s="160">
        <f t="shared" ref="Q81:Q87" si="34">ROUND(O81*P81,2)</f>
        <v>3.56</v>
      </c>
      <c r="R81" s="160"/>
      <c r="S81" s="160"/>
      <c r="T81" s="162"/>
      <c r="U81" s="162"/>
      <c r="V81" s="162"/>
      <c r="W81" s="162"/>
      <c r="X81" s="78"/>
    </row>
    <row r="82" spans="1:24" hidden="1" outlineLevel="1" x14ac:dyDescent="0.25">
      <c r="A82" s="158"/>
      <c r="B82" s="158"/>
      <c r="C82" s="210"/>
      <c r="D82" s="210"/>
      <c r="E82" s="156"/>
      <c r="F82" s="165"/>
      <c r="G82" s="167"/>
      <c r="H82" s="160"/>
      <c r="I82" s="172"/>
      <c r="J82" s="160"/>
      <c r="K82" s="160"/>
      <c r="L82" s="160"/>
      <c r="M82" s="97" t="s">
        <v>329</v>
      </c>
      <c r="N82" s="98" t="str">
        <f>VLOOKUP(M82,материалы!$A$5:$G$31,5, FALSE)</f>
        <v>кг</v>
      </c>
      <c r="O82" s="160">
        <f>VLOOKUP(M82,материалы!$A$5:$G$31,7, FALSE)</f>
        <v>65.599999999999994</v>
      </c>
      <c r="P82" s="160">
        <v>1E-3</v>
      </c>
      <c r="Q82" s="160">
        <f t="shared" si="34"/>
        <v>7.0000000000000007E-2</v>
      </c>
      <c r="R82" s="160"/>
      <c r="S82" s="160"/>
      <c r="T82" s="162"/>
      <c r="U82" s="162"/>
      <c r="V82" s="162"/>
      <c r="W82" s="162"/>
      <c r="X82" s="78"/>
    </row>
    <row r="83" spans="1:24" hidden="1" outlineLevel="1" x14ac:dyDescent="0.25">
      <c r="A83" s="158"/>
      <c r="B83" s="158"/>
      <c r="C83" s="210"/>
      <c r="D83" s="210"/>
      <c r="E83" s="156"/>
      <c r="F83" s="165"/>
      <c r="G83" s="167"/>
      <c r="H83" s="160"/>
      <c r="I83" s="172"/>
      <c r="J83" s="160"/>
      <c r="K83" s="160"/>
      <c r="L83" s="160"/>
      <c r="M83" s="97" t="s">
        <v>330</v>
      </c>
      <c r="N83" s="98" t="str">
        <f>VLOOKUP(M83,материалы!$A$5:$G$31,5, FALSE)</f>
        <v>кг</v>
      </c>
      <c r="O83" s="160">
        <f>VLOOKUP(M83,материалы!$A$5:$G$31,7, FALSE)</f>
        <v>39.82</v>
      </c>
      <c r="P83" s="160">
        <v>0.01</v>
      </c>
      <c r="Q83" s="160">
        <f t="shared" si="34"/>
        <v>0.4</v>
      </c>
      <c r="R83" s="160"/>
      <c r="S83" s="160"/>
      <c r="T83" s="162"/>
      <c r="U83" s="162"/>
      <c r="V83" s="162"/>
      <c r="W83" s="162"/>
      <c r="X83" s="78"/>
    </row>
    <row r="84" spans="1:24" ht="39.75" hidden="1" customHeight="1" x14ac:dyDescent="0.25">
      <c r="A84" s="158" t="s">
        <v>433</v>
      </c>
      <c r="B84" s="158" t="s">
        <v>27</v>
      </c>
      <c r="C84" s="210"/>
      <c r="D84" s="210"/>
      <c r="E84" s="156" t="s">
        <v>409</v>
      </c>
      <c r="F84" s="165" t="s">
        <v>30</v>
      </c>
      <c r="G84" s="167" t="s">
        <v>161</v>
      </c>
      <c r="H84" s="160">
        <f>VLOOKUP(G84,'условия, ФОТ'!$A$14:$I$32,9, FALSE)</f>
        <v>111.79</v>
      </c>
      <c r="I84" s="172">
        <v>0.9</v>
      </c>
      <c r="J84" s="160">
        <f t="shared" si="31"/>
        <v>100.61</v>
      </c>
      <c r="K84" s="160">
        <f>ROUND(J84*$K$7,2)</f>
        <v>30.38</v>
      </c>
      <c r="L84" s="160">
        <f t="shared" si="29"/>
        <v>130.99</v>
      </c>
      <c r="M84" s="159"/>
      <c r="N84" s="160"/>
      <c r="O84" s="160"/>
      <c r="P84" s="160"/>
      <c r="Q84" s="160">
        <f>SUM(Q85:Q87)</f>
        <v>4.03</v>
      </c>
      <c r="R84" s="160">
        <f>L84+Q84</f>
        <v>135.02000000000001</v>
      </c>
      <c r="S84" s="160">
        <f>ROUND(R84*$S$7,2)</f>
        <v>164.86</v>
      </c>
      <c r="T84" s="162">
        <f>ROUND(V84/1.2,2)</f>
        <v>330</v>
      </c>
      <c r="U84" s="162">
        <f>ROUND(T84*$U$7,2)</f>
        <v>66</v>
      </c>
      <c r="V84" s="162">
        <f>ROUND((R84+S84)*(1+$T$7)*1.2,0)</f>
        <v>396</v>
      </c>
      <c r="W84" s="162">
        <v>339</v>
      </c>
      <c r="X84" s="78">
        <f t="shared" si="0"/>
        <v>16.814159292035399</v>
      </c>
    </row>
    <row r="85" spans="1:24" ht="25.5" hidden="1" outlineLevel="1" x14ac:dyDescent="0.25">
      <c r="A85" s="158"/>
      <c r="B85" s="158"/>
      <c r="C85" s="210"/>
      <c r="D85" s="210"/>
      <c r="E85" s="156"/>
      <c r="F85" s="165"/>
      <c r="G85" s="167"/>
      <c r="H85" s="160"/>
      <c r="I85" s="172"/>
      <c r="J85" s="160"/>
      <c r="K85" s="160"/>
      <c r="L85" s="96" t="s">
        <v>366</v>
      </c>
      <c r="M85" s="104" t="s">
        <v>335</v>
      </c>
      <c r="N85" s="98" t="str">
        <f>VLOOKUP(M85,материалы!$A$5:$G$31,5, FALSE)</f>
        <v>кг</v>
      </c>
      <c r="O85" s="160">
        <f>VLOOKUP(M85,материалы!$A$5:$G$31,7, FALSE)</f>
        <v>712.76</v>
      </c>
      <c r="P85" s="160">
        <v>5.0000000000000001E-3</v>
      </c>
      <c r="Q85" s="160">
        <f t="shared" si="34"/>
        <v>3.56</v>
      </c>
      <c r="R85" s="160"/>
      <c r="S85" s="160"/>
      <c r="T85" s="162"/>
      <c r="U85" s="162"/>
      <c r="V85" s="162"/>
      <c r="W85" s="162"/>
      <c r="X85" s="78"/>
    </row>
    <row r="86" spans="1:24" hidden="1" outlineLevel="1" x14ac:dyDescent="0.25">
      <c r="A86" s="158"/>
      <c r="B86" s="158"/>
      <c r="C86" s="210"/>
      <c r="D86" s="210"/>
      <c r="E86" s="156"/>
      <c r="F86" s="165"/>
      <c r="G86" s="167"/>
      <c r="H86" s="160"/>
      <c r="I86" s="172"/>
      <c r="J86" s="160"/>
      <c r="K86" s="160"/>
      <c r="L86" s="160"/>
      <c r="M86" s="97" t="s">
        <v>329</v>
      </c>
      <c r="N86" s="98" t="str">
        <f>VLOOKUP(M86,материалы!$A$5:$G$31,5, FALSE)</f>
        <v>кг</v>
      </c>
      <c r="O86" s="160">
        <f>VLOOKUP(M86,материалы!$A$5:$G$31,7, FALSE)</f>
        <v>65.599999999999994</v>
      </c>
      <c r="P86" s="160">
        <v>1E-3</v>
      </c>
      <c r="Q86" s="160">
        <f t="shared" si="34"/>
        <v>7.0000000000000007E-2</v>
      </c>
      <c r="R86" s="160"/>
      <c r="S86" s="160"/>
      <c r="T86" s="162"/>
      <c r="U86" s="162"/>
      <c r="V86" s="162"/>
      <c r="W86" s="162"/>
      <c r="X86" s="78"/>
    </row>
    <row r="87" spans="1:24" hidden="1" outlineLevel="1" x14ac:dyDescent="0.25">
      <c r="A87" s="158"/>
      <c r="B87" s="158"/>
      <c r="C87" s="210"/>
      <c r="D87" s="210"/>
      <c r="E87" s="156"/>
      <c r="F87" s="165"/>
      <c r="G87" s="167"/>
      <c r="H87" s="160"/>
      <c r="I87" s="172"/>
      <c r="J87" s="160"/>
      <c r="K87" s="160"/>
      <c r="L87" s="160"/>
      <c r="M87" s="97" t="s">
        <v>330</v>
      </c>
      <c r="N87" s="98" t="str">
        <f>VLOOKUP(M87,материалы!$A$5:$G$31,5, FALSE)</f>
        <v>кг</v>
      </c>
      <c r="O87" s="160">
        <f>VLOOKUP(M87,материалы!$A$5:$G$31,7, FALSE)</f>
        <v>39.82</v>
      </c>
      <c r="P87" s="160">
        <v>0.01</v>
      </c>
      <c r="Q87" s="160">
        <f t="shared" si="34"/>
        <v>0.4</v>
      </c>
      <c r="R87" s="160"/>
      <c r="S87" s="160"/>
      <c r="T87" s="162"/>
      <c r="U87" s="162"/>
      <c r="V87" s="162"/>
      <c r="W87" s="162"/>
      <c r="X87" s="78"/>
    </row>
    <row r="88" spans="1:24" hidden="1" x14ac:dyDescent="0.25">
      <c r="A88" s="158" t="s">
        <v>434</v>
      </c>
      <c r="B88" s="158" t="s">
        <v>174</v>
      </c>
      <c r="C88" s="210"/>
      <c r="D88" s="210"/>
      <c r="E88" s="156" t="s">
        <v>32</v>
      </c>
      <c r="F88" s="160" t="s">
        <v>175</v>
      </c>
      <c r="G88" s="167" t="s">
        <v>161</v>
      </c>
      <c r="H88" s="160">
        <f>VLOOKUP(G88,'условия, ФОТ'!$A$14:$I$32,9, FALSE)</f>
        <v>111.79</v>
      </c>
      <c r="I88" s="172">
        <v>0.28999999999999998</v>
      </c>
      <c r="J88" s="160">
        <f t="shared" si="31"/>
        <v>32.42</v>
      </c>
      <c r="K88" s="160">
        <f t="shared" ref="K88:K107" si="35">ROUND(J88*$K$7,2)</f>
        <v>9.7899999999999991</v>
      </c>
      <c r="L88" s="160">
        <f t="shared" si="29"/>
        <v>42.21</v>
      </c>
      <c r="M88" s="159"/>
      <c r="N88" s="160"/>
      <c r="O88" s="160"/>
      <c r="P88" s="160"/>
      <c r="Q88" s="160"/>
      <c r="R88" s="160">
        <f t="shared" si="33"/>
        <v>42.21</v>
      </c>
      <c r="S88" s="160">
        <f t="shared" ref="S88:S107" si="36">ROUND(R88*$S$7,2)</f>
        <v>51.54</v>
      </c>
      <c r="T88" s="162">
        <f>ROUND(V88/1.2,2)</f>
        <v>103.33</v>
      </c>
      <c r="U88" s="162">
        <f t="shared" ref="U88:U107" si="37">ROUND(T88*$U$7,2)</f>
        <v>20.67</v>
      </c>
      <c r="V88" s="162">
        <f t="shared" ref="V88:V107" si="38">ROUND((R88+S88)*(1+$T$7)*1.2,0)</f>
        <v>124</v>
      </c>
      <c r="W88" s="162">
        <v>106</v>
      </c>
      <c r="X88" s="78">
        <f t="shared" si="0"/>
        <v>16.981132075471692</v>
      </c>
    </row>
    <row r="89" spans="1:24" hidden="1" x14ac:dyDescent="0.25">
      <c r="A89" s="158" t="s">
        <v>436</v>
      </c>
      <c r="B89" s="158" t="s">
        <v>176</v>
      </c>
      <c r="C89" s="210"/>
      <c r="D89" s="210"/>
      <c r="E89" s="156" t="s">
        <v>33</v>
      </c>
      <c r="F89" s="160" t="s">
        <v>177</v>
      </c>
      <c r="G89" s="167" t="s">
        <v>161</v>
      </c>
      <c r="H89" s="160">
        <f>VLOOKUP(G89,'условия, ФОТ'!$A$14:$I$32,9, FALSE)</f>
        <v>111.79</v>
      </c>
      <c r="I89" s="172">
        <v>0.28999999999999998</v>
      </c>
      <c r="J89" s="160">
        <f t="shared" si="31"/>
        <v>32.42</v>
      </c>
      <c r="K89" s="160">
        <f t="shared" si="35"/>
        <v>9.7899999999999991</v>
      </c>
      <c r="L89" s="160">
        <f t="shared" si="29"/>
        <v>42.21</v>
      </c>
      <c r="M89" s="159"/>
      <c r="N89" s="160"/>
      <c r="O89" s="160"/>
      <c r="P89" s="160"/>
      <c r="Q89" s="160"/>
      <c r="R89" s="160">
        <f t="shared" si="33"/>
        <v>42.21</v>
      </c>
      <c r="S89" s="160">
        <f t="shared" si="36"/>
        <v>51.54</v>
      </c>
      <c r="T89" s="162">
        <f t="shared" ref="T89:T107" si="39">ROUND(V89/1.2,2)</f>
        <v>103.33</v>
      </c>
      <c r="U89" s="162">
        <f t="shared" si="37"/>
        <v>20.67</v>
      </c>
      <c r="V89" s="162">
        <f t="shared" si="38"/>
        <v>124</v>
      </c>
      <c r="W89" s="162">
        <v>106</v>
      </c>
      <c r="X89" s="78">
        <f t="shared" si="0"/>
        <v>16.981132075471692</v>
      </c>
    </row>
    <row r="90" spans="1:24" hidden="1" x14ac:dyDescent="0.25">
      <c r="A90" s="158" t="s">
        <v>437</v>
      </c>
      <c r="B90" s="158" t="s">
        <v>178</v>
      </c>
      <c r="C90" s="210"/>
      <c r="D90" s="210"/>
      <c r="E90" s="156" t="s">
        <v>34</v>
      </c>
      <c r="F90" s="160" t="s">
        <v>177</v>
      </c>
      <c r="G90" s="167" t="s">
        <v>161</v>
      </c>
      <c r="H90" s="160">
        <f>VLOOKUP(G90,'условия, ФОТ'!$A$14:$I$32,9, FALSE)</f>
        <v>111.79</v>
      </c>
      <c r="I90" s="172">
        <v>0.36</v>
      </c>
      <c r="J90" s="160">
        <f t="shared" si="31"/>
        <v>40.24</v>
      </c>
      <c r="K90" s="160">
        <f t="shared" si="35"/>
        <v>12.15</v>
      </c>
      <c r="L90" s="160">
        <f t="shared" si="29"/>
        <v>52.39</v>
      </c>
      <c r="M90" s="159"/>
      <c r="N90" s="160"/>
      <c r="O90" s="160"/>
      <c r="P90" s="160"/>
      <c r="Q90" s="160"/>
      <c r="R90" s="160">
        <f t="shared" si="33"/>
        <v>52.39</v>
      </c>
      <c r="S90" s="160">
        <f t="shared" si="36"/>
        <v>63.97</v>
      </c>
      <c r="T90" s="162">
        <f t="shared" si="39"/>
        <v>128.33000000000001</v>
      </c>
      <c r="U90" s="162">
        <f t="shared" si="37"/>
        <v>25.67</v>
      </c>
      <c r="V90" s="162">
        <f t="shared" si="38"/>
        <v>154</v>
      </c>
      <c r="W90" s="162">
        <v>132</v>
      </c>
      <c r="X90" s="78">
        <f t="shared" si="0"/>
        <v>16.666666666666671</v>
      </c>
    </row>
    <row r="91" spans="1:24" hidden="1" x14ac:dyDescent="0.25">
      <c r="A91" s="158" t="s">
        <v>438</v>
      </c>
      <c r="B91" s="158" t="s">
        <v>179</v>
      </c>
      <c r="C91" s="210"/>
      <c r="D91" s="210"/>
      <c r="E91" s="156" t="s">
        <v>35</v>
      </c>
      <c r="F91" s="160" t="s">
        <v>180</v>
      </c>
      <c r="G91" s="167" t="s">
        <v>161</v>
      </c>
      <c r="H91" s="160">
        <f>VLOOKUP(G91,'условия, ФОТ'!$A$14:$I$32,9, FALSE)</f>
        <v>111.79</v>
      </c>
      <c r="I91" s="172">
        <v>0.15</v>
      </c>
      <c r="J91" s="160">
        <f t="shared" si="31"/>
        <v>16.77</v>
      </c>
      <c r="K91" s="160">
        <f t="shared" si="35"/>
        <v>5.0599999999999996</v>
      </c>
      <c r="L91" s="160">
        <f t="shared" si="29"/>
        <v>21.83</v>
      </c>
      <c r="M91" s="159"/>
      <c r="N91" s="160"/>
      <c r="O91" s="160"/>
      <c r="P91" s="160"/>
      <c r="Q91" s="160"/>
      <c r="R91" s="160">
        <f t="shared" si="33"/>
        <v>21.83</v>
      </c>
      <c r="S91" s="160">
        <f t="shared" si="36"/>
        <v>26.65</v>
      </c>
      <c r="T91" s="162">
        <f t="shared" si="39"/>
        <v>53.33</v>
      </c>
      <c r="U91" s="162">
        <f t="shared" si="37"/>
        <v>10.67</v>
      </c>
      <c r="V91" s="162">
        <f t="shared" si="38"/>
        <v>64</v>
      </c>
      <c r="W91" s="162">
        <v>55</v>
      </c>
      <c r="X91" s="78">
        <f t="shared" si="0"/>
        <v>16.36363636363636</v>
      </c>
    </row>
    <row r="92" spans="1:24" hidden="1" x14ac:dyDescent="0.25">
      <c r="A92" s="158" t="s">
        <v>439</v>
      </c>
      <c r="B92" s="158" t="s">
        <v>181</v>
      </c>
      <c r="C92" s="210"/>
      <c r="D92" s="210"/>
      <c r="E92" s="156" t="s">
        <v>36</v>
      </c>
      <c r="F92" s="160" t="s">
        <v>182</v>
      </c>
      <c r="G92" s="167" t="s">
        <v>161</v>
      </c>
      <c r="H92" s="160">
        <f>VLOOKUP(G92,'условия, ФОТ'!$A$14:$I$32,9, FALSE)</f>
        <v>111.79</v>
      </c>
      <c r="I92" s="172">
        <v>0.2</v>
      </c>
      <c r="J92" s="160">
        <f t="shared" si="31"/>
        <v>22.36</v>
      </c>
      <c r="K92" s="160">
        <f t="shared" si="35"/>
        <v>6.75</v>
      </c>
      <c r="L92" s="160">
        <f t="shared" si="29"/>
        <v>29.11</v>
      </c>
      <c r="M92" s="159"/>
      <c r="N92" s="160"/>
      <c r="O92" s="160"/>
      <c r="P92" s="160"/>
      <c r="Q92" s="160"/>
      <c r="R92" s="160">
        <f t="shared" si="33"/>
        <v>29.11</v>
      </c>
      <c r="S92" s="160">
        <f t="shared" si="36"/>
        <v>35.54</v>
      </c>
      <c r="T92" s="162">
        <f t="shared" si="39"/>
        <v>70.83</v>
      </c>
      <c r="U92" s="162">
        <f t="shared" si="37"/>
        <v>14.17</v>
      </c>
      <c r="V92" s="162">
        <f t="shared" si="38"/>
        <v>85</v>
      </c>
      <c r="W92" s="162">
        <v>73</v>
      </c>
      <c r="X92" s="78">
        <f t="shared" si="0"/>
        <v>16.438356164383563</v>
      </c>
    </row>
    <row r="93" spans="1:24" ht="25.5" hidden="1" x14ac:dyDescent="0.25">
      <c r="A93" s="158" t="s">
        <v>440</v>
      </c>
      <c r="B93" s="158" t="s">
        <v>183</v>
      </c>
      <c r="C93" s="210"/>
      <c r="D93" s="210"/>
      <c r="E93" s="156" t="s">
        <v>37</v>
      </c>
      <c r="F93" s="160" t="s">
        <v>184</v>
      </c>
      <c r="G93" s="167" t="s">
        <v>161</v>
      </c>
      <c r="H93" s="160">
        <f>VLOOKUP(G93,'условия, ФОТ'!$A$14:$I$32,9, FALSE)</f>
        <v>111.79</v>
      </c>
      <c r="I93" s="172">
        <v>0.25</v>
      </c>
      <c r="J93" s="160">
        <f t="shared" si="31"/>
        <v>27.95</v>
      </c>
      <c r="K93" s="160">
        <f t="shared" si="35"/>
        <v>8.44</v>
      </c>
      <c r="L93" s="160">
        <f t="shared" si="29"/>
        <v>36.39</v>
      </c>
      <c r="M93" s="159"/>
      <c r="N93" s="160"/>
      <c r="O93" s="160"/>
      <c r="P93" s="160"/>
      <c r="Q93" s="160"/>
      <c r="R93" s="160">
        <f t="shared" si="33"/>
        <v>36.39</v>
      </c>
      <c r="S93" s="160">
        <f t="shared" si="36"/>
        <v>44.43</v>
      </c>
      <c r="T93" s="162">
        <f t="shared" si="39"/>
        <v>89.17</v>
      </c>
      <c r="U93" s="162">
        <f t="shared" si="37"/>
        <v>17.829999999999998</v>
      </c>
      <c r="V93" s="162">
        <f t="shared" si="38"/>
        <v>107</v>
      </c>
      <c r="W93" s="162">
        <v>91</v>
      </c>
      <c r="X93" s="78">
        <f t="shared" si="0"/>
        <v>17.582417582417591</v>
      </c>
    </row>
    <row r="94" spans="1:24" ht="29.25" hidden="1" customHeight="1" x14ac:dyDescent="0.25">
      <c r="A94" s="158" t="s">
        <v>441</v>
      </c>
      <c r="B94" s="158" t="s">
        <v>185</v>
      </c>
      <c r="C94" s="210"/>
      <c r="D94" s="210"/>
      <c r="E94" s="156" t="s">
        <v>38</v>
      </c>
      <c r="F94" s="160" t="s">
        <v>186</v>
      </c>
      <c r="G94" s="167" t="s">
        <v>161</v>
      </c>
      <c r="H94" s="160">
        <f>VLOOKUP(G94,'условия, ФОТ'!$A$14:$I$32,9, FALSE)</f>
        <v>111.79</v>
      </c>
      <c r="I94" s="172">
        <v>0.15</v>
      </c>
      <c r="J94" s="160">
        <f t="shared" si="31"/>
        <v>16.77</v>
      </c>
      <c r="K94" s="160">
        <f t="shared" si="35"/>
        <v>5.0599999999999996</v>
      </c>
      <c r="L94" s="160">
        <f t="shared" si="29"/>
        <v>21.83</v>
      </c>
      <c r="M94" s="159"/>
      <c r="N94" s="160"/>
      <c r="O94" s="160"/>
      <c r="P94" s="160"/>
      <c r="Q94" s="160"/>
      <c r="R94" s="160">
        <f t="shared" si="33"/>
        <v>21.83</v>
      </c>
      <c r="S94" s="160">
        <f t="shared" si="36"/>
        <v>26.65</v>
      </c>
      <c r="T94" s="162">
        <f t="shared" si="39"/>
        <v>53.33</v>
      </c>
      <c r="U94" s="162">
        <f t="shared" si="37"/>
        <v>10.67</v>
      </c>
      <c r="V94" s="162">
        <f t="shared" si="38"/>
        <v>64</v>
      </c>
      <c r="W94" s="162">
        <v>55</v>
      </c>
      <c r="X94" s="78">
        <f t="shared" si="0"/>
        <v>16.36363636363636</v>
      </c>
    </row>
    <row r="95" spans="1:24" ht="32.25" hidden="1" customHeight="1" x14ac:dyDescent="0.25">
      <c r="A95" s="158" t="s">
        <v>442</v>
      </c>
      <c r="B95" s="158" t="s">
        <v>187</v>
      </c>
      <c r="C95" s="210"/>
      <c r="D95" s="210"/>
      <c r="E95" s="156" t="s">
        <v>39</v>
      </c>
      <c r="F95" s="160" t="s">
        <v>188</v>
      </c>
      <c r="G95" s="167" t="s">
        <v>161</v>
      </c>
      <c r="H95" s="160">
        <f>VLOOKUP(G95,'условия, ФОТ'!$A$14:$I$32,9, FALSE)</f>
        <v>111.79</v>
      </c>
      <c r="I95" s="172">
        <v>1.24</v>
      </c>
      <c r="J95" s="160">
        <f t="shared" si="31"/>
        <v>138.62</v>
      </c>
      <c r="K95" s="160">
        <f t="shared" si="35"/>
        <v>41.86</v>
      </c>
      <c r="L95" s="160">
        <f t="shared" si="29"/>
        <v>180.48000000000002</v>
      </c>
      <c r="M95" s="159"/>
      <c r="N95" s="160"/>
      <c r="O95" s="160"/>
      <c r="P95" s="160"/>
      <c r="Q95" s="160"/>
      <c r="R95" s="160">
        <f t="shared" si="33"/>
        <v>180.48000000000002</v>
      </c>
      <c r="S95" s="160">
        <f t="shared" si="36"/>
        <v>220.37</v>
      </c>
      <c r="T95" s="162">
        <f t="shared" si="39"/>
        <v>440.83</v>
      </c>
      <c r="U95" s="162">
        <f t="shared" si="37"/>
        <v>88.17</v>
      </c>
      <c r="V95" s="162">
        <f t="shared" si="38"/>
        <v>529</v>
      </c>
      <c r="W95" s="162">
        <v>453</v>
      </c>
      <c r="X95" s="78">
        <f t="shared" si="0"/>
        <v>16.777041942604853</v>
      </c>
    </row>
    <row r="96" spans="1:24" ht="30.75" hidden="1" customHeight="1" x14ac:dyDescent="0.25">
      <c r="A96" s="158" t="s">
        <v>443</v>
      </c>
      <c r="B96" s="158" t="s">
        <v>189</v>
      </c>
      <c r="C96" s="210"/>
      <c r="D96" s="210"/>
      <c r="E96" s="156" t="s">
        <v>40</v>
      </c>
      <c r="F96" s="160" t="s">
        <v>190</v>
      </c>
      <c r="G96" s="167" t="s">
        <v>161</v>
      </c>
      <c r="H96" s="160">
        <f>VLOOKUP(G96,'условия, ФОТ'!$A$14:$I$32,9, FALSE)</f>
        <v>111.79</v>
      </c>
      <c r="I96" s="172">
        <v>0.81</v>
      </c>
      <c r="J96" s="160">
        <f t="shared" si="31"/>
        <v>90.55</v>
      </c>
      <c r="K96" s="160">
        <f t="shared" si="35"/>
        <v>27.35</v>
      </c>
      <c r="L96" s="160">
        <f t="shared" si="29"/>
        <v>117.9</v>
      </c>
      <c r="M96" s="159"/>
      <c r="N96" s="160"/>
      <c r="O96" s="160"/>
      <c r="P96" s="160"/>
      <c r="Q96" s="160"/>
      <c r="R96" s="160">
        <f t="shared" si="33"/>
        <v>117.9</v>
      </c>
      <c r="S96" s="160">
        <f t="shared" si="36"/>
        <v>143.96</v>
      </c>
      <c r="T96" s="162">
        <f t="shared" si="39"/>
        <v>288.33</v>
      </c>
      <c r="U96" s="162">
        <f t="shared" si="37"/>
        <v>57.67</v>
      </c>
      <c r="V96" s="162">
        <f t="shared" si="38"/>
        <v>346</v>
      </c>
      <c r="W96" s="162">
        <v>296</v>
      </c>
      <c r="X96" s="78">
        <f t="shared" si="0"/>
        <v>16.891891891891888</v>
      </c>
    </row>
    <row r="97" spans="1:24" hidden="1" x14ac:dyDescent="0.25">
      <c r="A97" s="158" t="s">
        <v>444</v>
      </c>
      <c r="B97" s="158" t="s">
        <v>191</v>
      </c>
      <c r="C97" s="210"/>
      <c r="D97" s="210"/>
      <c r="E97" s="156" t="s">
        <v>41</v>
      </c>
      <c r="F97" s="160" t="s">
        <v>192</v>
      </c>
      <c r="G97" s="167" t="s">
        <v>161</v>
      </c>
      <c r="H97" s="160">
        <f>VLOOKUP(G97,'условия, ФОТ'!$A$14:$I$32,9, FALSE)</f>
        <v>111.79</v>
      </c>
      <c r="I97" s="172">
        <v>0.69</v>
      </c>
      <c r="J97" s="160">
        <f t="shared" si="31"/>
        <v>77.14</v>
      </c>
      <c r="K97" s="160">
        <f t="shared" si="35"/>
        <v>23.3</v>
      </c>
      <c r="L97" s="160">
        <f t="shared" si="29"/>
        <v>100.44</v>
      </c>
      <c r="M97" s="159"/>
      <c r="N97" s="160"/>
      <c r="O97" s="160"/>
      <c r="P97" s="160"/>
      <c r="Q97" s="160"/>
      <c r="R97" s="160">
        <f t="shared" si="33"/>
        <v>100.44</v>
      </c>
      <c r="S97" s="160">
        <f t="shared" si="36"/>
        <v>122.64</v>
      </c>
      <c r="T97" s="162">
        <f t="shared" si="39"/>
        <v>245</v>
      </c>
      <c r="U97" s="162">
        <f t="shared" si="37"/>
        <v>49</v>
      </c>
      <c r="V97" s="162">
        <f t="shared" si="38"/>
        <v>294</v>
      </c>
      <c r="W97" s="162">
        <v>252</v>
      </c>
      <c r="X97" s="78">
        <f t="shared" si="0"/>
        <v>16.666666666666671</v>
      </c>
    </row>
    <row r="98" spans="1:24" hidden="1" x14ac:dyDescent="0.25">
      <c r="A98" s="158" t="s">
        <v>445</v>
      </c>
      <c r="B98" s="158" t="s">
        <v>193</v>
      </c>
      <c r="C98" s="210"/>
      <c r="D98" s="210"/>
      <c r="E98" s="156" t="s">
        <v>42</v>
      </c>
      <c r="F98" s="160" t="s">
        <v>194</v>
      </c>
      <c r="G98" s="167" t="s">
        <v>161</v>
      </c>
      <c r="H98" s="160">
        <f>VLOOKUP(G98,'условия, ФОТ'!$A$14:$I$32,9, FALSE)</f>
        <v>111.79</v>
      </c>
      <c r="I98" s="172">
        <v>0.43</v>
      </c>
      <c r="J98" s="160">
        <f t="shared" si="31"/>
        <v>48.07</v>
      </c>
      <c r="K98" s="160">
        <f t="shared" si="35"/>
        <v>14.52</v>
      </c>
      <c r="L98" s="160">
        <f t="shared" si="29"/>
        <v>62.59</v>
      </c>
      <c r="M98" s="159"/>
      <c r="N98" s="160"/>
      <c r="O98" s="160"/>
      <c r="P98" s="160"/>
      <c r="Q98" s="160"/>
      <c r="R98" s="160">
        <f t="shared" si="33"/>
        <v>62.59</v>
      </c>
      <c r="S98" s="160">
        <f t="shared" si="36"/>
        <v>76.42</v>
      </c>
      <c r="T98" s="162">
        <f t="shared" si="39"/>
        <v>152.5</v>
      </c>
      <c r="U98" s="162">
        <f t="shared" si="37"/>
        <v>30.5</v>
      </c>
      <c r="V98" s="162">
        <f t="shared" si="38"/>
        <v>183</v>
      </c>
      <c r="W98" s="162">
        <v>157</v>
      </c>
      <c r="X98" s="78">
        <f t="shared" si="0"/>
        <v>16.560509554140125</v>
      </c>
    </row>
    <row r="99" spans="1:24" hidden="1" x14ac:dyDescent="0.25">
      <c r="A99" s="158" t="s">
        <v>446</v>
      </c>
      <c r="B99" s="158" t="s">
        <v>195</v>
      </c>
      <c r="C99" s="210"/>
      <c r="D99" s="210"/>
      <c r="E99" s="156" t="s">
        <v>43</v>
      </c>
      <c r="F99" s="160" t="s">
        <v>190</v>
      </c>
      <c r="G99" s="167" t="s">
        <v>161</v>
      </c>
      <c r="H99" s="160">
        <f>VLOOKUP(G99,'условия, ФОТ'!$A$14:$I$32,9, FALSE)</f>
        <v>111.79</v>
      </c>
      <c r="I99" s="172">
        <v>0.3</v>
      </c>
      <c r="J99" s="160">
        <f t="shared" si="31"/>
        <v>33.54</v>
      </c>
      <c r="K99" s="160">
        <f t="shared" si="35"/>
        <v>10.130000000000001</v>
      </c>
      <c r="L99" s="160">
        <f t="shared" si="29"/>
        <v>43.67</v>
      </c>
      <c r="M99" s="159"/>
      <c r="N99" s="160"/>
      <c r="O99" s="160"/>
      <c r="P99" s="160"/>
      <c r="Q99" s="160"/>
      <c r="R99" s="160">
        <f t="shared" si="33"/>
        <v>43.67</v>
      </c>
      <c r="S99" s="160">
        <f t="shared" si="36"/>
        <v>53.32</v>
      </c>
      <c r="T99" s="162">
        <f t="shared" si="39"/>
        <v>106.67</v>
      </c>
      <c r="U99" s="162">
        <f t="shared" si="37"/>
        <v>21.33</v>
      </c>
      <c r="V99" s="162">
        <f t="shared" si="38"/>
        <v>128</v>
      </c>
      <c r="W99" s="162">
        <v>110</v>
      </c>
      <c r="X99" s="78">
        <f t="shared" si="0"/>
        <v>16.36363636363636</v>
      </c>
    </row>
    <row r="100" spans="1:24" hidden="1" x14ac:dyDescent="0.25">
      <c r="A100" s="158" t="s">
        <v>447</v>
      </c>
      <c r="B100" s="158" t="s">
        <v>196</v>
      </c>
      <c r="C100" s="210"/>
      <c r="D100" s="210"/>
      <c r="E100" s="156" t="s">
        <v>44</v>
      </c>
      <c r="F100" s="160" t="s">
        <v>190</v>
      </c>
      <c r="G100" s="167" t="s">
        <v>161</v>
      </c>
      <c r="H100" s="160">
        <f>VLOOKUP(G100,'условия, ФОТ'!$A$14:$I$32,9, FALSE)</f>
        <v>111.79</v>
      </c>
      <c r="I100" s="172">
        <v>0.4</v>
      </c>
      <c r="J100" s="160">
        <f t="shared" si="31"/>
        <v>44.72</v>
      </c>
      <c r="K100" s="160">
        <f t="shared" si="35"/>
        <v>13.51</v>
      </c>
      <c r="L100" s="160">
        <f t="shared" si="29"/>
        <v>58.23</v>
      </c>
      <c r="M100" s="159"/>
      <c r="N100" s="160"/>
      <c r="O100" s="160"/>
      <c r="P100" s="160"/>
      <c r="Q100" s="160"/>
      <c r="R100" s="160">
        <f t="shared" si="33"/>
        <v>58.23</v>
      </c>
      <c r="S100" s="160">
        <f t="shared" si="36"/>
        <v>71.099999999999994</v>
      </c>
      <c r="T100" s="162">
        <f t="shared" si="39"/>
        <v>142.5</v>
      </c>
      <c r="U100" s="162">
        <f t="shared" si="37"/>
        <v>28.5</v>
      </c>
      <c r="V100" s="162">
        <f t="shared" si="38"/>
        <v>171</v>
      </c>
      <c r="W100" s="162">
        <v>146</v>
      </c>
      <c r="X100" s="78">
        <f t="shared" si="0"/>
        <v>17.123287671232873</v>
      </c>
    </row>
    <row r="101" spans="1:24" hidden="1" x14ac:dyDescent="0.25">
      <c r="A101" s="158" t="s">
        <v>448</v>
      </c>
      <c r="B101" s="158" t="s">
        <v>197</v>
      </c>
      <c r="C101" s="210"/>
      <c r="D101" s="210"/>
      <c r="E101" s="156" t="s">
        <v>45</v>
      </c>
      <c r="F101" s="160" t="s">
        <v>198</v>
      </c>
      <c r="G101" s="167" t="s">
        <v>161</v>
      </c>
      <c r="H101" s="160">
        <f>VLOOKUP(G101,'условия, ФОТ'!$A$14:$I$32,9, FALSE)</f>
        <v>111.79</v>
      </c>
      <c r="I101" s="172">
        <v>0.6</v>
      </c>
      <c r="J101" s="160">
        <f t="shared" si="31"/>
        <v>67.069999999999993</v>
      </c>
      <c r="K101" s="160">
        <f t="shared" si="35"/>
        <v>20.260000000000002</v>
      </c>
      <c r="L101" s="160">
        <f t="shared" si="29"/>
        <v>87.33</v>
      </c>
      <c r="M101" s="159"/>
      <c r="N101" s="160"/>
      <c r="O101" s="160"/>
      <c r="P101" s="160"/>
      <c r="Q101" s="160"/>
      <c r="R101" s="160">
        <f t="shared" si="33"/>
        <v>87.33</v>
      </c>
      <c r="S101" s="160">
        <f t="shared" si="36"/>
        <v>106.63</v>
      </c>
      <c r="T101" s="162">
        <f t="shared" si="39"/>
        <v>213.33</v>
      </c>
      <c r="U101" s="162">
        <f t="shared" si="37"/>
        <v>42.67</v>
      </c>
      <c r="V101" s="162">
        <f t="shared" si="38"/>
        <v>256</v>
      </c>
      <c r="W101" s="162">
        <v>219</v>
      </c>
      <c r="X101" s="78">
        <f t="shared" si="0"/>
        <v>16.894977168949765</v>
      </c>
    </row>
    <row r="102" spans="1:24" ht="30.75" hidden="1" customHeight="1" x14ac:dyDescent="0.25">
      <c r="A102" s="158" t="s">
        <v>449</v>
      </c>
      <c r="B102" s="158" t="s">
        <v>199</v>
      </c>
      <c r="C102" s="210"/>
      <c r="D102" s="210"/>
      <c r="E102" s="156" t="s">
        <v>46</v>
      </c>
      <c r="F102" s="160" t="s">
        <v>198</v>
      </c>
      <c r="G102" s="167" t="s">
        <v>161</v>
      </c>
      <c r="H102" s="160">
        <f>VLOOKUP(G102,'условия, ФОТ'!$A$14:$I$32,9, FALSE)</f>
        <v>111.79</v>
      </c>
      <c r="I102" s="172">
        <v>0.9</v>
      </c>
      <c r="J102" s="160">
        <f t="shared" si="31"/>
        <v>100.61</v>
      </c>
      <c r="K102" s="160">
        <f t="shared" si="35"/>
        <v>30.38</v>
      </c>
      <c r="L102" s="160">
        <f t="shared" si="29"/>
        <v>130.99</v>
      </c>
      <c r="M102" s="159"/>
      <c r="N102" s="160"/>
      <c r="O102" s="160"/>
      <c r="P102" s="160"/>
      <c r="Q102" s="160"/>
      <c r="R102" s="160">
        <f t="shared" si="33"/>
        <v>130.99</v>
      </c>
      <c r="S102" s="160">
        <f t="shared" si="36"/>
        <v>159.94</v>
      </c>
      <c r="T102" s="162">
        <f t="shared" si="39"/>
        <v>320</v>
      </c>
      <c r="U102" s="162">
        <f t="shared" si="37"/>
        <v>64</v>
      </c>
      <c r="V102" s="162">
        <f t="shared" si="38"/>
        <v>384</v>
      </c>
      <c r="W102" s="162">
        <v>329</v>
      </c>
      <c r="X102" s="78">
        <f t="shared" si="0"/>
        <v>16.717325227963514</v>
      </c>
    </row>
    <row r="103" spans="1:24" hidden="1" x14ac:dyDescent="0.25">
      <c r="A103" s="158" t="s">
        <v>450</v>
      </c>
      <c r="B103" s="158" t="s">
        <v>200</v>
      </c>
      <c r="C103" s="210"/>
      <c r="D103" s="210"/>
      <c r="E103" s="156" t="s">
        <v>47</v>
      </c>
      <c r="F103" s="160" t="s">
        <v>26</v>
      </c>
      <c r="G103" s="167" t="s">
        <v>161</v>
      </c>
      <c r="H103" s="160">
        <f>VLOOKUP(G103,'условия, ФОТ'!$A$14:$I$32,9, FALSE)</f>
        <v>111.79</v>
      </c>
      <c r="I103" s="172">
        <v>0.82</v>
      </c>
      <c r="J103" s="160">
        <f t="shared" si="31"/>
        <v>91.67</v>
      </c>
      <c r="K103" s="160">
        <f t="shared" si="35"/>
        <v>27.68</v>
      </c>
      <c r="L103" s="160">
        <f t="shared" si="29"/>
        <v>119.35</v>
      </c>
      <c r="M103" s="159"/>
      <c r="N103" s="160"/>
      <c r="O103" s="160"/>
      <c r="P103" s="160"/>
      <c r="Q103" s="160"/>
      <c r="R103" s="160">
        <f t="shared" si="33"/>
        <v>119.35</v>
      </c>
      <c r="S103" s="160">
        <f t="shared" si="36"/>
        <v>145.72999999999999</v>
      </c>
      <c r="T103" s="162">
        <f t="shared" si="39"/>
        <v>291.67</v>
      </c>
      <c r="U103" s="162">
        <f t="shared" si="37"/>
        <v>58.33</v>
      </c>
      <c r="V103" s="162">
        <f t="shared" si="38"/>
        <v>350</v>
      </c>
      <c r="W103" s="162">
        <v>300</v>
      </c>
      <c r="X103" s="78">
        <f t="shared" si="0"/>
        <v>16.666666666666671</v>
      </c>
    </row>
    <row r="104" spans="1:24" ht="25.5" hidden="1" x14ac:dyDescent="0.25">
      <c r="A104" s="158" t="s">
        <v>451</v>
      </c>
      <c r="B104" s="158" t="s">
        <v>201</v>
      </c>
      <c r="C104" s="210"/>
      <c r="D104" s="210"/>
      <c r="E104" s="156" t="s">
        <v>48</v>
      </c>
      <c r="F104" s="160" t="s">
        <v>190</v>
      </c>
      <c r="G104" s="167" t="s">
        <v>161</v>
      </c>
      <c r="H104" s="160">
        <f>VLOOKUP(G104,'условия, ФОТ'!$A$14:$I$32,9, FALSE)</f>
        <v>111.79</v>
      </c>
      <c r="I104" s="172">
        <v>0.5</v>
      </c>
      <c r="J104" s="160">
        <f t="shared" si="31"/>
        <v>55.9</v>
      </c>
      <c r="K104" s="160">
        <f t="shared" si="35"/>
        <v>16.88</v>
      </c>
      <c r="L104" s="160">
        <f t="shared" si="29"/>
        <v>72.78</v>
      </c>
      <c r="M104" s="159"/>
      <c r="N104" s="160"/>
      <c r="O104" s="160"/>
      <c r="P104" s="160"/>
      <c r="Q104" s="160"/>
      <c r="R104" s="160">
        <f t="shared" si="33"/>
        <v>72.78</v>
      </c>
      <c r="S104" s="160">
        <f t="shared" si="36"/>
        <v>88.86</v>
      </c>
      <c r="T104" s="162">
        <f t="shared" si="39"/>
        <v>177.5</v>
      </c>
      <c r="U104" s="162">
        <f t="shared" si="37"/>
        <v>35.5</v>
      </c>
      <c r="V104" s="162">
        <f t="shared" si="38"/>
        <v>213</v>
      </c>
      <c r="W104" s="162">
        <v>183</v>
      </c>
      <c r="X104" s="78">
        <f t="shared" si="0"/>
        <v>16.393442622950815</v>
      </c>
    </row>
    <row r="105" spans="1:24" ht="25.5" hidden="1" x14ac:dyDescent="0.25">
      <c r="A105" s="158" t="s">
        <v>452</v>
      </c>
      <c r="B105" s="158" t="s">
        <v>202</v>
      </c>
      <c r="C105" s="210"/>
      <c r="D105" s="210"/>
      <c r="E105" s="156" t="s">
        <v>49</v>
      </c>
      <c r="F105" s="160" t="s">
        <v>190</v>
      </c>
      <c r="G105" s="167" t="s">
        <v>161</v>
      </c>
      <c r="H105" s="160">
        <f>VLOOKUP(G105,'условия, ФОТ'!$A$14:$I$32,9, FALSE)</f>
        <v>111.79</v>
      </c>
      <c r="I105" s="172">
        <v>1</v>
      </c>
      <c r="J105" s="160">
        <f t="shared" si="31"/>
        <v>111.79</v>
      </c>
      <c r="K105" s="160">
        <f t="shared" si="35"/>
        <v>33.76</v>
      </c>
      <c r="L105" s="160">
        <f t="shared" si="29"/>
        <v>145.55000000000001</v>
      </c>
      <c r="M105" s="159"/>
      <c r="N105" s="160"/>
      <c r="O105" s="160"/>
      <c r="P105" s="160"/>
      <c r="Q105" s="160"/>
      <c r="R105" s="160">
        <f t="shared" si="33"/>
        <v>145.55000000000001</v>
      </c>
      <c r="S105" s="160">
        <f t="shared" si="36"/>
        <v>177.72</v>
      </c>
      <c r="T105" s="162">
        <f t="shared" si="39"/>
        <v>355.83</v>
      </c>
      <c r="U105" s="162">
        <f t="shared" si="37"/>
        <v>71.17</v>
      </c>
      <c r="V105" s="162">
        <f t="shared" si="38"/>
        <v>427</v>
      </c>
      <c r="W105" s="162">
        <v>365</v>
      </c>
      <c r="X105" s="78">
        <f t="shared" si="0"/>
        <v>16.986301369863014</v>
      </c>
    </row>
    <row r="106" spans="1:24" ht="18" hidden="1" customHeight="1" x14ac:dyDescent="0.25">
      <c r="A106" s="158" t="s">
        <v>453</v>
      </c>
      <c r="B106" s="158" t="s">
        <v>203</v>
      </c>
      <c r="C106" s="210"/>
      <c r="D106" s="210"/>
      <c r="E106" s="156" t="s">
        <v>50</v>
      </c>
      <c r="F106" s="160" t="s">
        <v>190</v>
      </c>
      <c r="G106" s="167" t="s">
        <v>161</v>
      </c>
      <c r="H106" s="160">
        <f>VLOOKUP(G106,'условия, ФОТ'!$A$14:$I$32,9, FALSE)</f>
        <v>111.79</v>
      </c>
      <c r="I106" s="172">
        <v>0.1</v>
      </c>
      <c r="J106" s="160">
        <f t="shared" si="31"/>
        <v>11.18</v>
      </c>
      <c r="K106" s="160">
        <f t="shared" si="35"/>
        <v>3.38</v>
      </c>
      <c r="L106" s="160">
        <f t="shared" si="29"/>
        <v>14.559999999999999</v>
      </c>
      <c r="M106" s="159"/>
      <c r="N106" s="160"/>
      <c r="O106" s="160"/>
      <c r="P106" s="160"/>
      <c r="Q106" s="160"/>
      <c r="R106" s="160">
        <f t="shared" si="33"/>
        <v>14.559999999999999</v>
      </c>
      <c r="S106" s="160">
        <f t="shared" si="36"/>
        <v>17.78</v>
      </c>
      <c r="T106" s="162">
        <f t="shared" si="39"/>
        <v>35.83</v>
      </c>
      <c r="U106" s="162">
        <f t="shared" si="37"/>
        <v>7.17</v>
      </c>
      <c r="V106" s="162">
        <f t="shared" si="38"/>
        <v>43</v>
      </c>
      <c r="W106" s="162">
        <v>37</v>
      </c>
      <c r="X106" s="78">
        <f t="shared" si="0"/>
        <v>16.21621621621621</v>
      </c>
    </row>
    <row r="107" spans="1:24" ht="25.5" hidden="1" x14ac:dyDescent="0.25">
      <c r="A107" s="158" t="s">
        <v>454</v>
      </c>
      <c r="B107" s="158" t="s">
        <v>205</v>
      </c>
      <c r="C107" s="210"/>
      <c r="D107" s="210"/>
      <c r="E107" s="156" t="s">
        <v>362</v>
      </c>
      <c r="F107" s="160" t="s">
        <v>204</v>
      </c>
      <c r="G107" s="167" t="s">
        <v>161</v>
      </c>
      <c r="H107" s="160">
        <f>VLOOKUP(G107,'условия, ФОТ'!$A$14:$I$32,9, FALSE)</f>
        <v>111.79</v>
      </c>
      <c r="I107" s="172">
        <v>0.5</v>
      </c>
      <c r="J107" s="160">
        <f t="shared" si="31"/>
        <v>55.9</v>
      </c>
      <c r="K107" s="160">
        <f t="shared" si="35"/>
        <v>16.88</v>
      </c>
      <c r="L107" s="160">
        <f t="shared" si="29"/>
        <v>72.78</v>
      </c>
      <c r="M107" s="159"/>
      <c r="N107" s="160"/>
      <c r="O107" s="160"/>
      <c r="P107" s="160"/>
      <c r="Q107" s="160">
        <f>SUM(Q108:Q110)</f>
        <v>4.03</v>
      </c>
      <c r="R107" s="160">
        <f>L107+Q107</f>
        <v>76.81</v>
      </c>
      <c r="S107" s="160">
        <f t="shared" si="36"/>
        <v>93.79</v>
      </c>
      <c r="T107" s="162">
        <f t="shared" si="39"/>
        <v>187.5</v>
      </c>
      <c r="U107" s="162">
        <f t="shared" si="37"/>
        <v>37.5</v>
      </c>
      <c r="V107" s="162">
        <f t="shared" si="38"/>
        <v>225</v>
      </c>
      <c r="W107" s="162">
        <v>193</v>
      </c>
      <c r="X107" s="78">
        <f t="shared" si="0"/>
        <v>16.580310880829003</v>
      </c>
    </row>
    <row r="108" spans="1:24" ht="23.25" hidden="1" customHeight="1" outlineLevel="1" x14ac:dyDescent="0.25">
      <c r="A108" s="158"/>
      <c r="B108" s="158"/>
      <c r="C108" s="210"/>
      <c r="D108" s="210"/>
      <c r="E108" s="156"/>
      <c r="F108" s="160"/>
      <c r="G108" s="167"/>
      <c r="H108" s="160"/>
      <c r="I108" s="172"/>
      <c r="J108" s="160"/>
      <c r="K108" s="160"/>
      <c r="L108" s="96" t="s">
        <v>366</v>
      </c>
      <c r="M108" s="104" t="s">
        <v>335</v>
      </c>
      <c r="N108" s="98" t="str">
        <f>VLOOKUP(M108,материалы!$A$5:$G$31,5, FALSE)</f>
        <v>кг</v>
      </c>
      <c r="O108" s="160">
        <f>VLOOKUP(M108,материалы!$A$5:$G$31,7, FALSE)</f>
        <v>712.76</v>
      </c>
      <c r="P108" s="160">
        <v>5.0000000000000001E-3</v>
      </c>
      <c r="Q108" s="160">
        <f t="shared" ref="Q108:Q110" si="40">ROUND(O108*P108,2)</f>
        <v>3.56</v>
      </c>
      <c r="R108" s="160"/>
      <c r="S108" s="160"/>
      <c r="T108" s="162"/>
      <c r="U108" s="162"/>
      <c r="V108" s="162"/>
      <c r="W108" s="162"/>
      <c r="X108" s="78"/>
    </row>
    <row r="109" spans="1:24" ht="16.5" hidden="1" customHeight="1" outlineLevel="1" x14ac:dyDescent="0.25">
      <c r="A109" s="158"/>
      <c r="B109" s="158"/>
      <c r="C109" s="210"/>
      <c r="D109" s="210"/>
      <c r="E109" s="156"/>
      <c r="F109" s="160"/>
      <c r="G109" s="167"/>
      <c r="H109" s="160"/>
      <c r="I109" s="172"/>
      <c r="J109" s="160"/>
      <c r="K109" s="160"/>
      <c r="L109" s="160"/>
      <c r="M109" s="97" t="s">
        <v>329</v>
      </c>
      <c r="N109" s="98" t="str">
        <f>VLOOKUP(M109,материалы!$A$5:$G$31,5, FALSE)</f>
        <v>кг</v>
      </c>
      <c r="O109" s="160">
        <f>VLOOKUP(M109,материалы!$A$5:$G$31,7, FALSE)</f>
        <v>65.599999999999994</v>
      </c>
      <c r="P109" s="160">
        <v>1E-3</v>
      </c>
      <c r="Q109" s="160">
        <f t="shared" si="40"/>
        <v>7.0000000000000007E-2</v>
      </c>
      <c r="R109" s="160"/>
      <c r="S109" s="160"/>
      <c r="T109" s="162"/>
      <c r="U109" s="162"/>
      <c r="V109" s="162"/>
      <c r="W109" s="162"/>
      <c r="X109" s="78"/>
    </row>
    <row r="110" spans="1:24" ht="15.75" hidden="1" customHeight="1" outlineLevel="1" x14ac:dyDescent="0.25">
      <c r="A110" s="158"/>
      <c r="B110" s="158"/>
      <c r="C110" s="210"/>
      <c r="D110" s="210"/>
      <c r="E110" s="156"/>
      <c r="F110" s="160"/>
      <c r="G110" s="167"/>
      <c r="H110" s="160"/>
      <c r="I110" s="172"/>
      <c r="J110" s="160"/>
      <c r="K110" s="160"/>
      <c r="L110" s="160"/>
      <c r="M110" s="97" t="s">
        <v>330</v>
      </c>
      <c r="N110" s="98" t="str">
        <f>VLOOKUP(M110,материалы!$A$5:$G$31,5, FALSE)</f>
        <v>кг</v>
      </c>
      <c r="O110" s="160">
        <f>VLOOKUP(M110,материалы!$A$5:$G$31,7, FALSE)</f>
        <v>39.82</v>
      </c>
      <c r="P110" s="160">
        <v>0.01</v>
      </c>
      <c r="Q110" s="160">
        <f t="shared" si="40"/>
        <v>0.4</v>
      </c>
      <c r="R110" s="160"/>
      <c r="S110" s="160"/>
      <c r="T110" s="162"/>
      <c r="U110" s="162"/>
      <c r="V110" s="162"/>
      <c r="W110" s="162"/>
      <c r="X110" s="78"/>
    </row>
    <row r="111" spans="1:24" ht="31.7" hidden="1" customHeight="1" x14ac:dyDescent="0.25">
      <c r="A111" s="158" t="s">
        <v>455</v>
      </c>
      <c r="B111" s="158" t="s">
        <v>206</v>
      </c>
      <c r="C111" s="210"/>
      <c r="D111" s="210"/>
      <c r="E111" s="156" t="s">
        <v>51</v>
      </c>
      <c r="F111" s="160" t="s">
        <v>198</v>
      </c>
      <c r="G111" s="167" t="s">
        <v>161</v>
      </c>
      <c r="H111" s="160">
        <f>VLOOKUP(G111,'условия, ФОТ'!$A$14:$I$32,9, FALSE)</f>
        <v>111.79</v>
      </c>
      <c r="I111" s="172">
        <v>0.5</v>
      </c>
      <c r="J111" s="160">
        <f t="shared" si="31"/>
        <v>55.9</v>
      </c>
      <c r="K111" s="160">
        <f t="shared" ref="K111:K119" si="41">ROUND(J111*$K$7,2)</f>
        <v>16.88</v>
      </c>
      <c r="L111" s="160">
        <f t="shared" si="29"/>
        <v>72.78</v>
      </c>
      <c r="M111" s="159"/>
      <c r="N111" s="160"/>
      <c r="O111" s="160"/>
      <c r="P111" s="160"/>
      <c r="Q111" s="160"/>
      <c r="R111" s="160">
        <f t="shared" si="33"/>
        <v>72.78</v>
      </c>
      <c r="S111" s="160">
        <f t="shared" ref="S111:S119" si="42">ROUND(R111*$S$7,2)</f>
        <v>88.86</v>
      </c>
      <c r="T111" s="162">
        <f>ROUND(V111/1.2,2)</f>
        <v>177.5</v>
      </c>
      <c r="U111" s="162">
        <f t="shared" ref="U111:U119" si="43">ROUND(T111*$U$7,2)</f>
        <v>35.5</v>
      </c>
      <c r="V111" s="162">
        <f t="shared" ref="V111:V119" si="44">ROUND((R111+S111)*(1+$T$7)*1.2,0)</f>
        <v>213</v>
      </c>
      <c r="W111" s="162">
        <v>183</v>
      </c>
      <c r="X111" s="78">
        <f t="shared" si="0"/>
        <v>16.393442622950815</v>
      </c>
    </row>
    <row r="112" spans="1:24" ht="23.25" hidden="1" customHeight="1" x14ac:dyDescent="0.25">
      <c r="A112" s="158" t="s">
        <v>456</v>
      </c>
      <c r="B112" s="158" t="s">
        <v>207</v>
      </c>
      <c r="C112" s="210"/>
      <c r="D112" s="210"/>
      <c r="E112" s="156" t="s">
        <v>52</v>
      </c>
      <c r="F112" s="160" t="s">
        <v>180</v>
      </c>
      <c r="G112" s="167" t="s">
        <v>161</v>
      </c>
      <c r="H112" s="160">
        <f>VLOOKUP(G112,'условия, ФОТ'!$A$14:$I$32,9, FALSE)</f>
        <v>111.79</v>
      </c>
      <c r="I112" s="172">
        <v>0.3</v>
      </c>
      <c r="J112" s="160">
        <f t="shared" si="31"/>
        <v>33.54</v>
      </c>
      <c r="K112" s="160">
        <f t="shared" si="41"/>
        <v>10.130000000000001</v>
      </c>
      <c r="L112" s="160">
        <f t="shared" si="29"/>
        <v>43.67</v>
      </c>
      <c r="M112" s="159"/>
      <c r="N112" s="160"/>
      <c r="O112" s="160"/>
      <c r="P112" s="160"/>
      <c r="Q112" s="160"/>
      <c r="R112" s="160">
        <f t="shared" si="33"/>
        <v>43.67</v>
      </c>
      <c r="S112" s="160">
        <f t="shared" si="42"/>
        <v>53.32</v>
      </c>
      <c r="T112" s="162">
        <f t="shared" ref="T112:T119" si="45">ROUND(V112/1.2,2)</f>
        <v>106.67</v>
      </c>
      <c r="U112" s="162">
        <f t="shared" si="43"/>
        <v>21.33</v>
      </c>
      <c r="V112" s="162">
        <f t="shared" si="44"/>
        <v>128</v>
      </c>
      <c r="W112" s="162">
        <v>110</v>
      </c>
      <c r="X112" s="78">
        <f t="shared" si="0"/>
        <v>16.36363636363636</v>
      </c>
    </row>
    <row r="113" spans="1:24" ht="28.5" hidden="1" customHeight="1" x14ac:dyDescent="0.25">
      <c r="A113" s="158" t="s">
        <v>457</v>
      </c>
      <c r="B113" s="158" t="s">
        <v>208</v>
      </c>
      <c r="C113" s="210"/>
      <c r="D113" s="210"/>
      <c r="E113" s="156" t="s">
        <v>53</v>
      </c>
      <c r="F113" s="160" t="s">
        <v>209</v>
      </c>
      <c r="G113" s="167" t="s">
        <v>161</v>
      </c>
      <c r="H113" s="160">
        <f>VLOOKUP(G113,'условия, ФОТ'!$A$14:$I$32,9, FALSE)</f>
        <v>111.79</v>
      </c>
      <c r="I113" s="172">
        <v>0.67</v>
      </c>
      <c r="J113" s="160">
        <f t="shared" si="31"/>
        <v>74.900000000000006</v>
      </c>
      <c r="K113" s="160">
        <f t="shared" si="41"/>
        <v>22.62</v>
      </c>
      <c r="L113" s="160">
        <f t="shared" si="29"/>
        <v>97.52000000000001</v>
      </c>
      <c r="M113" s="159"/>
      <c r="N113" s="160"/>
      <c r="O113" s="160"/>
      <c r="P113" s="160"/>
      <c r="Q113" s="160"/>
      <c r="R113" s="160">
        <f t="shared" si="33"/>
        <v>97.52000000000001</v>
      </c>
      <c r="S113" s="160">
        <f t="shared" si="42"/>
        <v>119.07</v>
      </c>
      <c r="T113" s="162">
        <f t="shared" si="45"/>
        <v>238.33</v>
      </c>
      <c r="U113" s="162">
        <f t="shared" si="43"/>
        <v>47.67</v>
      </c>
      <c r="V113" s="162">
        <f t="shared" si="44"/>
        <v>286</v>
      </c>
      <c r="W113" s="162">
        <v>245</v>
      </c>
      <c r="X113" s="78">
        <f t="shared" si="0"/>
        <v>16.734693877551024</v>
      </c>
    </row>
    <row r="114" spans="1:24" hidden="1" x14ac:dyDescent="0.25">
      <c r="A114" s="158" t="s">
        <v>458</v>
      </c>
      <c r="B114" s="158" t="s">
        <v>210</v>
      </c>
      <c r="C114" s="210"/>
      <c r="D114" s="210"/>
      <c r="E114" s="156" t="s">
        <v>54</v>
      </c>
      <c r="F114" s="160" t="s">
        <v>211</v>
      </c>
      <c r="G114" s="167" t="s">
        <v>161</v>
      </c>
      <c r="H114" s="160">
        <f>VLOOKUP(G114,'условия, ФОТ'!$A$14:$I$32,9, FALSE)</f>
        <v>111.79</v>
      </c>
      <c r="I114" s="172">
        <v>0.17</v>
      </c>
      <c r="J114" s="160">
        <f t="shared" si="31"/>
        <v>19</v>
      </c>
      <c r="K114" s="160">
        <f t="shared" si="41"/>
        <v>5.74</v>
      </c>
      <c r="L114" s="160">
        <f t="shared" si="29"/>
        <v>24.740000000000002</v>
      </c>
      <c r="M114" s="159"/>
      <c r="N114" s="160"/>
      <c r="O114" s="160"/>
      <c r="P114" s="160"/>
      <c r="Q114" s="160"/>
      <c r="R114" s="160">
        <f t="shared" si="33"/>
        <v>24.740000000000002</v>
      </c>
      <c r="S114" s="160">
        <f t="shared" si="42"/>
        <v>30.21</v>
      </c>
      <c r="T114" s="162">
        <f t="shared" si="45"/>
        <v>60.83</v>
      </c>
      <c r="U114" s="162">
        <f t="shared" si="43"/>
        <v>12.17</v>
      </c>
      <c r="V114" s="162">
        <f t="shared" si="44"/>
        <v>73</v>
      </c>
      <c r="W114" s="162">
        <v>62</v>
      </c>
      <c r="X114" s="78">
        <f t="shared" si="0"/>
        <v>17.741935483870975</v>
      </c>
    </row>
    <row r="115" spans="1:24" hidden="1" x14ac:dyDescent="0.25">
      <c r="A115" s="158" t="s">
        <v>459</v>
      </c>
      <c r="B115" s="158" t="s">
        <v>212</v>
      </c>
      <c r="C115" s="210"/>
      <c r="D115" s="210"/>
      <c r="E115" s="156" t="s">
        <v>55</v>
      </c>
      <c r="F115" s="160" t="s">
        <v>198</v>
      </c>
      <c r="G115" s="167" t="s">
        <v>161</v>
      </c>
      <c r="H115" s="160">
        <f>VLOOKUP(G115,'условия, ФОТ'!$A$14:$I$32,9, FALSE)</f>
        <v>111.79</v>
      </c>
      <c r="I115" s="172">
        <v>0.5</v>
      </c>
      <c r="J115" s="160">
        <f t="shared" si="31"/>
        <v>55.9</v>
      </c>
      <c r="K115" s="160">
        <f t="shared" si="41"/>
        <v>16.88</v>
      </c>
      <c r="L115" s="160">
        <f t="shared" si="29"/>
        <v>72.78</v>
      </c>
      <c r="M115" s="159"/>
      <c r="N115" s="160"/>
      <c r="O115" s="160"/>
      <c r="P115" s="160"/>
      <c r="Q115" s="160"/>
      <c r="R115" s="160">
        <f t="shared" si="33"/>
        <v>72.78</v>
      </c>
      <c r="S115" s="160">
        <f t="shared" si="42"/>
        <v>88.86</v>
      </c>
      <c r="T115" s="162">
        <f t="shared" si="45"/>
        <v>177.5</v>
      </c>
      <c r="U115" s="162">
        <f t="shared" si="43"/>
        <v>35.5</v>
      </c>
      <c r="V115" s="162">
        <f t="shared" si="44"/>
        <v>213</v>
      </c>
      <c r="W115" s="162">
        <v>183</v>
      </c>
      <c r="X115" s="78">
        <f t="shared" si="0"/>
        <v>16.393442622950815</v>
      </c>
    </row>
    <row r="116" spans="1:24" hidden="1" x14ac:dyDescent="0.25">
      <c r="A116" s="158" t="s">
        <v>460</v>
      </c>
      <c r="B116" s="158" t="s">
        <v>213</v>
      </c>
      <c r="C116" s="210"/>
      <c r="D116" s="210"/>
      <c r="E116" s="156" t="s">
        <v>56</v>
      </c>
      <c r="F116" s="160" t="s">
        <v>177</v>
      </c>
      <c r="G116" s="167" t="s">
        <v>161</v>
      </c>
      <c r="H116" s="160">
        <f>VLOOKUP(G116,'условия, ФОТ'!$A$14:$I$32,9, FALSE)</f>
        <v>111.79</v>
      </c>
      <c r="I116" s="172">
        <v>0.67</v>
      </c>
      <c r="J116" s="160">
        <f t="shared" si="31"/>
        <v>74.900000000000006</v>
      </c>
      <c r="K116" s="160">
        <f t="shared" si="41"/>
        <v>22.62</v>
      </c>
      <c r="L116" s="160">
        <f t="shared" si="29"/>
        <v>97.52000000000001</v>
      </c>
      <c r="M116" s="159"/>
      <c r="N116" s="160"/>
      <c r="O116" s="160"/>
      <c r="P116" s="160"/>
      <c r="Q116" s="160"/>
      <c r="R116" s="160">
        <f t="shared" si="33"/>
        <v>97.52000000000001</v>
      </c>
      <c r="S116" s="160">
        <f t="shared" si="42"/>
        <v>119.07</v>
      </c>
      <c r="T116" s="162">
        <f t="shared" si="45"/>
        <v>238.33</v>
      </c>
      <c r="U116" s="162">
        <f t="shared" si="43"/>
        <v>47.67</v>
      </c>
      <c r="V116" s="162">
        <f t="shared" si="44"/>
        <v>286</v>
      </c>
      <c r="W116" s="162">
        <v>245</v>
      </c>
      <c r="X116" s="78">
        <f t="shared" si="0"/>
        <v>16.734693877551024</v>
      </c>
    </row>
    <row r="117" spans="1:24" hidden="1" x14ac:dyDescent="0.25">
      <c r="A117" s="158" t="s">
        <v>461</v>
      </c>
      <c r="B117" s="158" t="s">
        <v>214</v>
      </c>
      <c r="C117" s="210"/>
      <c r="D117" s="210"/>
      <c r="E117" s="156" t="s">
        <v>57</v>
      </c>
      <c r="F117" s="160" t="s">
        <v>215</v>
      </c>
      <c r="G117" s="167" t="s">
        <v>161</v>
      </c>
      <c r="H117" s="160">
        <f>VLOOKUP(G117,'условия, ФОТ'!$A$14:$I$32,9, FALSE)</f>
        <v>111.79</v>
      </c>
      <c r="I117" s="172">
        <v>0.3</v>
      </c>
      <c r="J117" s="160">
        <f t="shared" si="31"/>
        <v>33.54</v>
      </c>
      <c r="K117" s="160">
        <f t="shared" si="41"/>
        <v>10.130000000000001</v>
      </c>
      <c r="L117" s="160">
        <f t="shared" si="29"/>
        <v>43.67</v>
      </c>
      <c r="M117" s="159"/>
      <c r="N117" s="160"/>
      <c r="O117" s="160"/>
      <c r="P117" s="160"/>
      <c r="Q117" s="160"/>
      <c r="R117" s="160">
        <f t="shared" si="33"/>
        <v>43.67</v>
      </c>
      <c r="S117" s="160">
        <f t="shared" si="42"/>
        <v>53.32</v>
      </c>
      <c r="T117" s="162">
        <f t="shared" si="45"/>
        <v>106.67</v>
      </c>
      <c r="U117" s="162">
        <f t="shared" si="43"/>
        <v>21.33</v>
      </c>
      <c r="V117" s="162">
        <f t="shared" si="44"/>
        <v>128</v>
      </c>
      <c r="W117" s="162">
        <v>110</v>
      </c>
      <c r="X117" s="78">
        <f t="shared" si="0"/>
        <v>16.36363636363636</v>
      </c>
    </row>
    <row r="118" spans="1:24" hidden="1" x14ac:dyDescent="0.25">
      <c r="A118" s="158" t="s">
        <v>462</v>
      </c>
      <c r="B118" s="158" t="s">
        <v>216</v>
      </c>
      <c r="C118" s="210"/>
      <c r="D118" s="210"/>
      <c r="E118" s="156" t="s">
        <v>58</v>
      </c>
      <c r="F118" s="160" t="s">
        <v>215</v>
      </c>
      <c r="G118" s="167" t="s">
        <v>161</v>
      </c>
      <c r="H118" s="160">
        <f>VLOOKUP(G118,'условия, ФОТ'!$A$14:$I$32,9, FALSE)</f>
        <v>111.79</v>
      </c>
      <c r="I118" s="172">
        <v>0.25</v>
      </c>
      <c r="J118" s="160">
        <f t="shared" si="31"/>
        <v>27.95</v>
      </c>
      <c r="K118" s="160">
        <f t="shared" si="41"/>
        <v>8.44</v>
      </c>
      <c r="L118" s="160">
        <f t="shared" si="29"/>
        <v>36.39</v>
      </c>
      <c r="M118" s="159"/>
      <c r="N118" s="160"/>
      <c r="O118" s="160"/>
      <c r="P118" s="160"/>
      <c r="Q118" s="160"/>
      <c r="R118" s="160">
        <f t="shared" si="33"/>
        <v>36.39</v>
      </c>
      <c r="S118" s="160">
        <f t="shared" si="42"/>
        <v>44.43</v>
      </c>
      <c r="T118" s="162">
        <f t="shared" si="45"/>
        <v>89.17</v>
      </c>
      <c r="U118" s="162">
        <f t="shared" si="43"/>
        <v>17.829999999999998</v>
      </c>
      <c r="V118" s="162">
        <f t="shared" si="44"/>
        <v>107</v>
      </c>
      <c r="W118" s="162">
        <v>91</v>
      </c>
      <c r="X118" s="78">
        <f t="shared" si="0"/>
        <v>17.582417582417591</v>
      </c>
    </row>
    <row r="119" spans="1:24" ht="15.75" hidden="1" customHeight="1" x14ac:dyDescent="0.25">
      <c r="A119" s="158" t="s">
        <v>463</v>
      </c>
      <c r="B119" s="158" t="s">
        <v>217</v>
      </c>
      <c r="C119" s="210"/>
      <c r="D119" s="210"/>
      <c r="E119" s="171" t="s">
        <v>59</v>
      </c>
      <c r="F119" s="160" t="s">
        <v>204</v>
      </c>
      <c r="G119" s="167" t="s">
        <v>161</v>
      </c>
      <c r="H119" s="160">
        <f>VLOOKUP(G119,'условия, ФОТ'!$A$14:$I$32,9, FALSE)</f>
        <v>111.79</v>
      </c>
      <c r="I119" s="172">
        <v>0.6</v>
      </c>
      <c r="J119" s="160">
        <f t="shared" si="31"/>
        <v>67.069999999999993</v>
      </c>
      <c r="K119" s="160">
        <f t="shared" si="41"/>
        <v>20.260000000000002</v>
      </c>
      <c r="L119" s="160">
        <f t="shared" si="29"/>
        <v>87.33</v>
      </c>
      <c r="M119" s="159"/>
      <c r="N119" s="160"/>
      <c r="O119" s="160"/>
      <c r="P119" s="160"/>
      <c r="Q119" s="160">
        <f>SUM(Q120:Q123)</f>
        <v>13.469999999999999</v>
      </c>
      <c r="R119" s="160">
        <f t="shared" si="33"/>
        <v>100.8</v>
      </c>
      <c r="S119" s="160">
        <f t="shared" si="42"/>
        <v>123.08</v>
      </c>
      <c r="T119" s="162">
        <f t="shared" si="45"/>
        <v>246.67</v>
      </c>
      <c r="U119" s="162">
        <f t="shared" si="43"/>
        <v>49.33</v>
      </c>
      <c r="V119" s="162">
        <f t="shared" si="44"/>
        <v>296</v>
      </c>
      <c r="W119" s="162">
        <v>248</v>
      </c>
      <c r="X119" s="78">
        <f t="shared" si="0"/>
        <v>19.354838709677423</v>
      </c>
    </row>
    <row r="120" spans="1:24" ht="25.5" hidden="1" outlineLevel="1" x14ac:dyDescent="0.25">
      <c r="A120" s="158"/>
      <c r="B120" s="158"/>
      <c r="C120" s="210"/>
      <c r="D120" s="210"/>
      <c r="E120" s="156"/>
      <c r="F120" s="160"/>
      <c r="G120" s="167"/>
      <c r="H120" s="160"/>
      <c r="I120" s="172"/>
      <c r="J120" s="160"/>
      <c r="K120" s="160"/>
      <c r="L120" s="96" t="s">
        <v>366</v>
      </c>
      <c r="M120" s="104" t="s">
        <v>335</v>
      </c>
      <c r="N120" s="98" t="str">
        <f>VLOOKUP(M120,материалы!$A$5:$G$31,5, FALSE)</f>
        <v>кг</v>
      </c>
      <c r="O120" s="160">
        <f>VLOOKUP(M120,материалы!$A$5:$G$31,7, FALSE)</f>
        <v>712.76</v>
      </c>
      <c r="P120" s="160">
        <v>5.0000000000000001E-3</v>
      </c>
      <c r="Q120" s="160">
        <f>ROUND(O120*P120,2)</f>
        <v>3.56</v>
      </c>
      <c r="R120" s="160"/>
      <c r="S120" s="160"/>
      <c r="T120" s="162"/>
      <c r="U120" s="162"/>
      <c r="V120" s="162"/>
      <c r="W120" s="162"/>
      <c r="X120" s="78"/>
    </row>
    <row r="121" spans="1:24" hidden="1" outlineLevel="1" x14ac:dyDescent="0.25">
      <c r="A121" s="158"/>
      <c r="B121" s="158"/>
      <c r="C121" s="210"/>
      <c r="D121" s="210"/>
      <c r="E121" s="156"/>
      <c r="F121" s="160"/>
      <c r="G121" s="167"/>
      <c r="H121" s="160"/>
      <c r="I121" s="172"/>
      <c r="J121" s="160"/>
      <c r="K121" s="160"/>
      <c r="L121" s="160"/>
      <c r="M121" s="97" t="s">
        <v>329</v>
      </c>
      <c r="N121" s="98" t="str">
        <f>VLOOKUP(M121,материалы!$A$5:$G$31,5, FALSE)</f>
        <v>кг</v>
      </c>
      <c r="O121" s="160">
        <f>VLOOKUP(M121,материалы!$A$5:$G$31,7, FALSE)</f>
        <v>65.599999999999994</v>
      </c>
      <c r="P121" s="160">
        <v>1E-3</v>
      </c>
      <c r="Q121" s="160">
        <f t="shared" ref="Q121:Q123" si="46">ROUND(O121*P121,2)</f>
        <v>7.0000000000000007E-2</v>
      </c>
      <c r="R121" s="160"/>
      <c r="S121" s="160"/>
      <c r="T121" s="162"/>
      <c r="U121" s="162"/>
      <c r="V121" s="162"/>
      <c r="W121" s="162"/>
      <c r="X121" s="78"/>
    </row>
    <row r="122" spans="1:24" hidden="1" outlineLevel="1" x14ac:dyDescent="0.25">
      <c r="A122" s="158"/>
      <c r="B122" s="158"/>
      <c r="C122" s="210"/>
      <c r="D122" s="210"/>
      <c r="E122" s="156"/>
      <c r="F122" s="160"/>
      <c r="G122" s="167"/>
      <c r="H122" s="160"/>
      <c r="I122" s="172"/>
      <c r="J122" s="160"/>
      <c r="K122" s="160"/>
      <c r="L122" s="160"/>
      <c r="M122" s="97" t="s">
        <v>330</v>
      </c>
      <c r="N122" s="98" t="str">
        <f>VLOOKUP(M122,материалы!$A$5:$G$31,5, FALSE)</f>
        <v>кг</v>
      </c>
      <c r="O122" s="160">
        <f>VLOOKUP(M122,материалы!$A$5:$G$31,7, FALSE)</f>
        <v>39.82</v>
      </c>
      <c r="P122" s="160">
        <v>0.01</v>
      </c>
      <c r="Q122" s="160">
        <f t="shared" si="46"/>
        <v>0.4</v>
      </c>
      <c r="R122" s="160"/>
      <c r="S122" s="160"/>
      <c r="T122" s="162"/>
      <c r="U122" s="162"/>
      <c r="V122" s="162"/>
      <c r="W122" s="162"/>
      <c r="X122" s="78"/>
    </row>
    <row r="123" spans="1:24" ht="25.5" hidden="1" outlineLevel="1" x14ac:dyDescent="0.25">
      <c r="A123" s="158"/>
      <c r="B123" s="158"/>
      <c r="C123" s="210"/>
      <c r="D123" s="210"/>
      <c r="E123" s="156"/>
      <c r="F123" s="160"/>
      <c r="G123" s="167"/>
      <c r="H123" s="160"/>
      <c r="I123" s="172"/>
      <c r="J123" s="160"/>
      <c r="K123" s="160"/>
      <c r="L123" s="160"/>
      <c r="M123" s="97" t="s">
        <v>332</v>
      </c>
      <c r="N123" s="98" t="str">
        <f>VLOOKUP(M123,материалы!$A$5:$G$31,5, FALSE)</f>
        <v>шт.</v>
      </c>
      <c r="O123" s="160">
        <f>VLOOKUP(M123,материалы!$A$5:$G$31,7, FALSE)</f>
        <v>9.44</v>
      </c>
      <c r="P123" s="160">
        <v>1</v>
      </c>
      <c r="Q123" s="160">
        <f t="shared" si="46"/>
        <v>9.44</v>
      </c>
      <c r="R123" s="160"/>
      <c r="S123" s="160"/>
      <c r="T123" s="162"/>
      <c r="U123" s="162"/>
      <c r="V123" s="162"/>
      <c r="W123" s="162"/>
      <c r="X123" s="78"/>
    </row>
    <row r="124" spans="1:24" ht="22.7" hidden="1" customHeight="1" x14ac:dyDescent="0.25">
      <c r="A124" s="597" t="s">
        <v>226</v>
      </c>
      <c r="B124" s="597"/>
      <c r="C124" s="597"/>
      <c r="D124" s="597"/>
      <c r="E124" s="597"/>
      <c r="F124" s="597"/>
      <c r="G124" s="597"/>
      <c r="H124" s="597"/>
      <c r="I124" s="597"/>
      <c r="J124" s="597"/>
      <c r="K124" s="597"/>
      <c r="L124" s="597"/>
      <c r="M124" s="597"/>
      <c r="N124" s="597"/>
      <c r="O124" s="597"/>
      <c r="P124" s="597"/>
      <c r="Q124" s="597"/>
      <c r="R124" s="597"/>
      <c r="S124" s="597"/>
      <c r="T124" s="597"/>
      <c r="U124" s="597"/>
      <c r="V124" s="597"/>
      <c r="W124" s="597"/>
      <c r="X124" s="78"/>
    </row>
    <row r="125" spans="1:24" ht="49.7" hidden="1" customHeight="1" x14ac:dyDescent="0.25">
      <c r="A125" s="158" t="s">
        <v>464</v>
      </c>
      <c r="B125" s="158" t="s">
        <v>218</v>
      </c>
      <c r="C125" s="210"/>
      <c r="D125" s="210"/>
      <c r="E125" s="156" t="s">
        <v>372</v>
      </c>
      <c r="F125" s="163" t="s">
        <v>230</v>
      </c>
      <c r="G125" s="167" t="s">
        <v>162</v>
      </c>
      <c r="H125" s="160">
        <f>VLOOKUP(G125,'условия, ФОТ'!$A$14:$I$32,9, FALSE)</f>
        <v>164.09</v>
      </c>
      <c r="I125" s="172">
        <v>3</v>
      </c>
      <c r="J125" s="160">
        <f t="shared" si="31"/>
        <v>492.27</v>
      </c>
      <c r="K125" s="160">
        <f>ROUND(J125*$K$7,2)</f>
        <v>148.66999999999999</v>
      </c>
      <c r="L125" s="160">
        <f t="shared" si="29"/>
        <v>640.93999999999994</v>
      </c>
      <c r="M125" s="159"/>
      <c r="N125" s="160"/>
      <c r="O125" s="160"/>
      <c r="P125" s="160"/>
      <c r="Q125" s="160">
        <f>SUM(Q126:Q130)</f>
        <v>26.89</v>
      </c>
      <c r="R125" s="160">
        <f>L125+Q125</f>
        <v>667.82999999999993</v>
      </c>
      <c r="S125" s="160">
        <f>ROUND(R125*$S$7,2)</f>
        <v>815.42</v>
      </c>
      <c r="T125" s="162">
        <f>ROUND(V125/1.2,2)</f>
        <v>1631.67</v>
      </c>
      <c r="U125" s="162">
        <f>ROUND(T125*$U$7,2)</f>
        <v>326.33</v>
      </c>
      <c r="V125" s="162">
        <f>ROUND((R125+S125)*(1+$T$7)*1.2,0)</f>
        <v>1958</v>
      </c>
      <c r="W125" s="162">
        <v>1307</v>
      </c>
      <c r="X125" s="78">
        <f t="shared" si="0"/>
        <v>49.808722264728402</v>
      </c>
    </row>
    <row r="126" spans="1:24" ht="29.25" hidden="1" customHeight="1" outlineLevel="1" x14ac:dyDescent="0.25">
      <c r="A126" s="158"/>
      <c r="B126" s="158"/>
      <c r="C126" s="210"/>
      <c r="D126" s="210"/>
      <c r="E126" s="156"/>
      <c r="F126" s="163"/>
      <c r="G126" s="167"/>
      <c r="H126" s="160"/>
      <c r="I126" s="172"/>
      <c r="J126" s="160"/>
      <c r="K126" s="160"/>
      <c r="L126" s="96" t="s">
        <v>366</v>
      </c>
      <c r="M126" s="104" t="s">
        <v>333</v>
      </c>
      <c r="N126" s="98" t="str">
        <f>VLOOKUP(M126,материалы!$A$5:$G$31,5, FALSE)</f>
        <v>кг</v>
      </c>
      <c r="O126" s="160">
        <f>VLOOKUP(M126,материалы!$A$5:$G$31,7, FALSE)</f>
        <v>302.41000000000003</v>
      </c>
      <c r="P126" s="160">
        <v>0.05</v>
      </c>
      <c r="Q126" s="160">
        <f>ROUND(O126*P126,2)</f>
        <v>15.12</v>
      </c>
      <c r="R126" s="160"/>
      <c r="S126" s="160"/>
      <c r="T126" s="162"/>
      <c r="U126" s="162"/>
      <c r="V126" s="162"/>
      <c r="W126" s="162"/>
      <c r="X126" s="78"/>
    </row>
    <row r="127" spans="1:24" ht="24" hidden="1" customHeight="1" outlineLevel="1" x14ac:dyDescent="0.25">
      <c r="A127" s="158"/>
      <c r="B127" s="158"/>
      <c r="C127" s="210"/>
      <c r="D127" s="210"/>
      <c r="E127" s="156"/>
      <c r="F127" s="163"/>
      <c r="G127" s="167"/>
      <c r="H127" s="160"/>
      <c r="I127" s="172"/>
      <c r="J127" s="160"/>
      <c r="K127" s="160"/>
      <c r="L127" s="95"/>
      <c r="M127" s="104" t="s">
        <v>335</v>
      </c>
      <c r="N127" s="98" t="str">
        <f>VLOOKUP(M127,материалы!$A$5:$G$31,5, FALSE)</f>
        <v>кг</v>
      </c>
      <c r="O127" s="160">
        <f>VLOOKUP(M127,материалы!$A$5:$G$31,7, FALSE)</f>
        <v>712.76</v>
      </c>
      <c r="P127" s="160">
        <v>5.0000000000000001E-3</v>
      </c>
      <c r="Q127" s="160">
        <f>ROUND(O127*P127,2)</f>
        <v>3.56</v>
      </c>
      <c r="R127" s="160"/>
      <c r="S127" s="160"/>
      <c r="T127" s="162"/>
      <c r="U127" s="162"/>
      <c r="V127" s="162"/>
      <c r="W127" s="162"/>
      <c r="X127" s="78"/>
    </row>
    <row r="128" spans="1:24" ht="24.75" hidden="1" customHeight="1" outlineLevel="1" x14ac:dyDescent="0.25">
      <c r="A128" s="158"/>
      <c r="B128" s="158"/>
      <c r="C128" s="210"/>
      <c r="D128" s="210"/>
      <c r="E128" s="156"/>
      <c r="F128" s="163"/>
      <c r="G128" s="167"/>
      <c r="H128" s="160"/>
      <c r="I128" s="172"/>
      <c r="J128" s="160"/>
      <c r="K128" s="160"/>
      <c r="L128" s="160"/>
      <c r="M128" s="104" t="s">
        <v>342</v>
      </c>
      <c r="N128" s="98" t="str">
        <f>VLOOKUP(M128,материалы!$A$5:$G$31,5, FALSE)</f>
        <v>шт.</v>
      </c>
      <c r="O128" s="160">
        <f>VLOOKUP(M128,материалы!$A$5:$G$31,7, FALSE)</f>
        <v>30.94</v>
      </c>
      <c r="P128" s="160">
        <v>0.25</v>
      </c>
      <c r="Q128" s="160">
        <f>ROUND(O128*P128,2)</f>
        <v>7.74</v>
      </c>
      <c r="R128" s="160"/>
      <c r="S128" s="160"/>
      <c r="T128" s="162"/>
      <c r="U128" s="162"/>
      <c r="V128" s="162"/>
      <c r="W128" s="162"/>
      <c r="X128" s="78"/>
    </row>
    <row r="129" spans="1:24" hidden="1" outlineLevel="1" x14ac:dyDescent="0.25">
      <c r="A129" s="158"/>
      <c r="B129" s="158"/>
      <c r="C129" s="210"/>
      <c r="D129" s="210"/>
      <c r="E129" s="156"/>
      <c r="F129" s="163"/>
      <c r="G129" s="167"/>
      <c r="H129" s="160"/>
      <c r="I129" s="172"/>
      <c r="J129" s="160"/>
      <c r="K129" s="160"/>
      <c r="L129" s="160"/>
      <c r="M129" s="97" t="s">
        <v>329</v>
      </c>
      <c r="N129" s="98" t="str">
        <f>VLOOKUP(M129,материалы!$A$5:$G$31,5, FALSE)</f>
        <v>кг</v>
      </c>
      <c r="O129" s="160">
        <f>VLOOKUP(M129,материалы!$A$5:$G$31,7, FALSE)</f>
        <v>65.599999999999994</v>
      </c>
      <c r="P129" s="160">
        <v>1E-3</v>
      </c>
      <c r="Q129" s="160">
        <f t="shared" ref="Q129:Q130" si="47">ROUND(O129*P129,2)</f>
        <v>7.0000000000000007E-2</v>
      </c>
      <c r="R129" s="160"/>
      <c r="S129" s="160"/>
      <c r="T129" s="162"/>
      <c r="U129" s="162"/>
      <c r="V129" s="162"/>
      <c r="W129" s="162"/>
      <c r="X129" s="78"/>
    </row>
    <row r="130" spans="1:24" hidden="1" outlineLevel="1" x14ac:dyDescent="0.25">
      <c r="A130" s="158"/>
      <c r="B130" s="158"/>
      <c r="C130" s="210"/>
      <c r="D130" s="210"/>
      <c r="E130" s="156"/>
      <c r="F130" s="163"/>
      <c r="G130" s="167"/>
      <c r="H130" s="160"/>
      <c r="I130" s="172"/>
      <c r="J130" s="160"/>
      <c r="K130" s="160"/>
      <c r="L130" s="160"/>
      <c r="M130" s="97" t="s">
        <v>330</v>
      </c>
      <c r="N130" s="98" t="str">
        <f>VLOOKUP(M130,материалы!$A$5:$G$31,5, FALSE)</f>
        <v>кг</v>
      </c>
      <c r="O130" s="160">
        <f>VLOOKUP(M130,материалы!$A$5:$G$31,7, FALSE)</f>
        <v>39.82</v>
      </c>
      <c r="P130" s="160">
        <v>0.01</v>
      </c>
      <c r="Q130" s="160">
        <f t="shared" si="47"/>
        <v>0.4</v>
      </c>
      <c r="R130" s="160"/>
      <c r="S130" s="160"/>
      <c r="T130" s="162"/>
      <c r="U130" s="162"/>
      <c r="V130" s="162"/>
      <c r="W130" s="162"/>
      <c r="X130" s="78"/>
    </row>
    <row r="131" spans="1:24" ht="42" hidden="1" customHeight="1" x14ac:dyDescent="0.25">
      <c r="A131" s="158" t="s">
        <v>465</v>
      </c>
      <c r="B131" s="158" t="s">
        <v>218</v>
      </c>
      <c r="C131" s="210"/>
      <c r="D131" s="210"/>
      <c r="E131" s="156" t="s">
        <v>227</v>
      </c>
      <c r="F131" s="163" t="s">
        <v>230</v>
      </c>
      <c r="G131" s="167" t="s">
        <v>162</v>
      </c>
      <c r="H131" s="160">
        <f>VLOOKUP(G131,'условия, ФОТ'!$A$14:$I$32,9, FALSE)</f>
        <v>164.09</v>
      </c>
      <c r="I131" s="172">
        <v>2.5</v>
      </c>
      <c r="J131" s="160">
        <f t="shared" si="31"/>
        <v>410.23</v>
      </c>
      <c r="K131" s="160">
        <f>ROUND(J131*$K$7,2)</f>
        <v>123.89</v>
      </c>
      <c r="L131" s="160">
        <f t="shared" si="29"/>
        <v>534.12</v>
      </c>
      <c r="M131" s="159"/>
      <c r="N131" s="160"/>
      <c r="O131" s="160"/>
      <c r="P131" s="160"/>
      <c r="Q131" s="160">
        <f>SUM(Q132:Q136)</f>
        <v>26.89</v>
      </c>
      <c r="R131" s="160">
        <f t="shared" si="33"/>
        <v>561.01</v>
      </c>
      <c r="S131" s="160">
        <f>ROUND(R131*$S$7,2)</f>
        <v>684.99</v>
      </c>
      <c r="T131" s="162">
        <f>ROUND(V131/1.2,2)</f>
        <v>1370.83</v>
      </c>
      <c r="U131" s="162">
        <f>ROUND(T131*$U$7,2)</f>
        <v>274.17</v>
      </c>
      <c r="V131" s="162">
        <f>ROUND((R131+S131)*(1+$T$7)*1.2,0)</f>
        <v>1645</v>
      </c>
      <c r="W131" s="162">
        <v>1101</v>
      </c>
      <c r="X131" s="78">
        <f t="shared" si="0"/>
        <v>49.409627611262493</v>
      </c>
    </row>
    <row r="132" spans="1:24" ht="24.75" hidden="1" customHeight="1" outlineLevel="1" x14ac:dyDescent="0.25">
      <c r="A132" s="158"/>
      <c r="B132" s="158"/>
      <c r="C132" s="210"/>
      <c r="D132" s="210"/>
      <c r="E132" s="156"/>
      <c r="F132" s="163"/>
      <c r="G132" s="167"/>
      <c r="H132" s="160"/>
      <c r="I132" s="172"/>
      <c r="J132" s="160"/>
      <c r="K132" s="160"/>
      <c r="L132" s="96" t="s">
        <v>366</v>
      </c>
      <c r="M132" s="104" t="s">
        <v>335</v>
      </c>
      <c r="N132" s="98" t="str">
        <f>VLOOKUP(M132,материалы!$A$5:$G$31,5, FALSE)</f>
        <v>кг</v>
      </c>
      <c r="O132" s="160">
        <f>VLOOKUP(M132,материалы!$A$5:$G$31,7, FALSE)</f>
        <v>712.76</v>
      </c>
      <c r="P132" s="160">
        <v>5.0000000000000001E-3</v>
      </c>
      <c r="Q132" s="160">
        <f>ROUND(O132*P132,2)</f>
        <v>3.56</v>
      </c>
      <c r="R132" s="160"/>
      <c r="S132" s="160"/>
      <c r="T132" s="162"/>
      <c r="U132" s="162"/>
      <c r="V132" s="162"/>
      <c r="W132" s="162"/>
      <c r="X132" s="78"/>
    </row>
    <row r="133" spans="1:24" ht="24.75" hidden="1" customHeight="1" outlineLevel="1" x14ac:dyDescent="0.25">
      <c r="A133" s="158"/>
      <c r="B133" s="158"/>
      <c r="C133" s="210"/>
      <c r="D133" s="210"/>
      <c r="E133" s="156"/>
      <c r="F133" s="163"/>
      <c r="G133" s="167"/>
      <c r="H133" s="160"/>
      <c r="I133" s="172"/>
      <c r="J133" s="160"/>
      <c r="K133" s="160"/>
      <c r="L133" s="96"/>
      <c r="M133" s="104" t="s">
        <v>333</v>
      </c>
      <c r="N133" s="98" t="str">
        <f>VLOOKUP(M133,материалы!$A$5:$G$31,5, FALSE)</f>
        <v>кг</v>
      </c>
      <c r="O133" s="160">
        <f>VLOOKUP(M133,материалы!$A$5:$G$31,7, FALSE)</f>
        <v>302.41000000000003</v>
      </c>
      <c r="P133" s="160">
        <v>0.05</v>
      </c>
      <c r="Q133" s="160">
        <f>ROUND(O133*P133,2)</f>
        <v>15.12</v>
      </c>
      <c r="R133" s="160"/>
      <c r="S133" s="160"/>
      <c r="T133" s="162"/>
      <c r="U133" s="162"/>
      <c r="V133" s="162"/>
      <c r="W133" s="162"/>
      <c r="X133" s="78"/>
    </row>
    <row r="134" spans="1:24" ht="29.25" hidden="1" customHeight="1" outlineLevel="1" x14ac:dyDescent="0.25">
      <c r="A134" s="158"/>
      <c r="B134" s="158"/>
      <c r="C134" s="210"/>
      <c r="D134" s="210"/>
      <c r="E134" s="156"/>
      <c r="F134" s="163"/>
      <c r="G134" s="167"/>
      <c r="H134" s="160"/>
      <c r="I134" s="172"/>
      <c r="J134" s="160"/>
      <c r="K134" s="160"/>
      <c r="L134" s="160"/>
      <c r="M134" s="104" t="s">
        <v>342</v>
      </c>
      <c r="N134" s="98" t="str">
        <f>VLOOKUP(M134,материалы!$A$5:$G$31,5, FALSE)</f>
        <v>шт.</v>
      </c>
      <c r="O134" s="160">
        <f>VLOOKUP(M134,материалы!$A$5:$G$31,7, FALSE)</f>
        <v>30.94</v>
      </c>
      <c r="P134" s="160">
        <v>0.25</v>
      </c>
      <c r="Q134" s="160">
        <f>ROUND(O134*P134,2)</f>
        <v>7.74</v>
      </c>
      <c r="R134" s="160"/>
      <c r="S134" s="160"/>
      <c r="T134" s="162"/>
      <c r="U134" s="162"/>
      <c r="V134" s="162"/>
      <c r="W134" s="162"/>
      <c r="X134" s="78"/>
    </row>
    <row r="135" spans="1:24" hidden="1" outlineLevel="1" x14ac:dyDescent="0.25">
      <c r="A135" s="158"/>
      <c r="B135" s="158"/>
      <c r="C135" s="210"/>
      <c r="D135" s="210"/>
      <c r="E135" s="156"/>
      <c r="F135" s="163"/>
      <c r="G135" s="167"/>
      <c r="H135" s="160"/>
      <c r="I135" s="172"/>
      <c r="J135" s="160"/>
      <c r="K135" s="160"/>
      <c r="L135" s="160"/>
      <c r="M135" s="97" t="s">
        <v>329</v>
      </c>
      <c r="N135" s="98" t="str">
        <f>VLOOKUP(M135,материалы!$A$5:$G$31,5, FALSE)</f>
        <v>кг</v>
      </c>
      <c r="O135" s="160">
        <f>VLOOKUP(M135,материалы!$A$5:$G$31,7, FALSE)</f>
        <v>65.599999999999994</v>
      </c>
      <c r="P135" s="160">
        <v>1E-3</v>
      </c>
      <c r="Q135" s="160">
        <f t="shared" ref="Q135:Q136" si="48">ROUND(O135*P135,2)</f>
        <v>7.0000000000000007E-2</v>
      </c>
      <c r="R135" s="160"/>
      <c r="S135" s="160"/>
      <c r="T135" s="162"/>
      <c r="U135" s="162"/>
      <c r="V135" s="162"/>
      <c r="W135" s="162"/>
      <c r="X135" s="78"/>
    </row>
    <row r="136" spans="1:24" hidden="1" outlineLevel="1" x14ac:dyDescent="0.25">
      <c r="A136" s="158"/>
      <c r="B136" s="158"/>
      <c r="C136" s="210"/>
      <c r="D136" s="210"/>
      <c r="E136" s="156"/>
      <c r="F136" s="163"/>
      <c r="G136" s="167"/>
      <c r="H136" s="160"/>
      <c r="I136" s="172"/>
      <c r="J136" s="160"/>
      <c r="K136" s="160"/>
      <c r="L136" s="160"/>
      <c r="M136" s="97" t="s">
        <v>330</v>
      </c>
      <c r="N136" s="98" t="str">
        <f>VLOOKUP(M136,материалы!$A$5:$G$31,5, FALSE)</f>
        <v>кг</v>
      </c>
      <c r="O136" s="160">
        <f>VLOOKUP(M136,материалы!$A$5:$G$31,7, FALSE)</f>
        <v>39.82</v>
      </c>
      <c r="P136" s="160">
        <v>0.01</v>
      </c>
      <c r="Q136" s="160">
        <f t="shared" si="48"/>
        <v>0.4</v>
      </c>
      <c r="R136" s="160"/>
      <c r="S136" s="160"/>
      <c r="T136" s="162"/>
      <c r="U136" s="162"/>
      <c r="V136" s="162"/>
      <c r="W136" s="162"/>
      <c r="X136" s="78"/>
    </row>
    <row r="137" spans="1:24" ht="21.75" hidden="1" customHeight="1" x14ac:dyDescent="0.25">
      <c r="A137" s="158" t="s">
        <v>466</v>
      </c>
      <c r="B137" s="158" t="s">
        <v>219</v>
      </c>
      <c r="C137" s="210"/>
      <c r="D137" s="210"/>
      <c r="E137" s="171" t="s">
        <v>228</v>
      </c>
      <c r="F137" s="160" t="s">
        <v>230</v>
      </c>
      <c r="G137" s="167" t="s">
        <v>162</v>
      </c>
      <c r="H137" s="160">
        <f>VLOOKUP(G137,'условия, ФОТ'!$A$14:$I$32,9, FALSE)</f>
        <v>164.09</v>
      </c>
      <c r="I137" s="172">
        <v>1.2</v>
      </c>
      <c r="J137" s="160">
        <f t="shared" si="31"/>
        <v>196.91</v>
      </c>
      <c r="K137" s="160">
        <f>ROUND(J137*$K$7,2)</f>
        <v>59.47</v>
      </c>
      <c r="L137" s="160">
        <f t="shared" si="29"/>
        <v>256.38</v>
      </c>
      <c r="M137" s="159"/>
      <c r="N137" s="160"/>
      <c r="O137" s="160"/>
      <c r="P137" s="160"/>
      <c r="Q137" s="160"/>
      <c r="R137" s="160">
        <f t="shared" si="33"/>
        <v>256.38</v>
      </c>
      <c r="S137" s="160">
        <f>ROUND(R137*$S$7,2)</f>
        <v>313.04000000000002</v>
      </c>
      <c r="T137" s="162">
        <f>ROUND(V137/1.2,2)</f>
        <v>626.66999999999996</v>
      </c>
      <c r="U137" s="162">
        <f>ROUND(T137*$U$7,2)</f>
        <v>125.33</v>
      </c>
      <c r="V137" s="162">
        <f>ROUND((R137+S137)*(1+$T$7)*1.2,0)</f>
        <v>752</v>
      </c>
      <c r="W137" s="162">
        <v>496</v>
      </c>
      <c r="X137" s="78">
        <f t="shared" si="0"/>
        <v>51.612903225806463</v>
      </c>
    </row>
    <row r="138" spans="1:24" ht="14.25" hidden="1" customHeight="1" x14ac:dyDescent="0.25">
      <c r="A138" s="590" t="s">
        <v>467</v>
      </c>
      <c r="B138" s="593" t="s">
        <v>221</v>
      </c>
      <c r="C138" s="216"/>
      <c r="D138" s="216"/>
      <c r="E138" s="589" t="s">
        <v>229</v>
      </c>
      <c r="F138" s="609" t="s">
        <v>230</v>
      </c>
      <c r="G138" s="167" t="s">
        <v>162</v>
      </c>
      <c r="H138" s="160">
        <f>VLOOKUP(G138,'условия, ФОТ'!$A$14:$I$32,9, FALSE)</f>
        <v>164.09</v>
      </c>
      <c r="I138" s="172">
        <f>1.2+0.68</f>
        <v>1.88</v>
      </c>
      <c r="J138" s="592">
        <f>ROUND((H138*I138+H139*I139),2)</f>
        <v>434.83</v>
      </c>
      <c r="K138" s="592">
        <f>ROUND(J138*$K$7,2)</f>
        <v>131.32</v>
      </c>
      <c r="L138" s="592">
        <f>J138+K138</f>
        <v>566.15</v>
      </c>
      <c r="M138" s="591"/>
      <c r="N138" s="592"/>
      <c r="O138" s="592"/>
      <c r="P138" s="592"/>
      <c r="Q138" s="592">
        <f>SUM(Q140:Q146)</f>
        <v>78.88</v>
      </c>
      <c r="R138" s="592">
        <f>L138+Q138</f>
        <v>645.03</v>
      </c>
      <c r="S138" s="592">
        <f>ROUND(R138*$S$7,2)</f>
        <v>787.58</v>
      </c>
      <c r="T138" s="594">
        <f>ROUND(V138/1.2,2)</f>
        <v>1575.83</v>
      </c>
      <c r="U138" s="596">
        <f>ROUND(T138*$U$7,2)</f>
        <v>315.17</v>
      </c>
      <c r="V138" s="596">
        <f>ROUND((R138+S138)*(1+$T$7)*1.2,0)</f>
        <v>1891</v>
      </c>
      <c r="W138" s="594">
        <v>1388</v>
      </c>
      <c r="X138" s="601">
        <f t="shared" si="0"/>
        <v>36.239193083573497</v>
      </c>
    </row>
    <row r="139" spans="1:24" ht="15.75" hidden="1" customHeight="1" x14ac:dyDescent="0.25">
      <c r="A139" s="590"/>
      <c r="B139" s="593"/>
      <c r="C139" s="216"/>
      <c r="D139" s="216"/>
      <c r="E139" s="589"/>
      <c r="F139" s="609"/>
      <c r="G139" s="167" t="s">
        <v>166</v>
      </c>
      <c r="H139" s="160">
        <f>VLOOKUP(G139,'условия, ФОТ'!$A$14:$I$32,9, FALSE)</f>
        <v>185.8</v>
      </c>
      <c r="I139" s="172">
        <v>0.68</v>
      </c>
      <c r="J139" s="592">
        <f t="shared" ref="J139:J148" si="49">ROUND(H139*I139,2)</f>
        <v>126.34</v>
      </c>
      <c r="K139" s="592">
        <f>ROUND(J139*$K$7,2)</f>
        <v>38.15</v>
      </c>
      <c r="L139" s="592">
        <f t="shared" ref="L139" si="50">J139+K139</f>
        <v>164.49</v>
      </c>
      <c r="M139" s="591"/>
      <c r="N139" s="592"/>
      <c r="O139" s="592"/>
      <c r="P139" s="592"/>
      <c r="Q139" s="592"/>
      <c r="R139" s="592"/>
      <c r="S139" s="592">
        <f>ROUND(R139*$S$7,2)</f>
        <v>0</v>
      </c>
      <c r="T139" s="595"/>
      <c r="U139" s="596">
        <f>ROUND(T139*$U$7,2)</f>
        <v>0</v>
      </c>
      <c r="V139" s="596">
        <f>ROUND((R139+S139)*(1+$T$7)*1.18,0)</f>
        <v>0</v>
      </c>
      <c r="W139" s="595"/>
      <c r="X139" s="601"/>
    </row>
    <row r="140" spans="1:24" ht="15.75" hidden="1" customHeight="1" outlineLevel="1" x14ac:dyDescent="0.25">
      <c r="A140" s="158"/>
      <c r="B140" s="161"/>
      <c r="C140" s="216"/>
      <c r="D140" s="216"/>
      <c r="E140" s="156"/>
      <c r="F140" s="163"/>
      <c r="G140" s="167"/>
      <c r="H140" s="160"/>
      <c r="I140" s="172"/>
      <c r="J140" s="160"/>
      <c r="K140" s="160"/>
      <c r="L140" s="96" t="s">
        <v>366</v>
      </c>
      <c r="M140" s="104" t="s">
        <v>324</v>
      </c>
      <c r="N140" s="98" t="str">
        <f>VLOOKUP(M140,материалы!$A$5:$G$31,5, FALSE)</f>
        <v>м3</v>
      </c>
      <c r="O140" s="160">
        <f>VLOOKUP(M140,материалы!$A$5:$G$31,7, FALSE)</f>
        <v>54.61</v>
      </c>
      <c r="P140" s="160">
        <v>0.15</v>
      </c>
      <c r="Q140" s="160">
        <f t="shared" ref="Q140:Q146" si="51">ROUND(O140*P140,2)</f>
        <v>8.19</v>
      </c>
      <c r="R140" s="160"/>
      <c r="S140" s="160"/>
      <c r="T140" s="162"/>
      <c r="U140" s="162"/>
      <c r="V140" s="162"/>
      <c r="W140" s="162"/>
      <c r="X140" s="78"/>
    </row>
    <row r="141" spans="1:24" ht="12" hidden="1" customHeight="1" outlineLevel="1" x14ac:dyDescent="0.25">
      <c r="A141" s="158"/>
      <c r="B141" s="161"/>
      <c r="C141" s="216"/>
      <c r="D141" s="216"/>
      <c r="E141" s="156"/>
      <c r="F141" s="163"/>
      <c r="G141" s="167"/>
      <c r="H141" s="160"/>
      <c r="I141" s="172"/>
      <c r="J141" s="160"/>
      <c r="K141" s="160"/>
      <c r="L141" s="160"/>
      <c r="M141" s="104" t="s">
        <v>323</v>
      </c>
      <c r="N141" s="98" t="str">
        <f>VLOOKUP(M141,материалы!$A$5:$G$31,5, FALSE)</f>
        <v>м3</v>
      </c>
      <c r="O141" s="160">
        <f>VLOOKUP(M141,материалы!$A$5:$G$31,7, FALSE)</f>
        <v>379.24</v>
      </c>
      <c r="P141" s="172">
        <v>8.7499999999999994E-2</v>
      </c>
      <c r="Q141" s="160">
        <f t="shared" si="51"/>
        <v>33.18</v>
      </c>
      <c r="R141" s="160"/>
      <c r="S141" s="160"/>
      <c r="T141" s="162"/>
      <c r="U141" s="162"/>
      <c r="V141" s="162"/>
      <c r="W141" s="162"/>
      <c r="X141" s="78"/>
    </row>
    <row r="142" spans="1:24" ht="35.25" hidden="1" customHeight="1" outlineLevel="1" x14ac:dyDescent="0.25">
      <c r="A142" s="158"/>
      <c r="B142" s="161"/>
      <c r="C142" s="216"/>
      <c r="D142" s="216"/>
      <c r="E142" s="156"/>
      <c r="F142" s="163"/>
      <c r="G142" s="167"/>
      <c r="H142" s="160"/>
      <c r="I142" s="172"/>
      <c r="J142" s="160"/>
      <c r="K142" s="160"/>
      <c r="L142" s="160"/>
      <c r="M142" s="104" t="s">
        <v>341</v>
      </c>
      <c r="N142" s="98" t="str">
        <f>VLOOKUP(M142,материалы!$A$5:$G$31,5, FALSE)</f>
        <v>кг</v>
      </c>
      <c r="O142" s="160">
        <f>VLOOKUP(M142,материалы!$A$5:$G$31,7, FALSE)</f>
        <v>44.94</v>
      </c>
      <c r="P142" s="160">
        <v>0.1</v>
      </c>
      <c r="Q142" s="160">
        <f t="shared" si="51"/>
        <v>4.49</v>
      </c>
      <c r="R142" s="160"/>
      <c r="S142" s="160"/>
      <c r="T142" s="162"/>
      <c r="U142" s="162"/>
      <c r="V142" s="162"/>
      <c r="W142" s="162"/>
      <c r="X142" s="78"/>
    </row>
    <row r="143" spans="1:24" ht="26.25" hidden="1" customHeight="1" outlineLevel="1" x14ac:dyDescent="0.25">
      <c r="A143" s="158"/>
      <c r="B143" s="161"/>
      <c r="C143" s="216"/>
      <c r="D143" s="216"/>
      <c r="E143" s="156"/>
      <c r="F143" s="163"/>
      <c r="G143" s="167"/>
      <c r="H143" s="160"/>
      <c r="I143" s="172"/>
      <c r="J143" s="160"/>
      <c r="K143" s="160"/>
      <c r="L143" s="160"/>
      <c r="M143" s="104" t="s">
        <v>342</v>
      </c>
      <c r="N143" s="98" t="str">
        <f>VLOOKUP(M143,материалы!$A$5:$G$31,5, FALSE)</f>
        <v>шт.</v>
      </c>
      <c r="O143" s="160">
        <f>VLOOKUP(M143,материалы!$A$5:$G$31,7, FALSE)</f>
        <v>30.94</v>
      </c>
      <c r="P143" s="160">
        <v>0.25</v>
      </c>
      <c r="Q143" s="160">
        <f t="shared" si="51"/>
        <v>7.74</v>
      </c>
      <c r="R143" s="160"/>
      <c r="S143" s="160"/>
      <c r="T143" s="162"/>
      <c r="U143" s="162"/>
      <c r="V143" s="162"/>
      <c r="W143" s="162"/>
      <c r="X143" s="78"/>
    </row>
    <row r="144" spans="1:24" ht="24.75" hidden="1" customHeight="1" outlineLevel="1" x14ac:dyDescent="0.25">
      <c r="A144" s="158"/>
      <c r="B144" s="161"/>
      <c r="C144" s="216"/>
      <c r="D144" s="216"/>
      <c r="E144" s="156"/>
      <c r="F144" s="163"/>
      <c r="G144" s="167"/>
      <c r="H144" s="160"/>
      <c r="I144" s="172"/>
      <c r="J144" s="160"/>
      <c r="K144" s="160"/>
      <c r="L144" s="160"/>
      <c r="M144" s="121" t="s">
        <v>346</v>
      </c>
      <c r="N144" s="98" t="str">
        <f>VLOOKUP(M144,материалы!$A$5:$G$31,5, FALSE)</f>
        <v>шт.</v>
      </c>
      <c r="O144" s="160">
        <f>VLOOKUP(M144,материалы!$A$5:$G$31,7, FALSE)</f>
        <v>24.810000000000002</v>
      </c>
      <c r="P144" s="160">
        <v>1</v>
      </c>
      <c r="Q144" s="160">
        <f t="shared" si="51"/>
        <v>24.81</v>
      </c>
      <c r="R144" s="160"/>
      <c r="S144" s="160"/>
      <c r="T144" s="162"/>
      <c r="U144" s="162"/>
      <c r="V144" s="162"/>
      <c r="W144" s="162"/>
      <c r="X144" s="78"/>
    </row>
    <row r="145" spans="1:24" ht="15.75" hidden="1" customHeight="1" outlineLevel="1" x14ac:dyDescent="0.25">
      <c r="A145" s="158"/>
      <c r="B145" s="161"/>
      <c r="C145" s="216"/>
      <c r="D145" s="216"/>
      <c r="E145" s="156"/>
      <c r="F145" s="163"/>
      <c r="G145" s="167"/>
      <c r="H145" s="160"/>
      <c r="I145" s="172"/>
      <c r="J145" s="160"/>
      <c r="K145" s="160"/>
      <c r="L145" s="160"/>
      <c r="M145" s="97" t="s">
        <v>329</v>
      </c>
      <c r="N145" s="98" t="str">
        <f>VLOOKUP(M145,материалы!$A$5:$G$31,5, FALSE)</f>
        <v>кг</v>
      </c>
      <c r="O145" s="160">
        <f>VLOOKUP(M145,материалы!$A$5:$G$31,7, FALSE)</f>
        <v>65.599999999999994</v>
      </c>
      <c r="P145" s="160">
        <v>1E-3</v>
      </c>
      <c r="Q145" s="160">
        <f t="shared" si="51"/>
        <v>7.0000000000000007E-2</v>
      </c>
      <c r="R145" s="160"/>
      <c r="S145" s="160"/>
      <c r="T145" s="162"/>
      <c r="U145" s="162"/>
      <c r="V145" s="162"/>
      <c r="W145" s="162"/>
      <c r="X145" s="78"/>
    </row>
    <row r="146" spans="1:24" ht="15.75" hidden="1" customHeight="1" outlineLevel="1" x14ac:dyDescent="0.25">
      <c r="A146" s="158"/>
      <c r="B146" s="161"/>
      <c r="C146" s="216"/>
      <c r="D146" s="216"/>
      <c r="E146" s="156"/>
      <c r="F146" s="163"/>
      <c r="G146" s="167"/>
      <c r="H146" s="160"/>
      <c r="I146" s="172"/>
      <c r="J146" s="160"/>
      <c r="K146" s="160"/>
      <c r="L146" s="160"/>
      <c r="M146" s="97" t="s">
        <v>330</v>
      </c>
      <c r="N146" s="98" t="str">
        <f>VLOOKUP(M146,материалы!$A$5:$G$31,5, FALSE)</f>
        <v>кг</v>
      </c>
      <c r="O146" s="160">
        <f>VLOOKUP(M146,материалы!$A$5:$G$31,7, FALSE)</f>
        <v>39.82</v>
      </c>
      <c r="P146" s="160">
        <v>0.01</v>
      </c>
      <c r="Q146" s="160">
        <f t="shared" si="51"/>
        <v>0.4</v>
      </c>
      <c r="R146" s="160"/>
      <c r="S146" s="160"/>
      <c r="T146" s="162"/>
      <c r="U146" s="162"/>
      <c r="V146" s="162"/>
      <c r="W146" s="162"/>
      <c r="X146" s="78"/>
    </row>
    <row r="147" spans="1:24" ht="17.25" hidden="1" customHeight="1" x14ac:dyDescent="0.25">
      <c r="A147" s="590" t="s">
        <v>468</v>
      </c>
      <c r="B147" s="593" t="s">
        <v>223</v>
      </c>
      <c r="C147" s="216"/>
      <c r="D147" s="216"/>
      <c r="E147" s="589" t="s">
        <v>60</v>
      </c>
      <c r="F147" s="609" t="s">
        <v>222</v>
      </c>
      <c r="G147" s="167" t="s">
        <v>162</v>
      </c>
      <c r="H147" s="160">
        <f>VLOOKUP(G147,'условия, ФОТ'!$A$14:$I$32,9, FALSE)</f>
        <v>164.09</v>
      </c>
      <c r="I147" s="172">
        <f>0.72+1.2</f>
        <v>1.92</v>
      </c>
      <c r="J147" s="592">
        <f>ROUND((H147*I147+H148*I148),2)</f>
        <v>441.4</v>
      </c>
      <c r="K147" s="592">
        <f>ROUND(J147*$K$7,2)</f>
        <v>133.30000000000001</v>
      </c>
      <c r="L147" s="592">
        <f t="shared" si="29"/>
        <v>574.70000000000005</v>
      </c>
      <c r="M147" s="591"/>
      <c r="N147" s="592"/>
      <c r="O147" s="592"/>
      <c r="P147" s="592"/>
      <c r="Q147" s="592">
        <f>SUM(Q149:Q155)</f>
        <v>78.88</v>
      </c>
      <c r="R147" s="592">
        <f t="shared" si="33"/>
        <v>653.58000000000004</v>
      </c>
      <c r="S147" s="592">
        <f>ROUND(R147*$S$7,2)</f>
        <v>798.02</v>
      </c>
      <c r="T147" s="596">
        <f>ROUND(V147/1.2,2)</f>
        <v>1596.67</v>
      </c>
      <c r="U147" s="596">
        <f>ROUND(T147*$U$7,2)</f>
        <v>319.33</v>
      </c>
      <c r="V147" s="596">
        <f>ROUND((R147+S147)*(1+$T$7)*1.2,0)</f>
        <v>1916</v>
      </c>
      <c r="W147" s="596">
        <v>1405</v>
      </c>
      <c r="X147" s="601">
        <f t="shared" si="0"/>
        <v>36.370106761565836</v>
      </c>
    </row>
    <row r="148" spans="1:24" ht="26.25" hidden="1" customHeight="1" x14ac:dyDescent="0.25">
      <c r="A148" s="590"/>
      <c r="B148" s="593"/>
      <c r="C148" s="216"/>
      <c r="D148" s="216"/>
      <c r="E148" s="589"/>
      <c r="F148" s="609"/>
      <c r="G148" s="167" t="s">
        <v>166</v>
      </c>
      <c r="H148" s="160">
        <f>VLOOKUP(G148,'условия, ФОТ'!$A$14:$I$32,9, FALSE)</f>
        <v>185.8</v>
      </c>
      <c r="I148" s="172">
        <v>0.68</v>
      </c>
      <c r="J148" s="592">
        <f t="shared" si="49"/>
        <v>126.34</v>
      </c>
      <c r="K148" s="592">
        <f>ROUND(J148*$K$7,2)</f>
        <v>38.15</v>
      </c>
      <c r="L148" s="592">
        <f t="shared" si="29"/>
        <v>164.49</v>
      </c>
      <c r="M148" s="591"/>
      <c r="N148" s="592"/>
      <c r="O148" s="592"/>
      <c r="P148" s="592"/>
      <c r="Q148" s="592"/>
      <c r="R148" s="592">
        <f t="shared" si="33"/>
        <v>164.49</v>
      </c>
      <c r="S148" s="592">
        <f>ROUND(R148*$S$7,2)</f>
        <v>200.84</v>
      </c>
      <c r="T148" s="596">
        <f t="shared" ref="T148" si="52">ROUND(V148/1.18,2)</f>
        <v>401.69</v>
      </c>
      <c r="U148" s="596">
        <f>ROUND(T148*$U$7,2)</f>
        <v>80.34</v>
      </c>
      <c r="V148" s="596">
        <f>ROUND((R148+S148)*(1+$T$7)*1.18,0)</f>
        <v>474</v>
      </c>
      <c r="W148" s="596"/>
      <c r="X148" s="601"/>
    </row>
    <row r="149" spans="1:24" ht="19.5" hidden="1" customHeight="1" outlineLevel="1" x14ac:dyDescent="0.25">
      <c r="A149" s="158"/>
      <c r="B149" s="161"/>
      <c r="C149" s="216"/>
      <c r="D149" s="216"/>
      <c r="E149" s="156"/>
      <c r="F149" s="163"/>
      <c r="G149" s="167"/>
      <c r="H149" s="160"/>
      <c r="I149" s="172"/>
      <c r="J149" s="160"/>
      <c r="K149" s="160"/>
      <c r="L149" s="96" t="s">
        <v>366</v>
      </c>
      <c r="M149" s="104" t="s">
        <v>324</v>
      </c>
      <c r="N149" s="98" t="str">
        <f>VLOOKUP(M149,материалы!$A$5:$G$31,5, FALSE)</f>
        <v>м3</v>
      </c>
      <c r="O149" s="160">
        <f>VLOOKUP(M149,материалы!$A$5:$G$31,7, FALSE)</f>
        <v>54.61</v>
      </c>
      <c r="P149" s="160">
        <v>0.15</v>
      </c>
      <c r="Q149" s="160">
        <f t="shared" ref="Q149:Q155" si="53">ROUND(O149*P149,2)</f>
        <v>8.19</v>
      </c>
      <c r="R149" s="160"/>
      <c r="S149" s="160"/>
      <c r="T149" s="162"/>
      <c r="U149" s="162"/>
      <c r="V149" s="162"/>
      <c r="W149" s="162"/>
      <c r="X149" s="78"/>
    </row>
    <row r="150" spans="1:24" ht="19.5" hidden="1" customHeight="1" outlineLevel="1" x14ac:dyDescent="0.25">
      <c r="A150" s="158"/>
      <c r="B150" s="161"/>
      <c r="C150" s="216"/>
      <c r="D150" s="216"/>
      <c r="E150" s="156"/>
      <c r="F150" s="163"/>
      <c r="G150" s="167"/>
      <c r="H150" s="160"/>
      <c r="I150" s="172"/>
      <c r="J150" s="160"/>
      <c r="K150" s="160"/>
      <c r="L150" s="160"/>
      <c r="M150" s="104" t="s">
        <v>323</v>
      </c>
      <c r="N150" s="98" t="str">
        <f>VLOOKUP(M150,материалы!$A$5:$G$31,5, FALSE)</f>
        <v>м3</v>
      </c>
      <c r="O150" s="160">
        <f>VLOOKUP(M150,материалы!$A$5:$G$31,7, FALSE)</f>
        <v>379.24</v>
      </c>
      <c r="P150" s="172">
        <v>8.7499999999999994E-2</v>
      </c>
      <c r="Q150" s="160">
        <f t="shared" si="53"/>
        <v>33.18</v>
      </c>
      <c r="R150" s="160"/>
      <c r="S150" s="160"/>
      <c r="T150" s="162"/>
      <c r="U150" s="162"/>
      <c r="V150" s="162"/>
      <c r="W150" s="162"/>
      <c r="X150" s="78"/>
    </row>
    <row r="151" spans="1:24" ht="36" hidden="1" customHeight="1" outlineLevel="1" x14ac:dyDescent="0.25">
      <c r="A151" s="158"/>
      <c r="B151" s="161"/>
      <c r="C151" s="216"/>
      <c r="D151" s="216"/>
      <c r="E151" s="156"/>
      <c r="F151" s="163"/>
      <c r="G151" s="167"/>
      <c r="H151" s="160"/>
      <c r="I151" s="172"/>
      <c r="J151" s="160"/>
      <c r="K151" s="160"/>
      <c r="L151" s="160"/>
      <c r="M151" s="104" t="s">
        <v>341</v>
      </c>
      <c r="N151" s="98" t="str">
        <f>VLOOKUP(M151,материалы!$A$5:$G$31,5, FALSE)</f>
        <v>кг</v>
      </c>
      <c r="O151" s="160">
        <f>VLOOKUP(M151,материалы!$A$5:$G$31,7, FALSE)</f>
        <v>44.94</v>
      </c>
      <c r="P151" s="160">
        <v>0.1</v>
      </c>
      <c r="Q151" s="160">
        <f t="shared" si="53"/>
        <v>4.49</v>
      </c>
      <c r="R151" s="160"/>
      <c r="S151" s="160"/>
      <c r="T151" s="162"/>
      <c r="U151" s="162"/>
      <c r="V151" s="162"/>
      <c r="W151" s="162"/>
      <c r="X151" s="78"/>
    </row>
    <row r="152" spans="1:24" ht="24.75" hidden="1" customHeight="1" outlineLevel="1" x14ac:dyDescent="0.25">
      <c r="A152" s="158"/>
      <c r="B152" s="161"/>
      <c r="C152" s="216"/>
      <c r="D152" s="216"/>
      <c r="E152" s="156"/>
      <c r="F152" s="163"/>
      <c r="G152" s="167"/>
      <c r="H152" s="160"/>
      <c r="I152" s="172"/>
      <c r="J152" s="160"/>
      <c r="K152" s="160"/>
      <c r="L152" s="160"/>
      <c r="M152" s="104" t="s">
        <v>342</v>
      </c>
      <c r="N152" s="98" t="str">
        <f>VLOOKUP(M152,материалы!$A$5:$G$31,5, FALSE)</f>
        <v>шт.</v>
      </c>
      <c r="O152" s="160">
        <f>VLOOKUP(M152,материалы!$A$5:$G$31,7, FALSE)</f>
        <v>30.94</v>
      </c>
      <c r="P152" s="160">
        <v>0.25</v>
      </c>
      <c r="Q152" s="160">
        <f t="shared" si="53"/>
        <v>7.74</v>
      </c>
      <c r="R152" s="160"/>
      <c r="S152" s="160"/>
      <c r="T152" s="162"/>
      <c r="U152" s="162"/>
      <c r="V152" s="162"/>
      <c r="W152" s="162"/>
      <c r="X152" s="78"/>
    </row>
    <row r="153" spans="1:24" ht="28.5" hidden="1" customHeight="1" outlineLevel="1" x14ac:dyDescent="0.25">
      <c r="A153" s="158"/>
      <c r="B153" s="161"/>
      <c r="C153" s="216"/>
      <c r="D153" s="216"/>
      <c r="E153" s="156"/>
      <c r="F153" s="163"/>
      <c r="G153" s="167"/>
      <c r="H153" s="160"/>
      <c r="I153" s="172"/>
      <c r="J153" s="160"/>
      <c r="K153" s="160"/>
      <c r="L153" s="160"/>
      <c r="M153" s="121" t="s">
        <v>346</v>
      </c>
      <c r="N153" s="98" t="str">
        <f>VLOOKUP(M153,материалы!$A$5:$G$31,5, FALSE)</f>
        <v>шт.</v>
      </c>
      <c r="O153" s="160">
        <f>VLOOKUP(M153,материалы!$A$5:$G$31,7, FALSE)</f>
        <v>24.810000000000002</v>
      </c>
      <c r="P153" s="160">
        <v>1</v>
      </c>
      <c r="Q153" s="160">
        <f t="shared" si="53"/>
        <v>24.81</v>
      </c>
      <c r="R153" s="160"/>
      <c r="S153" s="160"/>
      <c r="T153" s="162"/>
      <c r="U153" s="162"/>
      <c r="V153" s="162"/>
      <c r="W153" s="162"/>
      <c r="X153" s="78"/>
    </row>
    <row r="154" spans="1:24" ht="19.5" hidden="1" customHeight="1" outlineLevel="1" x14ac:dyDescent="0.25">
      <c r="A154" s="158"/>
      <c r="B154" s="161"/>
      <c r="C154" s="216"/>
      <c r="D154" s="216"/>
      <c r="E154" s="156"/>
      <c r="F154" s="163"/>
      <c r="G154" s="167"/>
      <c r="H154" s="160"/>
      <c r="I154" s="172"/>
      <c r="J154" s="160"/>
      <c r="K154" s="160"/>
      <c r="L154" s="160"/>
      <c r="M154" s="97" t="s">
        <v>329</v>
      </c>
      <c r="N154" s="98" t="str">
        <f>VLOOKUP(M154,материалы!$A$5:$G$31,5, FALSE)</f>
        <v>кг</v>
      </c>
      <c r="O154" s="160">
        <f>VLOOKUP(M154,материалы!$A$5:$G$31,7, FALSE)</f>
        <v>65.599999999999994</v>
      </c>
      <c r="P154" s="160">
        <v>1E-3</v>
      </c>
      <c r="Q154" s="160">
        <f t="shared" si="53"/>
        <v>7.0000000000000007E-2</v>
      </c>
      <c r="R154" s="160"/>
      <c r="S154" s="160"/>
      <c r="T154" s="162"/>
      <c r="U154" s="162"/>
      <c r="V154" s="162"/>
      <c r="W154" s="162"/>
      <c r="X154" s="78"/>
    </row>
    <row r="155" spans="1:24" ht="19.5" hidden="1" customHeight="1" outlineLevel="1" x14ac:dyDescent="0.25">
      <c r="A155" s="158"/>
      <c r="B155" s="161"/>
      <c r="C155" s="216"/>
      <c r="D155" s="216"/>
      <c r="E155" s="156"/>
      <c r="F155" s="163"/>
      <c r="G155" s="167"/>
      <c r="H155" s="160"/>
      <c r="I155" s="172"/>
      <c r="J155" s="160"/>
      <c r="K155" s="160"/>
      <c r="L155" s="160"/>
      <c r="M155" s="97" t="s">
        <v>330</v>
      </c>
      <c r="N155" s="98" t="str">
        <f>VLOOKUP(M155,материалы!$A$5:$G$31,5, FALSE)</f>
        <v>кг</v>
      </c>
      <c r="O155" s="160">
        <f>VLOOKUP(M155,материалы!$A$5:$G$31,7, FALSE)</f>
        <v>39.82</v>
      </c>
      <c r="P155" s="160">
        <v>0.01</v>
      </c>
      <c r="Q155" s="160">
        <f t="shared" si="53"/>
        <v>0.4</v>
      </c>
      <c r="R155" s="160"/>
      <c r="S155" s="160"/>
      <c r="T155" s="162"/>
      <c r="U155" s="162"/>
      <c r="V155" s="162"/>
      <c r="W155" s="162"/>
      <c r="X155" s="78"/>
    </row>
    <row r="156" spans="1:24" hidden="1" x14ac:dyDescent="0.25">
      <c r="A156" s="158" t="s">
        <v>469</v>
      </c>
      <c r="B156" s="158" t="s">
        <v>224</v>
      </c>
      <c r="C156" s="210"/>
      <c r="D156" s="210"/>
      <c r="E156" s="156" t="s">
        <v>231</v>
      </c>
      <c r="F156" s="160" t="s">
        <v>177</v>
      </c>
      <c r="G156" s="167" t="s">
        <v>162</v>
      </c>
      <c r="H156" s="160">
        <f>VLOOKUP(G156,'условия, ФОТ'!$A$14:$I$32,9, FALSE)</f>
        <v>164.09</v>
      </c>
      <c r="I156" s="172">
        <v>0.5</v>
      </c>
      <c r="J156" s="160">
        <f t="shared" si="31"/>
        <v>82.05</v>
      </c>
      <c r="K156" s="160">
        <f t="shared" ref="K156:K187" si="54">ROUND(J156*$K$7,2)</f>
        <v>24.78</v>
      </c>
      <c r="L156" s="160">
        <f t="shared" si="29"/>
        <v>106.83</v>
      </c>
      <c r="M156" s="159"/>
      <c r="N156" s="160"/>
      <c r="O156" s="160"/>
      <c r="P156" s="160"/>
      <c r="Q156" s="160"/>
      <c r="R156" s="160">
        <f t="shared" si="33"/>
        <v>106.83</v>
      </c>
      <c r="S156" s="160">
        <f t="shared" ref="S156:S187" si="55">ROUND(R156*$S$7,2)</f>
        <v>130.44</v>
      </c>
      <c r="T156" s="162">
        <f>ROUND(V156/1.2,2)</f>
        <v>260.83</v>
      </c>
      <c r="U156" s="162">
        <f t="shared" ref="U156:U187" si="56">ROUND(T156*$U$7,2)</f>
        <v>52.17</v>
      </c>
      <c r="V156" s="162">
        <f t="shared" ref="V156:V187" si="57">ROUND((R156+S156)*(1+$T$7)*1.2,0)</f>
        <v>313</v>
      </c>
      <c r="W156" s="162">
        <v>207</v>
      </c>
      <c r="X156" s="78">
        <f t="shared" si="0"/>
        <v>51.207729468599041</v>
      </c>
    </row>
    <row r="157" spans="1:24" hidden="1" x14ac:dyDescent="0.25">
      <c r="A157" s="158" t="s">
        <v>471</v>
      </c>
      <c r="B157" s="158" t="s">
        <v>225</v>
      </c>
      <c r="C157" s="210"/>
      <c r="D157" s="210"/>
      <c r="E157" s="156" t="s">
        <v>61</v>
      </c>
      <c r="F157" s="160" t="s">
        <v>232</v>
      </c>
      <c r="G157" s="167" t="s">
        <v>162</v>
      </c>
      <c r="H157" s="160">
        <f>VLOOKUP(G157,'условия, ФОТ'!$A$14:$I$32,9, FALSE)</f>
        <v>164.09</v>
      </c>
      <c r="I157" s="172">
        <v>1.1000000000000001</v>
      </c>
      <c r="J157" s="160">
        <f t="shared" si="31"/>
        <v>180.5</v>
      </c>
      <c r="K157" s="160">
        <f t="shared" si="54"/>
        <v>54.51</v>
      </c>
      <c r="L157" s="160">
        <f t="shared" si="29"/>
        <v>235.01</v>
      </c>
      <c r="M157" s="159"/>
      <c r="N157" s="160"/>
      <c r="O157" s="160"/>
      <c r="P157" s="160"/>
      <c r="Q157" s="160"/>
      <c r="R157" s="160">
        <f t="shared" si="33"/>
        <v>235.01</v>
      </c>
      <c r="S157" s="160">
        <f t="shared" si="55"/>
        <v>286.95</v>
      </c>
      <c r="T157" s="162">
        <f t="shared" ref="T157:T205" si="58">ROUND(V157/1.2,2)</f>
        <v>574.16999999999996</v>
      </c>
      <c r="U157" s="162">
        <f t="shared" si="56"/>
        <v>114.83</v>
      </c>
      <c r="V157" s="162">
        <f t="shared" si="57"/>
        <v>689</v>
      </c>
      <c r="W157" s="162">
        <v>455</v>
      </c>
      <c r="X157" s="78">
        <f t="shared" si="0"/>
        <v>51.428571428571416</v>
      </c>
    </row>
    <row r="158" spans="1:24" hidden="1" x14ac:dyDescent="0.25">
      <c r="A158" s="158" t="s">
        <v>470</v>
      </c>
      <c r="B158" s="158" t="s">
        <v>233</v>
      </c>
      <c r="C158" s="210"/>
      <c r="D158" s="210"/>
      <c r="E158" s="156" t="s">
        <v>62</v>
      </c>
      <c r="F158" s="160" t="s">
        <v>190</v>
      </c>
      <c r="G158" s="167" t="s">
        <v>162</v>
      </c>
      <c r="H158" s="160">
        <f>VLOOKUP(G158,'условия, ФОТ'!$A$14:$I$32,9, FALSE)</f>
        <v>164.09</v>
      </c>
      <c r="I158" s="172">
        <v>0.6</v>
      </c>
      <c r="J158" s="160">
        <f t="shared" si="31"/>
        <v>98.45</v>
      </c>
      <c r="K158" s="160">
        <f t="shared" si="54"/>
        <v>29.73</v>
      </c>
      <c r="L158" s="160">
        <f t="shared" si="29"/>
        <v>128.18</v>
      </c>
      <c r="M158" s="159"/>
      <c r="N158" s="160"/>
      <c r="O158" s="160"/>
      <c r="P158" s="160"/>
      <c r="Q158" s="160"/>
      <c r="R158" s="160">
        <f t="shared" si="33"/>
        <v>128.18</v>
      </c>
      <c r="S158" s="160">
        <f t="shared" si="55"/>
        <v>156.51</v>
      </c>
      <c r="T158" s="162">
        <f t="shared" si="58"/>
        <v>313.33</v>
      </c>
      <c r="U158" s="162">
        <f t="shared" si="56"/>
        <v>62.67</v>
      </c>
      <c r="V158" s="162">
        <f t="shared" si="57"/>
        <v>376</v>
      </c>
      <c r="W158" s="162">
        <v>248</v>
      </c>
      <c r="X158" s="78">
        <f t="shared" si="0"/>
        <v>51.612903225806463</v>
      </c>
    </row>
    <row r="159" spans="1:24" hidden="1" x14ac:dyDescent="0.25">
      <c r="A159" s="158" t="s">
        <v>472</v>
      </c>
      <c r="B159" s="158" t="s">
        <v>347</v>
      </c>
      <c r="C159" s="210"/>
      <c r="D159" s="210"/>
      <c r="E159" s="171" t="s">
        <v>63</v>
      </c>
      <c r="F159" s="160" t="s">
        <v>190</v>
      </c>
      <c r="G159" s="167" t="s">
        <v>162</v>
      </c>
      <c r="H159" s="160">
        <f>VLOOKUP(G159,'условия, ФОТ'!$A$14:$I$32,9, FALSE)</f>
        <v>164.09</v>
      </c>
      <c r="I159" s="172">
        <v>1</v>
      </c>
      <c r="J159" s="160">
        <f t="shared" si="31"/>
        <v>164.09</v>
      </c>
      <c r="K159" s="160">
        <f t="shared" si="54"/>
        <v>49.56</v>
      </c>
      <c r="L159" s="160">
        <f t="shared" si="29"/>
        <v>213.65</v>
      </c>
      <c r="M159" s="159"/>
      <c r="N159" s="160"/>
      <c r="O159" s="160"/>
      <c r="P159" s="160"/>
      <c r="Q159" s="160"/>
      <c r="R159" s="160">
        <f t="shared" si="33"/>
        <v>213.65</v>
      </c>
      <c r="S159" s="160">
        <f t="shared" si="55"/>
        <v>260.87</v>
      </c>
      <c r="T159" s="162">
        <f t="shared" si="58"/>
        <v>521.66999999999996</v>
      </c>
      <c r="U159" s="162">
        <f t="shared" si="56"/>
        <v>104.33</v>
      </c>
      <c r="V159" s="162">
        <f t="shared" si="57"/>
        <v>626</v>
      </c>
      <c r="W159" s="162">
        <v>413</v>
      </c>
      <c r="X159" s="78">
        <f t="shared" si="0"/>
        <v>51.573849878934624</v>
      </c>
    </row>
    <row r="160" spans="1:24" hidden="1" x14ac:dyDescent="0.25">
      <c r="A160" s="158" t="s">
        <v>473</v>
      </c>
      <c r="B160" s="158" t="s">
        <v>234</v>
      </c>
      <c r="C160" s="210"/>
      <c r="D160" s="210"/>
      <c r="E160" s="156" t="s">
        <v>64</v>
      </c>
      <c r="F160" s="160" t="s">
        <v>236</v>
      </c>
      <c r="G160" s="167" t="s">
        <v>162</v>
      </c>
      <c r="H160" s="160">
        <f>VLOOKUP(G160,'условия, ФОТ'!$A$14:$I$32,9, FALSE)</f>
        <v>164.09</v>
      </c>
      <c r="I160" s="172">
        <v>0.7</v>
      </c>
      <c r="J160" s="160">
        <f t="shared" si="31"/>
        <v>114.86</v>
      </c>
      <c r="K160" s="160">
        <f t="shared" si="54"/>
        <v>34.69</v>
      </c>
      <c r="L160" s="160">
        <f t="shared" si="29"/>
        <v>149.55000000000001</v>
      </c>
      <c r="M160" s="159"/>
      <c r="N160" s="160"/>
      <c r="O160" s="160"/>
      <c r="P160" s="160"/>
      <c r="Q160" s="160"/>
      <c r="R160" s="160">
        <f t="shared" si="33"/>
        <v>149.55000000000001</v>
      </c>
      <c r="S160" s="160">
        <f t="shared" si="55"/>
        <v>182.6</v>
      </c>
      <c r="T160" s="162">
        <f t="shared" si="58"/>
        <v>365</v>
      </c>
      <c r="U160" s="162">
        <f t="shared" si="56"/>
        <v>73</v>
      </c>
      <c r="V160" s="162">
        <f t="shared" si="57"/>
        <v>438</v>
      </c>
      <c r="W160" s="162">
        <v>289</v>
      </c>
      <c r="X160" s="78">
        <f t="shared" si="0"/>
        <v>51.55709342560553</v>
      </c>
    </row>
    <row r="161" spans="1:24" hidden="1" x14ac:dyDescent="0.25">
      <c r="A161" s="158" t="s">
        <v>474</v>
      </c>
      <c r="B161" s="158" t="s">
        <v>235</v>
      </c>
      <c r="C161" s="210"/>
      <c r="D161" s="210"/>
      <c r="E161" s="156" t="s">
        <v>65</v>
      </c>
      <c r="F161" s="160" t="s">
        <v>236</v>
      </c>
      <c r="G161" s="167" t="s">
        <v>162</v>
      </c>
      <c r="H161" s="160">
        <f>VLOOKUP(G161,'условия, ФОТ'!$A$14:$I$32,9, FALSE)</f>
        <v>164.09</v>
      </c>
      <c r="I161" s="172">
        <v>0.4</v>
      </c>
      <c r="J161" s="160">
        <f t="shared" si="31"/>
        <v>65.64</v>
      </c>
      <c r="K161" s="160">
        <f t="shared" si="54"/>
        <v>19.82</v>
      </c>
      <c r="L161" s="160">
        <f t="shared" si="29"/>
        <v>85.460000000000008</v>
      </c>
      <c r="M161" s="159"/>
      <c r="N161" s="160"/>
      <c r="O161" s="160"/>
      <c r="P161" s="160"/>
      <c r="Q161" s="160"/>
      <c r="R161" s="160">
        <f t="shared" si="33"/>
        <v>85.460000000000008</v>
      </c>
      <c r="S161" s="160">
        <f t="shared" si="55"/>
        <v>104.35</v>
      </c>
      <c r="T161" s="162">
        <f t="shared" si="58"/>
        <v>209.17</v>
      </c>
      <c r="U161" s="162">
        <f t="shared" si="56"/>
        <v>41.83</v>
      </c>
      <c r="V161" s="162">
        <f t="shared" si="57"/>
        <v>251</v>
      </c>
      <c r="W161" s="162">
        <v>165</v>
      </c>
      <c r="X161" s="78">
        <f t="shared" si="0"/>
        <v>52.121212121212125</v>
      </c>
    </row>
    <row r="162" spans="1:24" ht="26.25" hidden="1" customHeight="1" x14ac:dyDescent="0.25">
      <c r="A162" s="158" t="s">
        <v>475</v>
      </c>
      <c r="B162" s="158" t="s">
        <v>237</v>
      </c>
      <c r="C162" s="210"/>
      <c r="D162" s="210"/>
      <c r="E162" s="156" t="s">
        <v>66</v>
      </c>
      <c r="F162" s="160" t="s">
        <v>238</v>
      </c>
      <c r="G162" s="167" t="s">
        <v>162</v>
      </c>
      <c r="H162" s="160">
        <f>VLOOKUP(G162,'условия, ФОТ'!$A$14:$I$32,9, FALSE)</f>
        <v>164.09</v>
      </c>
      <c r="I162" s="172">
        <v>0.4</v>
      </c>
      <c r="J162" s="160">
        <f t="shared" si="31"/>
        <v>65.64</v>
      </c>
      <c r="K162" s="160">
        <f t="shared" si="54"/>
        <v>19.82</v>
      </c>
      <c r="L162" s="160">
        <f t="shared" si="29"/>
        <v>85.460000000000008</v>
      </c>
      <c r="M162" s="159"/>
      <c r="N162" s="160"/>
      <c r="O162" s="160"/>
      <c r="P162" s="160"/>
      <c r="Q162" s="160"/>
      <c r="R162" s="160">
        <f t="shared" si="33"/>
        <v>85.460000000000008</v>
      </c>
      <c r="S162" s="160">
        <f t="shared" si="55"/>
        <v>104.35</v>
      </c>
      <c r="T162" s="162">
        <f t="shared" si="58"/>
        <v>209.17</v>
      </c>
      <c r="U162" s="162">
        <f t="shared" si="56"/>
        <v>41.83</v>
      </c>
      <c r="V162" s="162">
        <f t="shared" si="57"/>
        <v>251</v>
      </c>
      <c r="W162" s="162">
        <v>165</v>
      </c>
      <c r="X162" s="78">
        <f t="shared" si="0"/>
        <v>52.121212121212125</v>
      </c>
    </row>
    <row r="163" spans="1:24" hidden="1" x14ac:dyDescent="0.25">
      <c r="A163" s="158" t="s">
        <v>476</v>
      </c>
      <c r="B163" s="158" t="s">
        <v>239</v>
      </c>
      <c r="C163" s="210"/>
      <c r="D163" s="210"/>
      <c r="E163" s="156" t="s">
        <v>67</v>
      </c>
      <c r="F163" s="160" t="s">
        <v>240</v>
      </c>
      <c r="G163" s="167" t="s">
        <v>162</v>
      </c>
      <c r="H163" s="160">
        <f>VLOOKUP(G163,'условия, ФОТ'!$A$14:$I$32,9, FALSE)</f>
        <v>164.09</v>
      </c>
      <c r="I163" s="172">
        <v>0.24</v>
      </c>
      <c r="J163" s="160">
        <f t="shared" si="31"/>
        <v>39.380000000000003</v>
      </c>
      <c r="K163" s="160">
        <f t="shared" si="54"/>
        <v>11.89</v>
      </c>
      <c r="L163" s="160">
        <f t="shared" si="29"/>
        <v>51.27</v>
      </c>
      <c r="M163" s="159"/>
      <c r="N163" s="160"/>
      <c r="O163" s="160"/>
      <c r="P163" s="160"/>
      <c r="Q163" s="160"/>
      <c r="R163" s="160">
        <f t="shared" si="33"/>
        <v>51.27</v>
      </c>
      <c r="S163" s="160">
        <f t="shared" si="55"/>
        <v>62.6</v>
      </c>
      <c r="T163" s="162">
        <f t="shared" si="58"/>
        <v>125</v>
      </c>
      <c r="U163" s="162">
        <f t="shared" si="56"/>
        <v>25</v>
      </c>
      <c r="V163" s="162">
        <f t="shared" si="57"/>
        <v>150</v>
      </c>
      <c r="W163" s="162">
        <v>99</v>
      </c>
      <c r="X163" s="78">
        <f t="shared" si="0"/>
        <v>51.515151515151501</v>
      </c>
    </row>
    <row r="164" spans="1:24" ht="27" hidden="1" customHeight="1" x14ac:dyDescent="0.25">
      <c r="A164" s="158" t="s">
        <v>477</v>
      </c>
      <c r="B164" s="158" t="s">
        <v>241</v>
      </c>
      <c r="C164" s="210"/>
      <c r="D164" s="210"/>
      <c r="E164" s="156" t="s">
        <v>68</v>
      </c>
      <c r="F164" s="160" t="s">
        <v>190</v>
      </c>
      <c r="G164" s="167" t="s">
        <v>162</v>
      </c>
      <c r="H164" s="160">
        <f>VLOOKUP(G164,'условия, ФОТ'!$A$14:$I$32,9, FALSE)</f>
        <v>164.09</v>
      </c>
      <c r="I164" s="172">
        <v>0.2</v>
      </c>
      <c r="J164" s="160">
        <f t="shared" si="31"/>
        <v>32.82</v>
      </c>
      <c r="K164" s="160">
        <f t="shared" si="54"/>
        <v>9.91</v>
      </c>
      <c r="L164" s="160">
        <f t="shared" si="29"/>
        <v>42.730000000000004</v>
      </c>
      <c r="M164" s="159"/>
      <c r="N164" s="160"/>
      <c r="O164" s="160"/>
      <c r="P164" s="160"/>
      <c r="Q164" s="160"/>
      <c r="R164" s="160">
        <f t="shared" si="33"/>
        <v>42.730000000000004</v>
      </c>
      <c r="S164" s="160">
        <f t="shared" si="55"/>
        <v>52.17</v>
      </c>
      <c r="T164" s="162">
        <f t="shared" si="58"/>
        <v>104.17</v>
      </c>
      <c r="U164" s="162">
        <f t="shared" si="56"/>
        <v>20.83</v>
      </c>
      <c r="V164" s="162">
        <f t="shared" si="57"/>
        <v>125</v>
      </c>
      <c r="W164" s="162">
        <v>83</v>
      </c>
      <c r="X164" s="78">
        <f t="shared" si="0"/>
        <v>50.602409638554235</v>
      </c>
    </row>
    <row r="165" spans="1:24" hidden="1" x14ac:dyDescent="0.25">
      <c r="A165" s="158" t="s">
        <v>478</v>
      </c>
      <c r="B165" s="158" t="s">
        <v>242</v>
      </c>
      <c r="C165" s="210"/>
      <c r="D165" s="210"/>
      <c r="E165" s="156" t="s">
        <v>69</v>
      </c>
      <c r="F165" s="160" t="s">
        <v>190</v>
      </c>
      <c r="G165" s="167" t="s">
        <v>162</v>
      </c>
      <c r="H165" s="160">
        <f>VLOOKUP(G165,'условия, ФОТ'!$A$14:$I$32,9, FALSE)</f>
        <v>164.09</v>
      </c>
      <c r="I165" s="172">
        <v>0.25</v>
      </c>
      <c r="J165" s="160">
        <f t="shared" si="31"/>
        <v>41.02</v>
      </c>
      <c r="K165" s="160">
        <f t="shared" si="54"/>
        <v>12.39</v>
      </c>
      <c r="L165" s="160">
        <f t="shared" si="29"/>
        <v>53.410000000000004</v>
      </c>
      <c r="M165" s="159"/>
      <c r="N165" s="160"/>
      <c r="O165" s="160"/>
      <c r="P165" s="160"/>
      <c r="Q165" s="160"/>
      <c r="R165" s="160">
        <f t="shared" si="33"/>
        <v>53.410000000000004</v>
      </c>
      <c r="S165" s="160">
        <f t="shared" si="55"/>
        <v>65.209999999999994</v>
      </c>
      <c r="T165" s="162">
        <f t="shared" si="58"/>
        <v>130.83000000000001</v>
      </c>
      <c r="U165" s="162">
        <f t="shared" si="56"/>
        <v>26.17</v>
      </c>
      <c r="V165" s="162">
        <f t="shared" si="57"/>
        <v>157</v>
      </c>
      <c r="W165" s="162">
        <v>103</v>
      </c>
      <c r="X165" s="78">
        <f t="shared" si="0"/>
        <v>52.427184466019412</v>
      </c>
    </row>
    <row r="166" spans="1:24" hidden="1" x14ac:dyDescent="0.25">
      <c r="A166" s="158" t="s">
        <v>479</v>
      </c>
      <c r="B166" s="158" t="s">
        <v>243</v>
      </c>
      <c r="C166" s="210"/>
      <c r="D166" s="210"/>
      <c r="E166" s="156" t="s">
        <v>70</v>
      </c>
      <c r="F166" s="160" t="s">
        <v>244</v>
      </c>
      <c r="G166" s="167" t="s">
        <v>162</v>
      </c>
      <c r="H166" s="160">
        <f>VLOOKUP(G166,'условия, ФОТ'!$A$14:$I$32,9, FALSE)</f>
        <v>164.09</v>
      </c>
      <c r="I166" s="172">
        <v>1</v>
      </c>
      <c r="J166" s="160">
        <f t="shared" si="31"/>
        <v>164.09</v>
      </c>
      <c r="K166" s="160">
        <f t="shared" si="54"/>
        <v>49.56</v>
      </c>
      <c r="L166" s="160">
        <f t="shared" si="29"/>
        <v>213.65</v>
      </c>
      <c r="M166" s="159"/>
      <c r="N166" s="160"/>
      <c r="O166" s="160"/>
      <c r="P166" s="160"/>
      <c r="Q166" s="160"/>
      <c r="R166" s="160">
        <f t="shared" si="33"/>
        <v>213.65</v>
      </c>
      <c r="S166" s="160">
        <f t="shared" si="55"/>
        <v>260.87</v>
      </c>
      <c r="T166" s="162">
        <f t="shared" si="58"/>
        <v>521.66999999999996</v>
      </c>
      <c r="U166" s="162">
        <f t="shared" si="56"/>
        <v>104.33</v>
      </c>
      <c r="V166" s="162">
        <f t="shared" si="57"/>
        <v>626</v>
      </c>
      <c r="W166" s="162">
        <v>413</v>
      </c>
      <c r="X166" s="78">
        <f t="shared" si="0"/>
        <v>51.573849878934624</v>
      </c>
    </row>
    <row r="167" spans="1:24" hidden="1" x14ac:dyDescent="0.25">
      <c r="A167" s="158" t="s">
        <v>480</v>
      </c>
      <c r="B167" s="158" t="s">
        <v>246</v>
      </c>
      <c r="C167" s="210"/>
      <c r="D167" s="210"/>
      <c r="E167" s="156" t="s">
        <v>71</v>
      </c>
      <c r="F167" s="160" t="s">
        <v>180</v>
      </c>
      <c r="G167" s="167" t="s">
        <v>162</v>
      </c>
      <c r="H167" s="160">
        <f>VLOOKUP(G167,'условия, ФОТ'!$A$14:$I$32,9, FALSE)</f>
        <v>164.09</v>
      </c>
      <c r="I167" s="172">
        <v>0.54</v>
      </c>
      <c r="J167" s="160">
        <f t="shared" si="31"/>
        <v>88.61</v>
      </c>
      <c r="K167" s="160">
        <f t="shared" si="54"/>
        <v>26.76</v>
      </c>
      <c r="L167" s="160">
        <f t="shared" si="29"/>
        <v>115.37</v>
      </c>
      <c r="M167" s="159"/>
      <c r="N167" s="160"/>
      <c r="O167" s="160"/>
      <c r="P167" s="160"/>
      <c r="Q167" s="160"/>
      <c r="R167" s="160">
        <f t="shared" si="33"/>
        <v>115.37</v>
      </c>
      <c r="S167" s="160">
        <f t="shared" si="55"/>
        <v>140.87</v>
      </c>
      <c r="T167" s="162">
        <f t="shared" si="58"/>
        <v>281.67</v>
      </c>
      <c r="U167" s="162">
        <f t="shared" si="56"/>
        <v>56.33</v>
      </c>
      <c r="V167" s="162">
        <f t="shared" si="57"/>
        <v>338</v>
      </c>
      <c r="W167" s="162">
        <v>223</v>
      </c>
      <c r="X167" s="78">
        <f t="shared" si="0"/>
        <v>51.569506726457405</v>
      </c>
    </row>
    <row r="168" spans="1:24" hidden="1" x14ac:dyDescent="0.25">
      <c r="A168" s="158" t="s">
        <v>481</v>
      </c>
      <c r="B168" s="158" t="s">
        <v>246</v>
      </c>
      <c r="C168" s="210"/>
      <c r="D168" s="210"/>
      <c r="E168" s="171" t="s">
        <v>72</v>
      </c>
      <c r="F168" s="168" t="s">
        <v>247</v>
      </c>
      <c r="G168" s="167" t="s">
        <v>162</v>
      </c>
      <c r="H168" s="160">
        <f>VLOOKUP(G168,'условия, ФОТ'!$A$14:$I$32,9, FALSE)</f>
        <v>164.09</v>
      </c>
      <c r="I168" s="172">
        <f>0.11*13</f>
        <v>1.43</v>
      </c>
      <c r="J168" s="160">
        <f t="shared" si="31"/>
        <v>234.65</v>
      </c>
      <c r="K168" s="160">
        <f t="shared" si="54"/>
        <v>70.86</v>
      </c>
      <c r="L168" s="160">
        <f t="shared" si="29"/>
        <v>305.51</v>
      </c>
      <c r="M168" s="159"/>
      <c r="N168" s="160"/>
      <c r="O168" s="160"/>
      <c r="P168" s="160"/>
      <c r="Q168" s="160"/>
      <c r="R168" s="160">
        <f t="shared" si="33"/>
        <v>305.51</v>
      </c>
      <c r="S168" s="160">
        <f t="shared" si="55"/>
        <v>373.03</v>
      </c>
      <c r="T168" s="162">
        <f t="shared" si="58"/>
        <v>746.67</v>
      </c>
      <c r="U168" s="162">
        <f t="shared" si="56"/>
        <v>149.33000000000001</v>
      </c>
      <c r="V168" s="162">
        <f t="shared" si="57"/>
        <v>896</v>
      </c>
      <c r="W168" s="162">
        <v>591</v>
      </c>
      <c r="X168" s="78">
        <f t="shared" si="0"/>
        <v>51.607445008460246</v>
      </c>
    </row>
    <row r="169" spans="1:24" ht="36.950000000000003" hidden="1" customHeight="1" x14ac:dyDescent="0.25">
      <c r="A169" s="158" t="s">
        <v>482</v>
      </c>
      <c r="B169" s="158" t="s">
        <v>248</v>
      </c>
      <c r="C169" s="210"/>
      <c r="D169" s="210"/>
      <c r="E169" s="156" t="s">
        <v>73</v>
      </c>
      <c r="F169" s="160" t="s">
        <v>184</v>
      </c>
      <c r="G169" s="167" t="s">
        <v>162</v>
      </c>
      <c r="H169" s="160">
        <f>VLOOKUP(G169,'условия, ФОТ'!$A$14:$I$32,9, FALSE)</f>
        <v>164.09</v>
      </c>
      <c r="I169" s="172">
        <v>0.5</v>
      </c>
      <c r="J169" s="160">
        <f t="shared" si="31"/>
        <v>82.05</v>
      </c>
      <c r="K169" s="160">
        <f t="shared" si="54"/>
        <v>24.78</v>
      </c>
      <c r="L169" s="160">
        <f t="shared" si="29"/>
        <v>106.83</v>
      </c>
      <c r="M169" s="159"/>
      <c r="N169" s="160"/>
      <c r="O169" s="160"/>
      <c r="P169" s="160"/>
      <c r="Q169" s="160"/>
      <c r="R169" s="160">
        <f t="shared" si="33"/>
        <v>106.83</v>
      </c>
      <c r="S169" s="160">
        <f t="shared" si="55"/>
        <v>130.44</v>
      </c>
      <c r="T169" s="162">
        <f t="shared" si="58"/>
        <v>260.83</v>
      </c>
      <c r="U169" s="162">
        <f t="shared" si="56"/>
        <v>52.17</v>
      </c>
      <c r="V169" s="162">
        <f t="shared" si="57"/>
        <v>313</v>
      </c>
      <c r="W169" s="162">
        <v>207</v>
      </c>
      <c r="X169" s="78">
        <f t="shared" si="0"/>
        <v>51.207729468599041</v>
      </c>
    </row>
    <row r="170" spans="1:24" hidden="1" x14ac:dyDescent="0.25">
      <c r="A170" s="158" t="s">
        <v>483</v>
      </c>
      <c r="B170" s="158" t="s">
        <v>249</v>
      </c>
      <c r="C170" s="210"/>
      <c r="D170" s="210"/>
      <c r="E170" s="156" t="s">
        <v>74</v>
      </c>
      <c r="F170" s="160" t="s">
        <v>184</v>
      </c>
      <c r="G170" s="167" t="s">
        <v>162</v>
      </c>
      <c r="H170" s="160">
        <f>VLOOKUP(G170,'условия, ФОТ'!$A$14:$I$32,9, FALSE)</f>
        <v>164.09</v>
      </c>
      <c r="I170" s="172">
        <v>0.67</v>
      </c>
      <c r="J170" s="160">
        <f t="shared" si="31"/>
        <v>109.94</v>
      </c>
      <c r="K170" s="160">
        <f t="shared" si="54"/>
        <v>33.200000000000003</v>
      </c>
      <c r="L170" s="160">
        <f t="shared" si="29"/>
        <v>143.13999999999999</v>
      </c>
      <c r="M170" s="159"/>
      <c r="N170" s="160"/>
      <c r="O170" s="160"/>
      <c r="P170" s="160"/>
      <c r="Q170" s="160"/>
      <c r="R170" s="160">
        <f t="shared" si="33"/>
        <v>143.13999999999999</v>
      </c>
      <c r="S170" s="160">
        <f t="shared" si="55"/>
        <v>174.77</v>
      </c>
      <c r="T170" s="162">
        <f t="shared" si="58"/>
        <v>350</v>
      </c>
      <c r="U170" s="162">
        <f t="shared" si="56"/>
        <v>70</v>
      </c>
      <c r="V170" s="162">
        <f t="shared" si="57"/>
        <v>420</v>
      </c>
      <c r="W170" s="162">
        <v>277</v>
      </c>
      <c r="X170" s="78">
        <f t="shared" si="0"/>
        <v>51.624548736462089</v>
      </c>
    </row>
    <row r="171" spans="1:24" hidden="1" x14ac:dyDescent="0.25">
      <c r="A171" s="158" t="s">
        <v>484</v>
      </c>
      <c r="B171" s="158" t="s">
        <v>250</v>
      </c>
      <c r="C171" s="210"/>
      <c r="D171" s="210"/>
      <c r="E171" s="156" t="s">
        <v>75</v>
      </c>
      <c r="F171" s="160" t="s">
        <v>184</v>
      </c>
      <c r="G171" s="167" t="s">
        <v>162</v>
      </c>
      <c r="H171" s="160">
        <f>VLOOKUP(G171,'условия, ФОТ'!$A$14:$I$32,9, FALSE)</f>
        <v>164.09</v>
      </c>
      <c r="I171" s="172">
        <v>0.24</v>
      </c>
      <c r="J171" s="160">
        <f t="shared" si="31"/>
        <v>39.380000000000003</v>
      </c>
      <c r="K171" s="160">
        <f t="shared" si="54"/>
        <v>11.89</v>
      </c>
      <c r="L171" s="160">
        <f t="shared" si="29"/>
        <v>51.27</v>
      </c>
      <c r="M171" s="159"/>
      <c r="N171" s="160"/>
      <c r="O171" s="160"/>
      <c r="P171" s="160"/>
      <c r="Q171" s="160"/>
      <c r="R171" s="160">
        <f t="shared" si="33"/>
        <v>51.27</v>
      </c>
      <c r="S171" s="160">
        <f t="shared" si="55"/>
        <v>62.6</v>
      </c>
      <c r="T171" s="162">
        <f t="shared" si="58"/>
        <v>125</v>
      </c>
      <c r="U171" s="162">
        <f t="shared" si="56"/>
        <v>25</v>
      </c>
      <c r="V171" s="162">
        <f t="shared" si="57"/>
        <v>150</v>
      </c>
      <c r="W171" s="162">
        <v>99</v>
      </c>
      <c r="X171" s="78">
        <f t="shared" si="0"/>
        <v>51.515151515151501</v>
      </c>
    </row>
    <row r="172" spans="1:24" hidden="1" x14ac:dyDescent="0.25">
      <c r="A172" s="158" t="s">
        <v>485</v>
      </c>
      <c r="B172" s="158" t="s">
        <v>251</v>
      </c>
      <c r="C172" s="210"/>
      <c r="D172" s="210"/>
      <c r="E172" s="156" t="s">
        <v>76</v>
      </c>
      <c r="F172" s="160" t="s">
        <v>245</v>
      </c>
      <c r="G172" s="167" t="s">
        <v>162</v>
      </c>
      <c r="H172" s="160">
        <f>VLOOKUP(G172,'условия, ФОТ'!$A$14:$I$32,9, FALSE)</f>
        <v>164.09</v>
      </c>
      <c r="I172" s="172">
        <v>0.51</v>
      </c>
      <c r="J172" s="160">
        <f t="shared" ref="J172:J242" si="59">ROUND(H172*I172,2)</f>
        <v>83.69</v>
      </c>
      <c r="K172" s="160">
        <f t="shared" si="54"/>
        <v>25.27</v>
      </c>
      <c r="L172" s="160">
        <f t="shared" ref="L172:L242" si="60">J172+K172</f>
        <v>108.96</v>
      </c>
      <c r="M172" s="159"/>
      <c r="N172" s="160"/>
      <c r="O172" s="160"/>
      <c r="P172" s="160"/>
      <c r="Q172" s="160"/>
      <c r="R172" s="160">
        <f t="shared" ref="R172:R242" si="61">L172+Q172</f>
        <v>108.96</v>
      </c>
      <c r="S172" s="160">
        <f t="shared" si="55"/>
        <v>133.04</v>
      </c>
      <c r="T172" s="162">
        <f t="shared" si="58"/>
        <v>265.83</v>
      </c>
      <c r="U172" s="162">
        <f t="shared" si="56"/>
        <v>53.17</v>
      </c>
      <c r="V172" s="162">
        <f t="shared" si="57"/>
        <v>319</v>
      </c>
      <c r="W172" s="162">
        <v>211</v>
      </c>
      <c r="X172" s="78">
        <f t="shared" ref="X172:X240" si="62">V172/W172*100-100</f>
        <v>51.184834123222743</v>
      </c>
    </row>
    <row r="173" spans="1:24" hidden="1" x14ac:dyDescent="0.25">
      <c r="A173" s="158" t="s">
        <v>486</v>
      </c>
      <c r="B173" s="158" t="s">
        <v>27</v>
      </c>
      <c r="C173" s="210"/>
      <c r="D173" s="210"/>
      <c r="E173" s="156" t="s">
        <v>417</v>
      </c>
      <c r="F173" s="160" t="s">
        <v>418</v>
      </c>
      <c r="G173" s="167" t="s">
        <v>162</v>
      </c>
      <c r="H173" s="160">
        <f>VLOOKUP(G173,'условия, ФОТ'!$A$14:$I$32,9, FALSE)</f>
        <v>164.09</v>
      </c>
      <c r="I173" s="172">
        <v>0.51</v>
      </c>
      <c r="J173" s="160">
        <f t="shared" si="59"/>
        <v>83.69</v>
      </c>
      <c r="K173" s="160">
        <f t="shared" si="54"/>
        <v>25.27</v>
      </c>
      <c r="L173" s="160">
        <f t="shared" si="60"/>
        <v>108.96</v>
      </c>
      <c r="M173" s="159"/>
      <c r="N173" s="160"/>
      <c r="O173" s="160"/>
      <c r="P173" s="160"/>
      <c r="Q173" s="160"/>
      <c r="R173" s="160">
        <f t="shared" si="61"/>
        <v>108.96</v>
      </c>
      <c r="S173" s="160">
        <f t="shared" si="55"/>
        <v>133.04</v>
      </c>
      <c r="T173" s="162">
        <f t="shared" si="58"/>
        <v>265.83</v>
      </c>
      <c r="U173" s="162">
        <f t="shared" si="56"/>
        <v>53.17</v>
      </c>
      <c r="V173" s="162">
        <f t="shared" si="57"/>
        <v>319</v>
      </c>
      <c r="W173" s="162">
        <v>211</v>
      </c>
      <c r="X173" s="78"/>
    </row>
    <row r="174" spans="1:24" hidden="1" x14ac:dyDescent="0.25">
      <c r="A174" s="158" t="s">
        <v>487</v>
      </c>
      <c r="B174" s="158" t="s">
        <v>252</v>
      </c>
      <c r="C174" s="210"/>
      <c r="D174" s="210"/>
      <c r="E174" s="156" t="s">
        <v>77</v>
      </c>
      <c r="F174" s="160" t="s">
        <v>253</v>
      </c>
      <c r="G174" s="167" t="s">
        <v>162</v>
      </c>
      <c r="H174" s="160">
        <f>VLOOKUP(G174,'условия, ФОТ'!$A$14:$I$32,9, FALSE)</f>
        <v>164.09</v>
      </c>
      <c r="I174" s="172">
        <v>0.33</v>
      </c>
      <c r="J174" s="160">
        <f t="shared" si="59"/>
        <v>54.15</v>
      </c>
      <c r="K174" s="160">
        <f t="shared" si="54"/>
        <v>16.350000000000001</v>
      </c>
      <c r="L174" s="160">
        <f t="shared" si="60"/>
        <v>70.5</v>
      </c>
      <c r="M174" s="159"/>
      <c r="N174" s="160"/>
      <c r="O174" s="160"/>
      <c r="P174" s="160"/>
      <c r="Q174" s="160"/>
      <c r="R174" s="160">
        <f t="shared" si="61"/>
        <v>70.5</v>
      </c>
      <c r="S174" s="160">
        <f t="shared" si="55"/>
        <v>86.08</v>
      </c>
      <c r="T174" s="162">
        <f t="shared" si="58"/>
        <v>172.5</v>
      </c>
      <c r="U174" s="162">
        <f t="shared" si="56"/>
        <v>34.5</v>
      </c>
      <c r="V174" s="162">
        <f t="shared" si="57"/>
        <v>207</v>
      </c>
      <c r="W174" s="162">
        <v>136</v>
      </c>
      <c r="X174" s="78">
        <f t="shared" si="62"/>
        <v>52.20588235294116</v>
      </c>
    </row>
    <row r="175" spans="1:24" hidden="1" x14ac:dyDescent="0.25">
      <c r="A175" s="158" t="s">
        <v>488</v>
      </c>
      <c r="B175" s="158" t="s">
        <v>27</v>
      </c>
      <c r="C175" s="210"/>
      <c r="D175" s="210"/>
      <c r="E175" s="156" t="s">
        <v>416</v>
      </c>
      <c r="F175" s="160" t="s">
        <v>190</v>
      </c>
      <c r="G175" s="167" t="s">
        <v>162</v>
      </c>
      <c r="H175" s="160">
        <f>VLOOKUP(G175,'условия, ФОТ'!$A$14:$I$32,9, FALSE)</f>
        <v>164.09</v>
      </c>
      <c r="I175" s="172">
        <v>0.33</v>
      </c>
      <c r="J175" s="160">
        <f t="shared" si="59"/>
        <v>54.15</v>
      </c>
      <c r="K175" s="160">
        <f t="shared" si="54"/>
        <v>16.350000000000001</v>
      </c>
      <c r="L175" s="160">
        <f t="shared" si="60"/>
        <v>70.5</v>
      </c>
      <c r="M175" s="159"/>
      <c r="N175" s="160"/>
      <c r="O175" s="160"/>
      <c r="P175" s="160"/>
      <c r="Q175" s="160"/>
      <c r="R175" s="160">
        <f t="shared" si="61"/>
        <v>70.5</v>
      </c>
      <c r="S175" s="160">
        <f t="shared" si="55"/>
        <v>86.08</v>
      </c>
      <c r="T175" s="162">
        <f t="shared" si="58"/>
        <v>172.5</v>
      </c>
      <c r="U175" s="162">
        <f t="shared" si="56"/>
        <v>34.5</v>
      </c>
      <c r="V175" s="162">
        <f t="shared" si="57"/>
        <v>207</v>
      </c>
      <c r="W175" s="162">
        <v>136</v>
      </c>
      <c r="X175" s="78"/>
    </row>
    <row r="176" spans="1:24" hidden="1" x14ac:dyDescent="0.25">
      <c r="A176" s="158" t="s">
        <v>489</v>
      </c>
      <c r="B176" s="158" t="s">
        <v>254</v>
      </c>
      <c r="C176" s="210"/>
      <c r="D176" s="210"/>
      <c r="E176" s="156" t="s">
        <v>78</v>
      </c>
      <c r="F176" s="160" t="s">
        <v>186</v>
      </c>
      <c r="G176" s="167" t="s">
        <v>162</v>
      </c>
      <c r="H176" s="160">
        <f>VLOOKUP(G176,'условия, ФОТ'!$A$14:$I$32,9, FALSE)</f>
        <v>164.09</v>
      </c>
      <c r="I176" s="172">
        <v>0.5</v>
      </c>
      <c r="J176" s="160">
        <f t="shared" si="59"/>
        <v>82.05</v>
      </c>
      <c r="K176" s="160">
        <f t="shared" si="54"/>
        <v>24.78</v>
      </c>
      <c r="L176" s="160">
        <f t="shared" si="60"/>
        <v>106.83</v>
      </c>
      <c r="M176" s="159"/>
      <c r="N176" s="160"/>
      <c r="O176" s="160"/>
      <c r="P176" s="160"/>
      <c r="Q176" s="160"/>
      <c r="R176" s="160">
        <f t="shared" si="61"/>
        <v>106.83</v>
      </c>
      <c r="S176" s="160">
        <f t="shared" si="55"/>
        <v>130.44</v>
      </c>
      <c r="T176" s="162">
        <f t="shared" si="58"/>
        <v>260.83</v>
      </c>
      <c r="U176" s="162">
        <f t="shared" si="56"/>
        <v>52.17</v>
      </c>
      <c r="V176" s="162">
        <f t="shared" si="57"/>
        <v>313</v>
      </c>
      <c r="W176" s="162">
        <v>207</v>
      </c>
      <c r="X176" s="78">
        <f t="shared" si="62"/>
        <v>51.207729468599041</v>
      </c>
    </row>
    <row r="177" spans="1:24" hidden="1" x14ac:dyDescent="0.25">
      <c r="A177" s="158" t="s">
        <v>490</v>
      </c>
      <c r="B177" s="158" t="s">
        <v>255</v>
      </c>
      <c r="C177" s="210"/>
      <c r="D177" s="210"/>
      <c r="E177" s="156" t="s">
        <v>79</v>
      </c>
      <c r="F177" s="160" t="s">
        <v>186</v>
      </c>
      <c r="G177" s="167" t="s">
        <v>162</v>
      </c>
      <c r="H177" s="160">
        <f>VLOOKUP(G177,'условия, ФОТ'!$A$14:$I$32,9, FALSE)</f>
        <v>164.09</v>
      </c>
      <c r="I177" s="172">
        <v>0.33</v>
      </c>
      <c r="J177" s="160">
        <f t="shared" si="59"/>
        <v>54.15</v>
      </c>
      <c r="K177" s="160">
        <f t="shared" si="54"/>
        <v>16.350000000000001</v>
      </c>
      <c r="L177" s="160">
        <f t="shared" si="60"/>
        <v>70.5</v>
      </c>
      <c r="M177" s="159"/>
      <c r="N177" s="160"/>
      <c r="O177" s="160"/>
      <c r="P177" s="160"/>
      <c r="Q177" s="160"/>
      <c r="R177" s="160">
        <f t="shared" si="61"/>
        <v>70.5</v>
      </c>
      <c r="S177" s="160">
        <f t="shared" si="55"/>
        <v>86.08</v>
      </c>
      <c r="T177" s="162">
        <f t="shared" si="58"/>
        <v>172.5</v>
      </c>
      <c r="U177" s="162">
        <f t="shared" si="56"/>
        <v>34.5</v>
      </c>
      <c r="V177" s="162">
        <f t="shared" si="57"/>
        <v>207</v>
      </c>
      <c r="W177" s="162">
        <v>136</v>
      </c>
      <c r="X177" s="78">
        <f t="shared" si="62"/>
        <v>52.20588235294116</v>
      </c>
    </row>
    <row r="178" spans="1:24" ht="25.5" hidden="1" x14ac:dyDescent="0.25">
      <c r="A178" s="158" t="s">
        <v>491</v>
      </c>
      <c r="B178" s="158" t="s">
        <v>256</v>
      </c>
      <c r="C178" s="210"/>
      <c r="D178" s="210"/>
      <c r="E178" s="156" t="s">
        <v>80</v>
      </c>
      <c r="F178" s="160" t="s">
        <v>186</v>
      </c>
      <c r="G178" s="167" t="s">
        <v>162</v>
      </c>
      <c r="H178" s="160">
        <f>VLOOKUP(G178,'условия, ФОТ'!$A$14:$I$32,9, FALSE)</f>
        <v>164.09</v>
      </c>
      <c r="I178" s="172">
        <v>1</v>
      </c>
      <c r="J178" s="160">
        <f t="shared" si="59"/>
        <v>164.09</v>
      </c>
      <c r="K178" s="160">
        <f t="shared" si="54"/>
        <v>49.56</v>
      </c>
      <c r="L178" s="160">
        <f t="shared" si="60"/>
        <v>213.65</v>
      </c>
      <c r="M178" s="159"/>
      <c r="N178" s="160"/>
      <c r="O178" s="160"/>
      <c r="P178" s="160"/>
      <c r="Q178" s="160"/>
      <c r="R178" s="160">
        <f t="shared" si="61"/>
        <v>213.65</v>
      </c>
      <c r="S178" s="160">
        <f t="shared" si="55"/>
        <v>260.87</v>
      </c>
      <c r="T178" s="162">
        <f t="shared" si="58"/>
        <v>521.66999999999996</v>
      </c>
      <c r="U178" s="162">
        <f t="shared" si="56"/>
        <v>104.33</v>
      </c>
      <c r="V178" s="162">
        <f t="shared" si="57"/>
        <v>626</v>
      </c>
      <c r="W178" s="162">
        <v>413</v>
      </c>
      <c r="X178" s="78">
        <f t="shared" si="62"/>
        <v>51.573849878934624</v>
      </c>
    </row>
    <row r="179" spans="1:24" hidden="1" x14ac:dyDescent="0.25">
      <c r="A179" s="158" t="s">
        <v>492</v>
      </c>
      <c r="B179" s="158" t="s">
        <v>257</v>
      </c>
      <c r="C179" s="210"/>
      <c r="D179" s="210"/>
      <c r="E179" s="156" t="s">
        <v>81</v>
      </c>
      <c r="F179" s="160" t="s">
        <v>258</v>
      </c>
      <c r="G179" s="167" t="s">
        <v>162</v>
      </c>
      <c r="H179" s="160">
        <f>VLOOKUP(G179,'условия, ФОТ'!$A$14:$I$32,9, FALSE)</f>
        <v>164.09</v>
      </c>
      <c r="I179" s="172">
        <v>0.25</v>
      </c>
      <c r="J179" s="160">
        <f t="shared" si="59"/>
        <v>41.02</v>
      </c>
      <c r="K179" s="160">
        <f t="shared" si="54"/>
        <v>12.39</v>
      </c>
      <c r="L179" s="160">
        <f t="shared" si="60"/>
        <v>53.410000000000004</v>
      </c>
      <c r="M179" s="159"/>
      <c r="N179" s="160"/>
      <c r="O179" s="160"/>
      <c r="P179" s="160"/>
      <c r="Q179" s="160"/>
      <c r="R179" s="160">
        <f t="shared" si="61"/>
        <v>53.410000000000004</v>
      </c>
      <c r="S179" s="160">
        <f t="shared" si="55"/>
        <v>65.209999999999994</v>
      </c>
      <c r="T179" s="162">
        <f t="shared" si="58"/>
        <v>130.83000000000001</v>
      </c>
      <c r="U179" s="162">
        <f t="shared" si="56"/>
        <v>26.17</v>
      </c>
      <c r="V179" s="162">
        <f t="shared" si="57"/>
        <v>157</v>
      </c>
      <c r="W179" s="162">
        <v>103</v>
      </c>
      <c r="X179" s="78">
        <f t="shared" si="62"/>
        <v>52.427184466019412</v>
      </c>
    </row>
    <row r="180" spans="1:24" hidden="1" x14ac:dyDescent="0.25">
      <c r="A180" s="158" t="s">
        <v>493</v>
      </c>
      <c r="B180" s="158" t="s">
        <v>259</v>
      </c>
      <c r="C180" s="210"/>
      <c r="D180" s="210"/>
      <c r="E180" s="156" t="s">
        <v>82</v>
      </c>
      <c r="F180" s="160" t="s">
        <v>260</v>
      </c>
      <c r="G180" s="167" t="s">
        <v>162</v>
      </c>
      <c r="H180" s="160">
        <f>VLOOKUP(G180,'условия, ФОТ'!$A$14:$I$32,9, FALSE)</f>
        <v>164.09</v>
      </c>
      <c r="I180" s="172">
        <v>0.1</v>
      </c>
      <c r="J180" s="160">
        <f t="shared" si="59"/>
        <v>16.41</v>
      </c>
      <c r="K180" s="160">
        <f t="shared" si="54"/>
        <v>4.96</v>
      </c>
      <c r="L180" s="160">
        <f t="shared" si="60"/>
        <v>21.37</v>
      </c>
      <c r="M180" s="159"/>
      <c r="N180" s="160"/>
      <c r="O180" s="160"/>
      <c r="P180" s="160"/>
      <c r="Q180" s="160"/>
      <c r="R180" s="160">
        <f t="shared" si="61"/>
        <v>21.37</v>
      </c>
      <c r="S180" s="160">
        <f t="shared" si="55"/>
        <v>26.09</v>
      </c>
      <c r="T180" s="162">
        <f t="shared" si="58"/>
        <v>52.5</v>
      </c>
      <c r="U180" s="162">
        <f t="shared" si="56"/>
        <v>10.5</v>
      </c>
      <c r="V180" s="162">
        <f t="shared" si="57"/>
        <v>63</v>
      </c>
      <c r="W180" s="162">
        <v>41</v>
      </c>
      <c r="X180" s="78">
        <f t="shared" si="62"/>
        <v>53.658536585365852</v>
      </c>
    </row>
    <row r="181" spans="1:24" hidden="1" x14ac:dyDescent="0.25">
      <c r="A181" s="158" t="s">
        <v>494</v>
      </c>
      <c r="B181" s="158" t="s">
        <v>262</v>
      </c>
      <c r="C181" s="210"/>
      <c r="D181" s="210"/>
      <c r="E181" s="156" t="s">
        <v>83</v>
      </c>
      <c r="F181" s="160" t="s">
        <v>261</v>
      </c>
      <c r="G181" s="167" t="s">
        <v>162</v>
      </c>
      <c r="H181" s="160">
        <f>VLOOKUP(G181,'условия, ФОТ'!$A$14:$I$32,9, FALSE)</f>
        <v>164.09</v>
      </c>
      <c r="I181" s="172">
        <v>0.52</v>
      </c>
      <c r="J181" s="160">
        <f t="shared" si="59"/>
        <v>85.33</v>
      </c>
      <c r="K181" s="160">
        <f t="shared" si="54"/>
        <v>25.77</v>
      </c>
      <c r="L181" s="160">
        <f t="shared" si="60"/>
        <v>111.1</v>
      </c>
      <c r="M181" s="159"/>
      <c r="N181" s="160"/>
      <c r="O181" s="160"/>
      <c r="P181" s="160"/>
      <c r="Q181" s="160"/>
      <c r="R181" s="160">
        <f t="shared" si="61"/>
        <v>111.1</v>
      </c>
      <c r="S181" s="160">
        <f t="shared" si="55"/>
        <v>135.65</v>
      </c>
      <c r="T181" s="162">
        <f t="shared" si="58"/>
        <v>271.67</v>
      </c>
      <c r="U181" s="162">
        <f t="shared" si="56"/>
        <v>54.33</v>
      </c>
      <c r="V181" s="162">
        <f t="shared" si="57"/>
        <v>326</v>
      </c>
      <c r="W181" s="162">
        <v>215</v>
      </c>
      <c r="X181" s="78">
        <f t="shared" si="62"/>
        <v>51.627906976744185</v>
      </c>
    </row>
    <row r="182" spans="1:24" hidden="1" x14ac:dyDescent="0.25">
      <c r="A182" s="158" t="s">
        <v>495</v>
      </c>
      <c r="B182" s="158" t="s">
        <v>263</v>
      </c>
      <c r="C182" s="210"/>
      <c r="D182" s="210"/>
      <c r="E182" s="156" t="s">
        <v>84</v>
      </c>
      <c r="F182" s="160" t="s">
        <v>261</v>
      </c>
      <c r="G182" s="167" t="s">
        <v>162</v>
      </c>
      <c r="H182" s="160">
        <f>VLOOKUP(G182,'условия, ФОТ'!$A$14:$I$32,9, FALSE)</f>
        <v>164.09</v>
      </c>
      <c r="I182" s="172">
        <v>0.32</v>
      </c>
      <c r="J182" s="160">
        <f t="shared" si="59"/>
        <v>52.51</v>
      </c>
      <c r="K182" s="160">
        <f t="shared" si="54"/>
        <v>15.86</v>
      </c>
      <c r="L182" s="160">
        <f t="shared" si="60"/>
        <v>68.37</v>
      </c>
      <c r="M182" s="159"/>
      <c r="N182" s="160"/>
      <c r="O182" s="160"/>
      <c r="P182" s="160"/>
      <c r="Q182" s="160"/>
      <c r="R182" s="160">
        <f t="shared" si="61"/>
        <v>68.37</v>
      </c>
      <c r="S182" s="160">
        <f t="shared" si="55"/>
        <v>83.48</v>
      </c>
      <c r="T182" s="162">
        <f t="shared" si="58"/>
        <v>166.67</v>
      </c>
      <c r="U182" s="162">
        <f t="shared" si="56"/>
        <v>33.33</v>
      </c>
      <c r="V182" s="162">
        <f t="shared" si="57"/>
        <v>200</v>
      </c>
      <c r="W182" s="162">
        <v>132</v>
      </c>
      <c r="X182" s="78">
        <f t="shared" si="62"/>
        <v>51.515151515151501</v>
      </c>
    </row>
    <row r="183" spans="1:24" hidden="1" x14ac:dyDescent="0.25">
      <c r="A183" s="158" t="s">
        <v>496</v>
      </c>
      <c r="B183" s="158" t="s">
        <v>264</v>
      </c>
      <c r="C183" s="210"/>
      <c r="D183" s="210"/>
      <c r="E183" s="156" t="s">
        <v>85</v>
      </c>
      <c r="F183" s="160" t="s">
        <v>198</v>
      </c>
      <c r="G183" s="167" t="s">
        <v>162</v>
      </c>
      <c r="H183" s="160">
        <f>VLOOKUP(G183,'условия, ФОТ'!$A$14:$I$32,9, FALSE)</f>
        <v>164.09</v>
      </c>
      <c r="I183" s="172">
        <v>0.4</v>
      </c>
      <c r="J183" s="160">
        <f t="shared" si="59"/>
        <v>65.64</v>
      </c>
      <c r="K183" s="160">
        <f t="shared" si="54"/>
        <v>19.82</v>
      </c>
      <c r="L183" s="160">
        <f t="shared" si="60"/>
        <v>85.460000000000008</v>
      </c>
      <c r="M183" s="159"/>
      <c r="N183" s="160"/>
      <c r="O183" s="160"/>
      <c r="P183" s="160"/>
      <c r="Q183" s="160"/>
      <c r="R183" s="160">
        <f t="shared" si="61"/>
        <v>85.460000000000008</v>
      </c>
      <c r="S183" s="160">
        <f t="shared" si="55"/>
        <v>104.35</v>
      </c>
      <c r="T183" s="162">
        <f t="shared" si="58"/>
        <v>209.17</v>
      </c>
      <c r="U183" s="162">
        <f t="shared" si="56"/>
        <v>41.83</v>
      </c>
      <c r="V183" s="162">
        <f t="shared" si="57"/>
        <v>251</v>
      </c>
      <c r="W183" s="162">
        <v>165</v>
      </c>
      <c r="X183" s="78">
        <f t="shared" si="62"/>
        <v>52.121212121212125</v>
      </c>
    </row>
    <row r="184" spans="1:24" hidden="1" x14ac:dyDescent="0.25">
      <c r="A184" s="158" t="s">
        <v>497</v>
      </c>
      <c r="B184" s="158" t="s">
        <v>265</v>
      </c>
      <c r="C184" s="210"/>
      <c r="D184" s="210"/>
      <c r="E184" s="156" t="s">
        <v>86</v>
      </c>
      <c r="F184" s="160" t="s">
        <v>198</v>
      </c>
      <c r="G184" s="167" t="s">
        <v>162</v>
      </c>
      <c r="H184" s="160">
        <f>VLOOKUP(G184,'условия, ФОТ'!$A$14:$I$32,9, FALSE)</f>
        <v>164.09</v>
      </c>
      <c r="I184" s="172">
        <v>0.55000000000000004</v>
      </c>
      <c r="J184" s="160">
        <f t="shared" si="59"/>
        <v>90.25</v>
      </c>
      <c r="K184" s="160">
        <f t="shared" si="54"/>
        <v>27.26</v>
      </c>
      <c r="L184" s="160">
        <f t="shared" si="60"/>
        <v>117.51</v>
      </c>
      <c r="M184" s="159"/>
      <c r="N184" s="160"/>
      <c r="O184" s="160"/>
      <c r="P184" s="160"/>
      <c r="Q184" s="160"/>
      <c r="R184" s="160">
        <f t="shared" si="61"/>
        <v>117.51</v>
      </c>
      <c r="S184" s="160">
        <f t="shared" si="55"/>
        <v>143.47999999999999</v>
      </c>
      <c r="T184" s="162">
        <f t="shared" si="58"/>
        <v>287.5</v>
      </c>
      <c r="U184" s="162">
        <f t="shared" si="56"/>
        <v>57.5</v>
      </c>
      <c r="V184" s="162">
        <f t="shared" si="57"/>
        <v>345</v>
      </c>
      <c r="W184" s="162">
        <v>227</v>
      </c>
      <c r="X184" s="78">
        <f t="shared" si="62"/>
        <v>51.982378854625551</v>
      </c>
    </row>
    <row r="185" spans="1:24" ht="25.5" hidden="1" x14ac:dyDescent="0.25">
      <c r="A185" s="158" t="s">
        <v>498</v>
      </c>
      <c r="B185" s="158" t="s">
        <v>266</v>
      </c>
      <c r="C185" s="210"/>
      <c r="D185" s="210"/>
      <c r="E185" s="156" t="s">
        <v>87</v>
      </c>
      <c r="F185" s="160" t="s">
        <v>198</v>
      </c>
      <c r="G185" s="167" t="s">
        <v>162</v>
      </c>
      <c r="H185" s="160">
        <f>VLOOKUP(G185,'условия, ФОТ'!$A$14:$I$32,9, FALSE)</f>
        <v>164.09</v>
      </c>
      <c r="I185" s="172">
        <v>0.75</v>
      </c>
      <c r="J185" s="160">
        <f t="shared" si="59"/>
        <v>123.07</v>
      </c>
      <c r="K185" s="160">
        <f t="shared" si="54"/>
        <v>37.17</v>
      </c>
      <c r="L185" s="160">
        <f t="shared" si="60"/>
        <v>160.24</v>
      </c>
      <c r="M185" s="159"/>
      <c r="N185" s="160"/>
      <c r="O185" s="160"/>
      <c r="P185" s="160"/>
      <c r="Q185" s="160"/>
      <c r="R185" s="160">
        <f t="shared" si="61"/>
        <v>160.24</v>
      </c>
      <c r="S185" s="160">
        <f t="shared" si="55"/>
        <v>195.65</v>
      </c>
      <c r="T185" s="162">
        <f t="shared" si="58"/>
        <v>391.67</v>
      </c>
      <c r="U185" s="162">
        <f t="shared" si="56"/>
        <v>78.33</v>
      </c>
      <c r="V185" s="162">
        <f t="shared" si="57"/>
        <v>470</v>
      </c>
      <c r="W185" s="162">
        <v>310</v>
      </c>
      <c r="X185" s="78">
        <f t="shared" si="62"/>
        <v>51.612903225806463</v>
      </c>
    </row>
    <row r="186" spans="1:24" ht="17.25" hidden="1" customHeight="1" x14ac:dyDescent="0.25">
      <c r="A186" s="158" t="s">
        <v>499</v>
      </c>
      <c r="B186" s="158" t="s">
        <v>267</v>
      </c>
      <c r="C186" s="210"/>
      <c r="D186" s="210"/>
      <c r="E186" s="156" t="s">
        <v>88</v>
      </c>
      <c r="F186" s="160" t="s">
        <v>177</v>
      </c>
      <c r="G186" s="167" t="s">
        <v>162</v>
      </c>
      <c r="H186" s="160">
        <f>VLOOKUP(G186,'условия, ФОТ'!$A$14:$I$32,9, FALSE)</f>
        <v>164.09</v>
      </c>
      <c r="I186" s="172">
        <v>0.8</v>
      </c>
      <c r="J186" s="160">
        <f t="shared" si="59"/>
        <v>131.27000000000001</v>
      </c>
      <c r="K186" s="160">
        <f t="shared" si="54"/>
        <v>39.64</v>
      </c>
      <c r="L186" s="160">
        <f t="shared" si="60"/>
        <v>170.91000000000003</v>
      </c>
      <c r="M186" s="159"/>
      <c r="N186" s="160"/>
      <c r="O186" s="160"/>
      <c r="P186" s="160"/>
      <c r="Q186" s="160"/>
      <c r="R186" s="160">
        <f t="shared" si="61"/>
        <v>170.91000000000003</v>
      </c>
      <c r="S186" s="160">
        <f t="shared" si="55"/>
        <v>208.68</v>
      </c>
      <c r="T186" s="162">
        <f t="shared" si="58"/>
        <v>417.5</v>
      </c>
      <c r="U186" s="162">
        <f t="shared" si="56"/>
        <v>83.5</v>
      </c>
      <c r="V186" s="162">
        <f t="shared" si="57"/>
        <v>501</v>
      </c>
      <c r="W186" s="162">
        <v>331</v>
      </c>
      <c r="X186" s="78">
        <f t="shared" si="62"/>
        <v>51.359516616314181</v>
      </c>
    </row>
    <row r="187" spans="1:24" ht="31.7" hidden="1" customHeight="1" x14ac:dyDescent="0.25">
      <c r="A187" s="158" t="s">
        <v>500</v>
      </c>
      <c r="B187" s="158" t="s">
        <v>268</v>
      </c>
      <c r="C187" s="210"/>
      <c r="D187" s="210"/>
      <c r="E187" s="156" t="s">
        <v>89</v>
      </c>
      <c r="F187" s="160" t="s">
        <v>198</v>
      </c>
      <c r="G187" s="167" t="s">
        <v>162</v>
      </c>
      <c r="H187" s="160">
        <f>VLOOKUP(G187,'условия, ФОТ'!$A$14:$I$32,9, FALSE)</f>
        <v>164.09</v>
      </c>
      <c r="I187" s="172">
        <v>1</v>
      </c>
      <c r="J187" s="160">
        <f t="shared" si="59"/>
        <v>164.09</v>
      </c>
      <c r="K187" s="160">
        <f t="shared" si="54"/>
        <v>49.56</v>
      </c>
      <c r="L187" s="160">
        <f t="shared" si="60"/>
        <v>213.65</v>
      </c>
      <c r="M187" s="159"/>
      <c r="N187" s="160"/>
      <c r="O187" s="160"/>
      <c r="P187" s="160"/>
      <c r="Q187" s="160"/>
      <c r="R187" s="160">
        <f t="shared" si="61"/>
        <v>213.65</v>
      </c>
      <c r="S187" s="160">
        <f t="shared" si="55"/>
        <v>260.87</v>
      </c>
      <c r="T187" s="162">
        <f t="shared" si="58"/>
        <v>521.66999999999996</v>
      </c>
      <c r="U187" s="162">
        <f t="shared" si="56"/>
        <v>104.33</v>
      </c>
      <c r="V187" s="162">
        <f t="shared" si="57"/>
        <v>626</v>
      </c>
      <c r="W187" s="162">
        <v>413</v>
      </c>
      <c r="X187" s="78">
        <f t="shared" si="62"/>
        <v>51.573849878934624</v>
      </c>
    </row>
    <row r="188" spans="1:24" ht="30.75" hidden="1" customHeight="1" x14ac:dyDescent="0.25">
      <c r="A188" s="158" t="s">
        <v>501</v>
      </c>
      <c r="B188" s="158" t="s">
        <v>269</v>
      </c>
      <c r="C188" s="210"/>
      <c r="D188" s="210"/>
      <c r="E188" s="156" t="s">
        <v>90</v>
      </c>
      <c r="F188" s="160" t="s">
        <v>198</v>
      </c>
      <c r="G188" s="167" t="s">
        <v>162</v>
      </c>
      <c r="H188" s="160">
        <f>VLOOKUP(G188,'условия, ФОТ'!$A$14:$I$32,9, FALSE)</f>
        <v>164.09</v>
      </c>
      <c r="I188" s="172">
        <v>0.25</v>
      </c>
      <c r="J188" s="160">
        <f t="shared" si="59"/>
        <v>41.02</v>
      </c>
      <c r="K188" s="160">
        <f t="shared" ref="K188:K206" si="63">ROUND(J188*$K$7,2)</f>
        <v>12.39</v>
      </c>
      <c r="L188" s="160">
        <f t="shared" si="60"/>
        <v>53.410000000000004</v>
      </c>
      <c r="M188" s="159"/>
      <c r="N188" s="160"/>
      <c r="O188" s="160"/>
      <c r="P188" s="160"/>
      <c r="Q188" s="160"/>
      <c r="R188" s="160">
        <f t="shared" si="61"/>
        <v>53.410000000000004</v>
      </c>
      <c r="S188" s="160">
        <f t="shared" ref="S188:S206" si="64">ROUND(R188*$S$7,2)</f>
        <v>65.209999999999994</v>
      </c>
      <c r="T188" s="162">
        <f t="shared" si="58"/>
        <v>130.83000000000001</v>
      </c>
      <c r="U188" s="162">
        <f t="shared" ref="U188:U206" si="65">ROUND(T188*$U$7,2)</f>
        <v>26.17</v>
      </c>
      <c r="V188" s="162">
        <f t="shared" ref="V188:V206" si="66">ROUND((R188+S188)*(1+$T$7)*1.2,0)</f>
        <v>157</v>
      </c>
      <c r="W188" s="162">
        <v>103</v>
      </c>
      <c r="X188" s="78">
        <f t="shared" si="62"/>
        <v>52.427184466019412</v>
      </c>
    </row>
    <row r="189" spans="1:24" ht="21.75" hidden="1" customHeight="1" x14ac:dyDescent="0.25">
      <c r="A189" s="158" t="s">
        <v>502</v>
      </c>
      <c r="B189" s="158" t="s">
        <v>270</v>
      </c>
      <c r="C189" s="210"/>
      <c r="D189" s="210"/>
      <c r="E189" s="156" t="s">
        <v>91</v>
      </c>
      <c r="F189" s="160" t="s">
        <v>198</v>
      </c>
      <c r="G189" s="167" t="s">
        <v>162</v>
      </c>
      <c r="H189" s="160">
        <f>VLOOKUP(G189,'условия, ФОТ'!$A$14:$I$32,9, FALSE)</f>
        <v>164.09</v>
      </c>
      <c r="I189" s="172">
        <v>0.25</v>
      </c>
      <c r="J189" s="160">
        <f t="shared" si="59"/>
        <v>41.02</v>
      </c>
      <c r="K189" s="160">
        <f t="shared" si="63"/>
        <v>12.39</v>
      </c>
      <c r="L189" s="160">
        <f t="shared" si="60"/>
        <v>53.410000000000004</v>
      </c>
      <c r="M189" s="159"/>
      <c r="N189" s="160"/>
      <c r="O189" s="160"/>
      <c r="P189" s="160"/>
      <c r="Q189" s="160"/>
      <c r="R189" s="160">
        <f t="shared" si="61"/>
        <v>53.410000000000004</v>
      </c>
      <c r="S189" s="160">
        <f t="shared" si="64"/>
        <v>65.209999999999994</v>
      </c>
      <c r="T189" s="162">
        <f t="shared" si="58"/>
        <v>130.83000000000001</v>
      </c>
      <c r="U189" s="162">
        <f t="shared" si="65"/>
        <v>26.17</v>
      </c>
      <c r="V189" s="162">
        <f t="shared" si="66"/>
        <v>157</v>
      </c>
      <c r="W189" s="162">
        <v>103</v>
      </c>
      <c r="X189" s="78">
        <f t="shared" si="62"/>
        <v>52.427184466019412</v>
      </c>
    </row>
    <row r="190" spans="1:24" ht="25.5" hidden="1" x14ac:dyDescent="0.25">
      <c r="A190" s="158" t="s">
        <v>503</v>
      </c>
      <c r="B190" s="158" t="s">
        <v>271</v>
      </c>
      <c r="C190" s="210"/>
      <c r="D190" s="210"/>
      <c r="E190" s="171" t="s">
        <v>92</v>
      </c>
      <c r="F190" s="160" t="s">
        <v>198</v>
      </c>
      <c r="G190" s="167" t="s">
        <v>162</v>
      </c>
      <c r="H190" s="160">
        <f>VLOOKUP(G190,'условия, ФОТ'!$A$14:$I$32,9, FALSE)</f>
        <v>164.09</v>
      </c>
      <c r="I190" s="172">
        <v>0.25</v>
      </c>
      <c r="J190" s="160">
        <f t="shared" si="59"/>
        <v>41.02</v>
      </c>
      <c r="K190" s="160">
        <f t="shared" si="63"/>
        <v>12.39</v>
      </c>
      <c r="L190" s="160">
        <f t="shared" si="60"/>
        <v>53.410000000000004</v>
      </c>
      <c r="M190" s="159"/>
      <c r="N190" s="160"/>
      <c r="O190" s="160"/>
      <c r="P190" s="160"/>
      <c r="Q190" s="160"/>
      <c r="R190" s="160">
        <f t="shared" si="61"/>
        <v>53.410000000000004</v>
      </c>
      <c r="S190" s="160">
        <f t="shared" si="64"/>
        <v>65.209999999999994</v>
      </c>
      <c r="T190" s="162">
        <f t="shared" si="58"/>
        <v>130.83000000000001</v>
      </c>
      <c r="U190" s="162">
        <f t="shared" si="65"/>
        <v>26.17</v>
      </c>
      <c r="V190" s="162">
        <f t="shared" si="66"/>
        <v>157</v>
      </c>
      <c r="W190" s="162">
        <v>103</v>
      </c>
      <c r="X190" s="78">
        <f t="shared" si="62"/>
        <v>52.427184466019412</v>
      </c>
    </row>
    <row r="191" spans="1:24" hidden="1" x14ac:dyDescent="0.25">
      <c r="A191" s="158" t="s">
        <v>504</v>
      </c>
      <c r="B191" s="158" t="s">
        <v>272</v>
      </c>
      <c r="C191" s="210"/>
      <c r="D191" s="210"/>
      <c r="E191" s="156" t="s">
        <v>93</v>
      </c>
      <c r="F191" s="160" t="s">
        <v>198</v>
      </c>
      <c r="G191" s="167" t="s">
        <v>162</v>
      </c>
      <c r="H191" s="160">
        <f>VLOOKUP(G191,'условия, ФОТ'!$A$14:$I$32,9, FALSE)</f>
        <v>164.09</v>
      </c>
      <c r="I191" s="172">
        <v>0.5</v>
      </c>
      <c r="J191" s="160">
        <f t="shared" si="59"/>
        <v>82.05</v>
      </c>
      <c r="K191" s="160">
        <f t="shared" si="63"/>
        <v>24.78</v>
      </c>
      <c r="L191" s="160">
        <f t="shared" si="60"/>
        <v>106.83</v>
      </c>
      <c r="M191" s="159"/>
      <c r="N191" s="160"/>
      <c r="O191" s="160"/>
      <c r="P191" s="160"/>
      <c r="Q191" s="160"/>
      <c r="R191" s="160">
        <f t="shared" si="61"/>
        <v>106.83</v>
      </c>
      <c r="S191" s="160">
        <f t="shared" si="64"/>
        <v>130.44</v>
      </c>
      <c r="T191" s="162">
        <f t="shared" si="58"/>
        <v>260.83</v>
      </c>
      <c r="U191" s="162">
        <f t="shared" si="65"/>
        <v>52.17</v>
      </c>
      <c r="V191" s="162">
        <f t="shared" si="66"/>
        <v>313</v>
      </c>
      <c r="W191" s="162">
        <v>207</v>
      </c>
      <c r="X191" s="78">
        <f t="shared" si="62"/>
        <v>51.207729468599041</v>
      </c>
    </row>
    <row r="192" spans="1:24" hidden="1" x14ac:dyDescent="0.25">
      <c r="A192" s="158" t="s">
        <v>505</v>
      </c>
      <c r="B192" s="158" t="s">
        <v>273</v>
      </c>
      <c r="C192" s="210"/>
      <c r="D192" s="210"/>
      <c r="E192" s="156" t="s">
        <v>94</v>
      </c>
      <c r="F192" s="160" t="s">
        <v>198</v>
      </c>
      <c r="G192" s="167" t="s">
        <v>162</v>
      </c>
      <c r="H192" s="160">
        <f>VLOOKUP(G192,'условия, ФОТ'!$A$14:$I$32,9, FALSE)</f>
        <v>164.09</v>
      </c>
      <c r="I192" s="172">
        <v>0.91</v>
      </c>
      <c r="J192" s="160">
        <f t="shared" si="59"/>
        <v>149.32</v>
      </c>
      <c r="K192" s="160">
        <f t="shared" si="63"/>
        <v>45.09</v>
      </c>
      <c r="L192" s="160">
        <f t="shared" si="60"/>
        <v>194.41</v>
      </c>
      <c r="M192" s="159"/>
      <c r="N192" s="160"/>
      <c r="O192" s="160"/>
      <c r="P192" s="160"/>
      <c r="Q192" s="160"/>
      <c r="R192" s="160">
        <f t="shared" si="61"/>
        <v>194.41</v>
      </c>
      <c r="S192" s="160">
        <f t="shared" si="64"/>
        <v>237.37</v>
      </c>
      <c r="T192" s="162">
        <f t="shared" si="58"/>
        <v>475</v>
      </c>
      <c r="U192" s="162">
        <f t="shared" si="65"/>
        <v>95</v>
      </c>
      <c r="V192" s="162">
        <f t="shared" si="66"/>
        <v>570</v>
      </c>
      <c r="W192" s="162">
        <v>376</v>
      </c>
      <c r="X192" s="78">
        <f t="shared" si="62"/>
        <v>51.595744680851055</v>
      </c>
    </row>
    <row r="193" spans="1:24" hidden="1" x14ac:dyDescent="0.25">
      <c r="A193" s="158" t="s">
        <v>506</v>
      </c>
      <c r="B193" s="158" t="s">
        <v>274</v>
      </c>
      <c r="C193" s="210"/>
      <c r="D193" s="210"/>
      <c r="E193" s="156" t="s">
        <v>95</v>
      </c>
      <c r="F193" s="160" t="s">
        <v>198</v>
      </c>
      <c r="G193" s="167" t="s">
        <v>162</v>
      </c>
      <c r="H193" s="160">
        <f>VLOOKUP(G193,'условия, ФОТ'!$A$14:$I$32,9, FALSE)</f>
        <v>164.09</v>
      </c>
      <c r="I193" s="172">
        <v>0.72</v>
      </c>
      <c r="J193" s="160">
        <f t="shared" si="59"/>
        <v>118.14</v>
      </c>
      <c r="K193" s="160">
        <f t="shared" si="63"/>
        <v>35.68</v>
      </c>
      <c r="L193" s="160">
        <f t="shared" si="60"/>
        <v>153.82</v>
      </c>
      <c r="M193" s="159"/>
      <c r="N193" s="160"/>
      <c r="O193" s="160"/>
      <c r="P193" s="160"/>
      <c r="Q193" s="160"/>
      <c r="R193" s="160">
        <f t="shared" si="61"/>
        <v>153.82</v>
      </c>
      <c r="S193" s="160">
        <f t="shared" si="64"/>
        <v>187.81</v>
      </c>
      <c r="T193" s="162">
        <f t="shared" si="58"/>
        <v>375.83</v>
      </c>
      <c r="U193" s="162">
        <f t="shared" si="65"/>
        <v>75.17</v>
      </c>
      <c r="V193" s="162">
        <f t="shared" si="66"/>
        <v>451</v>
      </c>
      <c r="W193" s="162">
        <v>298</v>
      </c>
      <c r="X193" s="78">
        <f t="shared" si="62"/>
        <v>51.342281879194616</v>
      </c>
    </row>
    <row r="194" spans="1:24" ht="25.5" hidden="1" x14ac:dyDescent="0.25">
      <c r="A194" s="158" t="s">
        <v>507</v>
      </c>
      <c r="B194" s="158" t="s">
        <v>275</v>
      </c>
      <c r="C194" s="210"/>
      <c r="D194" s="210"/>
      <c r="E194" s="156" t="s">
        <v>96</v>
      </c>
      <c r="F194" s="160" t="s">
        <v>198</v>
      </c>
      <c r="G194" s="167" t="s">
        <v>162</v>
      </c>
      <c r="H194" s="160">
        <f>VLOOKUP(G194,'условия, ФОТ'!$A$14:$I$32,9, FALSE)</f>
        <v>164.09</v>
      </c>
      <c r="I194" s="172">
        <v>0.42</v>
      </c>
      <c r="J194" s="160">
        <f t="shared" si="59"/>
        <v>68.92</v>
      </c>
      <c r="K194" s="160">
        <f t="shared" si="63"/>
        <v>20.81</v>
      </c>
      <c r="L194" s="160">
        <f t="shared" si="60"/>
        <v>89.73</v>
      </c>
      <c r="M194" s="159"/>
      <c r="N194" s="160"/>
      <c r="O194" s="160"/>
      <c r="P194" s="160"/>
      <c r="Q194" s="160"/>
      <c r="R194" s="160">
        <f t="shared" si="61"/>
        <v>89.73</v>
      </c>
      <c r="S194" s="160">
        <f t="shared" si="64"/>
        <v>109.56</v>
      </c>
      <c r="T194" s="162">
        <f t="shared" si="58"/>
        <v>219.17</v>
      </c>
      <c r="U194" s="162">
        <f t="shared" si="65"/>
        <v>43.83</v>
      </c>
      <c r="V194" s="162">
        <f t="shared" si="66"/>
        <v>263</v>
      </c>
      <c r="W194" s="162">
        <v>174</v>
      </c>
      <c r="X194" s="78">
        <f t="shared" si="62"/>
        <v>51.149425287356337</v>
      </c>
    </row>
    <row r="195" spans="1:24" hidden="1" x14ac:dyDescent="0.25">
      <c r="A195" s="158" t="s">
        <v>508</v>
      </c>
      <c r="B195" s="158" t="s">
        <v>276</v>
      </c>
      <c r="C195" s="210"/>
      <c r="D195" s="210"/>
      <c r="E195" s="156" t="s">
        <v>97</v>
      </c>
      <c r="F195" s="160" t="s">
        <v>198</v>
      </c>
      <c r="G195" s="167" t="s">
        <v>162</v>
      </c>
      <c r="H195" s="160">
        <f>VLOOKUP(G195,'условия, ФОТ'!$A$14:$I$32,9, FALSE)</f>
        <v>164.09</v>
      </c>
      <c r="I195" s="172">
        <v>2</v>
      </c>
      <c r="J195" s="160">
        <f t="shared" si="59"/>
        <v>328.18</v>
      </c>
      <c r="K195" s="160">
        <f t="shared" si="63"/>
        <v>99.11</v>
      </c>
      <c r="L195" s="160">
        <f t="shared" si="60"/>
        <v>427.29</v>
      </c>
      <c r="M195" s="159"/>
      <c r="N195" s="160"/>
      <c r="O195" s="160"/>
      <c r="P195" s="160"/>
      <c r="Q195" s="160"/>
      <c r="R195" s="160">
        <f t="shared" si="61"/>
        <v>427.29</v>
      </c>
      <c r="S195" s="160">
        <f t="shared" si="64"/>
        <v>521.72</v>
      </c>
      <c r="T195" s="162">
        <f t="shared" si="58"/>
        <v>1044.17</v>
      </c>
      <c r="U195" s="162">
        <f t="shared" si="65"/>
        <v>208.83</v>
      </c>
      <c r="V195" s="162">
        <f t="shared" si="66"/>
        <v>1253</v>
      </c>
      <c r="W195" s="162">
        <v>827</v>
      </c>
      <c r="X195" s="78">
        <f t="shared" si="62"/>
        <v>51.511487303506641</v>
      </c>
    </row>
    <row r="196" spans="1:24" hidden="1" x14ac:dyDescent="0.25">
      <c r="A196" s="158" t="s">
        <v>509</v>
      </c>
      <c r="B196" s="158" t="s">
        <v>277</v>
      </c>
      <c r="C196" s="210"/>
      <c r="D196" s="210"/>
      <c r="E196" s="156" t="s">
        <v>98</v>
      </c>
      <c r="F196" s="160" t="s">
        <v>198</v>
      </c>
      <c r="G196" s="167" t="s">
        <v>162</v>
      </c>
      <c r="H196" s="160">
        <f>VLOOKUP(G196,'условия, ФОТ'!$A$14:$I$32,9, FALSE)</f>
        <v>164.09</v>
      </c>
      <c r="I196" s="172">
        <v>0.35</v>
      </c>
      <c r="J196" s="160">
        <f t="shared" si="59"/>
        <v>57.43</v>
      </c>
      <c r="K196" s="160">
        <f t="shared" si="63"/>
        <v>17.34</v>
      </c>
      <c r="L196" s="160">
        <f t="shared" si="60"/>
        <v>74.77</v>
      </c>
      <c r="M196" s="159"/>
      <c r="N196" s="160"/>
      <c r="O196" s="160"/>
      <c r="P196" s="160"/>
      <c r="Q196" s="160"/>
      <c r="R196" s="160">
        <f t="shared" si="61"/>
        <v>74.77</v>
      </c>
      <c r="S196" s="160">
        <f t="shared" si="64"/>
        <v>91.29</v>
      </c>
      <c r="T196" s="162">
        <f t="shared" si="58"/>
        <v>182.5</v>
      </c>
      <c r="U196" s="162">
        <f t="shared" si="65"/>
        <v>36.5</v>
      </c>
      <c r="V196" s="162">
        <f t="shared" si="66"/>
        <v>219</v>
      </c>
      <c r="W196" s="162">
        <v>145</v>
      </c>
      <c r="X196" s="78">
        <f t="shared" si="62"/>
        <v>51.034482758620669</v>
      </c>
    </row>
    <row r="197" spans="1:24" hidden="1" x14ac:dyDescent="0.25">
      <c r="A197" s="158" t="s">
        <v>510</v>
      </c>
      <c r="B197" s="158" t="s">
        <v>278</v>
      </c>
      <c r="C197" s="210"/>
      <c r="D197" s="210"/>
      <c r="E197" s="156" t="s">
        <v>99</v>
      </c>
      <c r="F197" s="160" t="s">
        <v>198</v>
      </c>
      <c r="G197" s="167" t="s">
        <v>162</v>
      </c>
      <c r="H197" s="160">
        <f>VLOOKUP(G197,'условия, ФОТ'!$A$14:$I$32,9, FALSE)</f>
        <v>164.09</v>
      </c>
      <c r="I197" s="172">
        <v>0.65</v>
      </c>
      <c r="J197" s="160">
        <f t="shared" si="59"/>
        <v>106.66</v>
      </c>
      <c r="K197" s="160">
        <f t="shared" si="63"/>
        <v>32.21</v>
      </c>
      <c r="L197" s="160">
        <f t="shared" si="60"/>
        <v>138.87</v>
      </c>
      <c r="M197" s="159"/>
      <c r="N197" s="160"/>
      <c r="O197" s="160"/>
      <c r="P197" s="160"/>
      <c r="Q197" s="160"/>
      <c r="R197" s="160">
        <f t="shared" si="61"/>
        <v>138.87</v>
      </c>
      <c r="S197" s="160">
        <f t="shared" si="64"/>
        <v>169.56</v>
      </c>
      <c r="T197" s="162">
        <f t="shared" si="58"/>
        <v>339.17</v>
      </c>
      <c r="U197" s="162">
        <f t="shared" si="65"/>
        <v>67.83</v>
      </c>
      <c r="V197" s="162">
        <f t="shared" si="66"/>
        <v>407</v>
      </c>
      <c r="W197" s="162">
        <v>269</v>
      </c>
      <c r="X197" s="78">
        <f t="shared" si="62"/>
        <v>51.301115241635699</v>
      </c>
    </row>
    <row r="198" spans="1:24" hidden="1" x14ac:dyDescent="0.25">
      <c r="A198" s="158" t="s">
        <v>511</v>
      </c>
      <c r="B198" s="158" t="s">
        <v>279</v>
      </c>
      <c r="C198" s="210"/>
      <c r="D198" s="210"/>
      <c r="E198" s="171" t="s">
        <v>100</v>
      </c>
      <c r="F198" s="160" t="s">
        <v>198</v>
      </c>
      <c r="G198" s="167" t="s">
        <v>162</v>
      </c>
      <c r="H198" s="160">
        <f>VLOOKUP(G198,'условия, ФОТ'!$A$14:$I$32,9, FALSE)</f>
        <v>164.09</v>
      </c>
      <c r="I198" s="172">
        <v>1</v>
      </c>
      <c r="J198" s="160">
        <f t="shared" si="59"/>
        <v>164.09</v>
      </c>
      <c r="K198" s="160">
        <f t="shared" si="63"/>
        <v>49.56</v>
      </c>
      <c r="L198" s="160">
        <f t="shared" si="60"/>
        <v>213.65</v>
      </c>
      <c r="M198" s="159"/>
      <c r="N198" s="160"/>
      <c r="O198" s="160"/>
      <c r="P198" s="160"/>
      <c r="Q198" s="160"/>
      <c r="R198" s="160">
        <f t="shared" si="61"/>
        <v>213.65</v>
      </c>
      <c r="S198" s="160">
        <f t="shared" si="64"/>
        <v>260.87</v>
      </c>
      <c r="T198" s="162">
        <f t="shared" si="58"/>
        <v>521.66999999999996</v>
      </c>
      <c r="U198" s="162">
        <f t="shared" si="65"/>
        <v>104.33</v>
      </c>
      <c r="V198" s="162">
        <f t="shared" si="66"/>
        <v>626</v>
      </c>
      <c r="W198" s="162">
        <v>413</v>
      </c>
      <c r="X198" s="78">
        <f t="shared" si="62"/>
        <v>51.573849878934624</v>
      </c>
    </row>
    <row r="199" spans="1:24" hidden="1" x14ac:dyDescent="0.25">
      <c r="A199" s="158" t="s">
        <v>512</v>
      </c>
      <c r="B199" s="158" t="s">
        <v>280</v>
      </c>
      <c r="C199" s="210"/>
      <c r="D199" s="210"/>
      <c r="E199" s="171" t="s">
        <v>101</v>
      </c>
      <c r="F199" s="160" t="s">
        <v>198</v>
      </c>
      <c r="G199" s="167" t="s">
        <v>162</v>
      </c>
      <c r="H199" s="160">
        <f>VLOOKUP(G199,'условия, ФОТ'!$A$14:$I$32,9, FALSE)</f>
        <v>164.09</v>
      </c>
      <c r="I199" s="172">
        <v>0.66</v>
      </c>
      <c r="J199" s="160">
        <f t="shared" si="59"/>
        <v>108.3</v>
      </c>
      <c r="K199" s="160">
        <f t="shared" si="63"/>
        <v>32.71</v>
      </c>
      <c r="L199" s="160">
        <f t="shared" si="60"/>
        <v>141.01</v>
      </c>
      <c r="M199" s="159"/>
      <c r="N199" s="160"/>
      <c r="O199" s="160"/>
      <c r="P199" s="160"/>
      <c r="Q199" s="160"/>
      <c r="R199" s="160">
        <f t="shared" si="61"/>
        <v>141.01</v>
      </c>
      <c r="S199" s="160">
        <f t="shared" si="64"/>
        <v>172.17</v>
      </c>
      <c r="T199" s="162">
        <f t="shared" si="58"/>
        <v>344.17</v>
      </c>
      <c r="U199" s="162">
        <f t="shared" si="65"/>
        <v>68.83</v>
      </c>
      <c r="V199" s="162">
        <f t="shared" si="66"/>
        <v>413</v>
      </c>
      <c r="W199" s="162">
        <v>273</v>
      </c>
      <c r="X199" s="78">
        <f t="shared" si="62"/>
        <v>51.28205128205127</v>
      </c>
    </row>
    <row r="200" spans="1:24" hidden="1" x14ac:dyDescent="0.25">
      <c r="A200" s="158" t="s">
        <v>513</v>
      </c>
      <c r="B200" s="158" t="s">
        <v>27</v>
      </c>
      <c r="C200" s="210"/>
      <c r="D200" s="210"/>
      <c r="E200" s="156" t="s">
        <v>102</v>
      </c>
      <c r="F200" s="160" t="s">
        <v>198</v>
      </c>
      <c r="G200" s="167" t="s">
        <v>162</v>
      </c>
      <c r="H200" s="160">
        <f>VLOOKUP(G200,'условия, ФОТ'!$A$14:$I$32,9, FALSE)</f>
        <v>164.09</v>
      </c>
      <c r="I200" s="172">
        <v>0.1</v>
      </c>
      <c r="J200" s="160">
        <f t="shared" si="59"/>
        <v>16.41</v>
      </c>
      <c r="K200" s="160">
        <f t="shared" si="63"/>
        <v>4.96</v>
      </c>
      <c r="L200" s="160">
        <f t="shared" si="60"/>
        <v>21.37</v>
      </c>
      <c r="M200" s="159"/>
      <c r="N200" s="160"/>
      <c r="O200" s="160"/>
      <c r="P200" s="160"/>
      <c r="Q200" s="160"/>
      <c r="R200" s="160">
        <f t="shared" si="61"/>
        <v>21.37</v>
      </c>
      <c r="S200" s="160">
        <f t="shared" si="64"/>
        <v>26.09</v>
      </c>
      <c r="T200" s="162">
        <f t="shared" si="58"/>
        <v>52.5</v>
      </c>
      <c r="U200" s="162">
        <f t="shared" si="65"/>
        <v>10.5</v>
      </c>
      <c r="V200" s="162">
        <f t="shared" si="66"/>
        <v>63</v>
      </c>
      <c r="W200" s="162">
        <v>41</v>
      </c>
      <c r="X200" s="78">
        <f t="shared" si="62"/>
        <v>53.658536585365852</v>
      </c>
    </row>
    <row r="201" spans="1:24" hidden="1" x14ac:dyDescent="0.25">
      <c r="A201" s="158" t="s">
        <v>514</v>
      </c>
      <c r="B201" s="158" t="s">
        <v>27</v>
      </c>
      <c r="C201" s="210"/>
      <c r="D201" s="210"/>
      <c r="E201" s="156" t="s">
        <v>103</v>
      </c>
      <c r="F201" s="160" t="s">
        <v>198</v>
      </c>
      <c r="G201" s="167" t="s">
        <v>283</v>
      </c>
      <c r="H201" s="160">
        <f>VLOOKUP(G201,'условия, ФОТ'!$A$14:$I$32,9, FALSE)</f>
        <v>142.96</v>
      </c>
      <c r="I201" s="172">
        <v>0.25</v>
      </c>
      <c r="J201" s="160">
        <f t="shared" si="59"/>
        <v>35.74</v>
      </c>
      <c r="K201" s="160">
        <f t="shared" si="63"/>
        <v>10.79</v>
      </c>
      <c r="L201" s="160">
        <f t="shared" si="60"/>
        <v>46.53</v>
      </c>
      <c r="M201" s="159"/>
      <c r="N201" s="160"/>
      <c r="O201" s="160"/>
      <c r="P201" s="160"/>
      <c r="Q201" s="160"/>
      <c r="R201" s="160">
        <f t="shared" si="61"/>
        <v>46.53</v>
      </c>
      <c r="S201" s="160">
        <f t="shared" si="64"/>
        <v>56.81</v>
      </c>
      <c r="T201" s="162">
        <f t="shared" si="58"/>
        <v>113.33</v>
      </c>
      <c r="U201" s="162">
        <f t="shared" si="65"/>
        <v>22.67</v>
      </c>
      <c r="V201" s="162">
        <f t="shared" si="66"/>
        <v>136</v>
      </c>
      <c r="W201" s="162">
        <v>117</v>
      </c>
      <c r="X201" s="78">
        <f t="shared" si="62"/>
        <v>16.239316239316253</v>
      </c>
    </row>
    <row r="202" spans="1:24" hidden="1" x14ac:dyDescent="0.25">
      <c r="A202" s="158" t="s">
        <v>515</v>
      </c>
      <c r="B202" s="158" t="s">
        <v>27</v>
      </c>
      <c r="C202" s="210"/>
      <c r="D202" s="210"/>
      <c r="E202" s="156" t="s">
        <v>104</v>
      </c>
      <c r="F202" s="160" t="s">
        <v>198</v>
      </c>
      <c r="G202" s="167" t="s">
        <v>283</v>
      </c>
      <c r="H202" s="160">
        <f>VLOOKUP(G202,'условия, ФОТ'!$A$14:$I$32,9, FALSE)</f>
        <v>142.96</v>
      </c>
      <c r="I202" s="172">
        <v>0.25</v>
      </c>
      <c r="J202" s="160">
        <f t="shared" si="59"/>
        <v>35.74</v>
      </c>
      <c r="K202" s="160">
        <f t="shared" si="63"/>
        <v>10.79</v>
      </c>
      <c r="L202" s="160">
        <f t="shared" si="60"/>
        <v>46.53</v>
      </c>
      <c r="M202" s="159"/>
      <c r="N202" s="160"/>
      <c r="O202" s="160"/>
      <c r="P202" s="160"/>
      <c r="Q202" s="160"/>
      <c r="R202" s="160">
        <f t="shared" si="61"/>
        <v>46.53</v>
      </c>
      <c r="S202" s="160">
        <f t="shared" si="64"/>
        <v>56.81</v>
      </c>
      <c r="T202" s="162">
        <f t="shared" si="58"/>
        <v>113.33</v>
      </c>
      <c r="U202" s="162">
        <f t="shared" si="65"/>
        <v>22.67</v>
      </c>
      <c r="V202" s="162">
        <f t="shared" si="66"/>
        <v>136</v>
      </c>
      <c r="W202" s="162">
        <v>117</v>
      </c>
      <c r="X202" s="78">
        <f t="shared" si="62"/>
        <v>16.239316239316253</v>
      </c>
    </row>
    <row r="203" spans="1:24" ht="25.5" hidden="1" x14ac:dyDescent="0.25">
      <c r="A203" s="158" t="s">
        <v>516</v>
      </c>
      <c r="B203" s="158" t="s">
        <v>27</v>
      </c>
      <c r="C203" s="210"/>
      <c r="D203" s="210"/>
      <c r="E203" s="156" t="s">
        <v>105</v>
      </c>
      <c r="F203" s="160" t="s">
        <v>198</v>
      </c>
      <c r="G203" s="167" t="s">
        <v>283</v>
      </c>
      <c r="H203" s="160">
        <f>VLOOKUP(G203,'условия, ФОТ'!$A$14:$I$32,9, FALSE)</f>
        <v>142.96</v>
      </c>
      <c r="I203" s="172">
        <v>0.33</v>
      </c>
      <c r="J203" s="160">
        <f t="shared" si="59"/>
        <v>47.18</v>
      </c>
      <c r="K203" s="160">
        <f t="shared" si="63"/>
        <v>14.25</v>
      </c>
      <c r="L203" s="160">
        <f t="shared" si="60"/>
        <v>61.43</v>
      </c>
      <c r="M203" s="159"/>
      <c r="N203" s="160"/>
      <c r="O203" s="160"/>
      <c r="P203" s="160"/>
      <c r="Q203" s="160"/>
      <c r="R203" s="160">
        <f t="shared" si="61"/>
        <v>61.43</v>
      </c>
      <c r="S203" s="160">
        <f t="shared" si="64"/>
        <v>75.010000000000005</v>
      </c>
      <c r="T203" s="162">
        <f t="shared" si="58"/>
        <v>150</v>
      </c>
      <c r="U203" s="162">
        <f t="shared" si="65"/>
        <v>30</v>
      </c>
      <c r="V203" s="162">
        <f t="shared" si="66"/>
        <v>180</v>
      </c>
      <c r="W203" s="162">
        <v>154</v>
      </c>
      <c r="X203" s="78">
        <f t="shared" si="62"/>
        <v>16.883116883116884</v>
      </c>
    </row>
    <row r="204" spans="1:24" ht="22.7" hidden="1" customHeight="1" x14ac:dyDescent="0.25">
      <c r="A204" s="158" t="s">
        <v>517</v>
      </c>
      <c r="B204" s="158" t="s">
        <v>27</v>
      </c>
      <c r="C204" s="210"/>
      <c r="D204" s="210"/>
      <c r="E204" s="156" t="s">
        <v>106</v>
      </c>
      <c r="F204" s="160" t="s">
        <v>198</v>
      </c>
      <c r="G204" s="167" t="s">
        <v>283</v>
      </c>
      <c r="H204" s="160">
        <f>VLOOKUP(G204,'условия, ФОТ'!$A$14:$I$32,9, FALSE)</f>
        <v>142.96</v>
      </c>
      <c r="I204" s="172">
        <v>0.33</v>
      </c>
      <c r="J204" s="160">
        <f t="shared" si="59"/>
        <v>47.18</v>
      </c>
      <c r="K204" s="160">
        <f t="shared" si="63"/>
        <v>14.25</v>
      </c>
      <c r="L204" s="160">
        <f t="shared" si="60"/>
        <v>61.43</v>
      </c>
      <c r="M204" s="159"/>
      <c r="N204" s="160"/>
      <c r="O204" s="160"/>
      <c r="P204" s="160"/>
      <c r="Q204" s="160"/>
      <c r="R204" s="160">
        <f t="shared" si="61"/>
        <v>61.43</v>
      </c>
      <c r="S204" s="160">
        <f t="shared" si="64"/>
        <v>75.010000000000005</v>
      </c>
      <c r="T204" s="162">
        <f t="shared" si="58"/>
        <v>150</v>
      </c>
      <c r="U204" s="162">
        <f t="shared" si="65"/>
        <v>30</v>
      </c>
      <c r="V204" s="162">
        <f t="shared" si="66"/>
        <v>180</v>
      </c>
      <c r="W204" s="162">
        <v>154</v>
      </c>
      <c r="X204" s="78">
        <f t="shared" si="62"/>
        <v>16.883116883116884</v>
      </c>
    </row>
    <row r="205" spans="1:24" ht="31.7" hidden="1" customHeight="1" x14ac:dyDescent="0.25">
      <c r="A205" s="158" t="s">
        <v>518</v>
      </c>
      <c r="B205" s="158" t="s">
        <v>27</v>
      </c>
      <c r="C205" s="210"/>
      <c r="D205" s="210"/>
      <c r="E205" s="156" t="s">
        <v>107</v>
      </c>
      <c r="F205" s="160" t="s">
        <v>198</v>
      </c>
      <c r="G205" s="167" t="s">
        <v>283</v>
      </c>
      <c r="H205" s="160">
        <f>VLOOKUP(G205,'условия, ФОТ'!$A$14:$I$32,9, FALSE)</f>
        <v>142.96</v>
      </c>
      <c r="I205" s="172">
        <v>0.33</v>
      </c>
      <c r="J205" s="160">
        <f t="shared" si="59"/>
        <v>47.18</v>
      </c>
      <c r="K205" s="160">
        <f t="shared" si="63"/>
        <v>14.25</v>
      </c>
      <c r="L205" s="160">
        <f t="shared" si="60"/>
        <v>61.43</v>
      </c>
      <c r="M205" s="159"/>
      <c r="N205" s="160"/>
      <c r="O205" s="160"/>
      <c r="P205" s="160"/>
      <c r="Q205" s="160"/>
      <c r="R205" s="160">
        <f t="shared" si="61"/>
        <v>61.43</v>
      </c>
      <c r="S205" s="160">
        <f t="shared" si="64"/>
        <v>75.010000000000005</v>
      </c>
      <c r="T205" s="162">
        <f t="shared" si="58"/>
        <v>150</v>
      </c>
      <c r="U205" s="162">
        <f t="shared" si="65"/>
        <v>30</v>
      </c>
      <c r="V205" s="162">
        <f t="shared" si="66"/>
        <v>180</v>
      </c>
      <c r="W205" s="162">
        <v>154</v>
      </c>
      <c r="X205" s="78">
        <f t="shared" si="62"/>
        <v>16.883116883116884</v>
      </c>
    </row>
    <row r="206" spans="1:24" ht="18" hidden="1" customHeight="1" x14ac:dyDescent="0.25">
      <c r="A206" s="158" t="s">
        <v>519</v>
      </c>
      <c r="B206" s="158" t="s">
        <v>27</v>
      </c>
      <c r="C206" s="210"/>
      <c r="D206" s="210"/>
      <c r="E206" s="156" t="s">
        <v>108</v>
      </c>
      <c r="F206" s="160" t="s">
        <v>198</v>
      </c>
      <c r="G206" s="167" t="s">
        <v>283</v>
      </c>
      <c r="H206" s="160">
        <f>VLOOKUP(G206,'условия, ФОТ'!$A$14:$I$32,9, FALSE)</f>
        <v>142.96</v>
      </c>
      <c r="I206" s="172">
        <v>0.5</v>
      </c>
      <c r="J206" s="160">
        <f t="shared" si="59"/>
        <v>71.48</v>
      </c>
      <c r="K206" s="160">
        <f t="shared" si="63"/>
        <v>21.59</v>
      </c>
      <c r="L206" s="160">
        <f t="shared" si="60"/>
        <v>93.070000000000007</v>
      </c>
      <c r="M206" s="159"/>
      <c r="N206" s="160"/>
      <c r="O206" s="160"/>
      <c r="P206" s="160"/>
      <c r="Q206" s="160"/>
      <c r="R206" s="160">
        <f t="shared" si="61"/>
        <v>93.070000000000007</v>
      </c>
      <c r="S206" s="160">
        <f t="shared" si="64"/>
        <v>113.64</v>
      </c>
      <c r="T206" s="162">
        <f>ROUND(V206/1.2,2)</f>
        <v>227.5</v>
      </c>
      <c r="U206" s="162">
        <f t="shared" si="65"/>
        <v>45.5</v>
      </c>
      <c r="V206" s="162">
        <f t="shared" si="66"/>
        <v>273</v>
      </c>
      <c r="W206" s="162">
        <v>234</v>
      </c>
      <c r="X206" s="78">
        <f t="shared" si="62"/>
        <v>16.666666666666671</v>
      </c>
    </row>
    <row r="207" spans="1:24" ht="18" hidden="1" customHeight="1" x14ac:dyDescent="0.25">
      <c r="A207" s="597" t="s">
        <v>281</v>
      </c>
      <c r="B207" s="597"/>
      <c r="C207" s="597"/>
      <c r="D207" s="597"/>
      <c r="E207" s="597"/>
      <c r="F207" s="597"/>
      <c r="G207" s="597"/>
      <c r="H207" s="597"/>
      <c r="I207" s="597"/>
      <c r="J207" s="597"/>
      <c r="K207" s="597"/>
      <c r="L207" s="597"/>
      <c r="M207" s="597"/>
      <c r="N207" s="597"/>
      <c r="O207" s="597"/>
      <c r="P207" s="597"/>
      <c r="Q207" s="597"/>
      <c r="R207" s="597"/>
      <c r="S207" s="597"/>
      <c r="T207" s="597"/>
      <c r="U207" s="597"/>
      <c r="V207" s="597"/>
      <c r="W207" s="597"/>
      <c r="X207" s="78"/>
    </row>
    <row r="208" spans="1:24" ht="30.75" hidden="1" customHeight="1" x14ac:dyDescent="0.25">
      <c r="A208" s="158" t="s">
        <v>520</v>
      </c>
      <c r="B208" s="158" t="s">
        <v>282</v>
      </c>
      <c r="C208" s="210"/>
      <c r="D208" s="210"/>
      <c r="E208" s="156" t="s">
        <v>109</v>
      </c>
      <c r="F208" s="160" t="s">
        <v>26</v>
      </c>
      <c r="G208" s="167" t="s">
        <v>161</v>
      </c>
      <c r="H208" s="160">
        <f>VLOOKUP(G208,'условия, ФОТ'!$A$14:$I$32,9, FALSE)</f>
        <v>111.79</v>
      </c>
      <c r="I208" s="172">
        <v>0.9</v>
      </c>
      <c r="J208" s="160">
        <f>ROUND(H208*I208,2)</f>
        <v>100.61</v>
      </c>
      <c r="K208" s="160">
        <f>ROUND(J208*$K$7,2)</f>
        <v>30.38</v>
      </c>
      <c r="L208" s="160">
        <f t="shared" si="60"/>
        <v>130.99</v>
      </c>
      <c r="M208" s="159"/>
      <c r="N208" s="160"/>
      <c r="O208" s="160"/>
      <c r="P208" s="160"/>
      <c r="Q208" s="160">
        <f>SUM(Q209:Q211)</f>
        <v>4.03</v>
      </c>
      <c r="R208" s="160">
        <f>L208+Q208</f>
        <v>135.02000000000001</v>
      </c>
      <c r="S208" s="160">
        <f>ROUND(R208*$S$7,2)</f>
        <v>164.86</v>
      </c>
      <c r="T208" s="162">
        <f>ROUND(V208/1.2,2)</f>
        <v>330</v>
      </c>
      <c r="U208" s="162">
        <f>ROUND(T208*$U$7,2)</f>
        <v>66</v>
      </c>
      <c r="V208" s="162">
        <f>ROUND((R208+S208)*(1+$T$7)*1.2,0)</f>
        <v>396</v>
      </c>
      <c r="W208" s="162">
        <v>339</v>
      </c>
      <c r="X208" s="78">
        <f t="shared" si="62"/>
        <v>16.814159292035399</v>
      </c>
    </row>
    <row r="209" spans="1:24" ht="26.25" hidden="1" customHeight="1" outlineLevel="1" x14ac:dyDescent="0.25">
      <c r="A209" s="158"/>
      <c r="B209" s="158"/>
      <c r="C209" s="210"/>
      <c r="D209" s="210"/>
      <c r="E209" s="156"/>
      <c r="F209" s="160"/>
      <c r="G209" s="167"/>
      <c r="H209" s="160"/>
      <c r="I209" s="172"/>
      <c r="J209" s="160"/>
      <c r="K209" s="160"/>
      <c r="L209" s="96" t="s">
        <v>366</v>
      </c>
      <c r="M209" s="104" t="s">
        <v>335</v>
      </c>
      <c r="N209" s="98" t="str">
        <f>VLOOKUP(M209,материалы!$A$5:$G$31,5, FALSE)</f>
        <v>кг</v>
      </c>
      <c r="O209" s="160">
        <f>VLOOKUP(M209,материалы!$A$5:$G$31,7, FALSE)</f>
        <v>712.76</v>
      </c>
      <c r="P209" s="160">
        <v>5.0000000000000001E-3</v>
      </c>
      <c r="Q209" s="160">
        <f>ROUND(O209*P209,2)</f>
        <v>3.56</v>
      </c>
      <c r="R209" s="160"/>
      <c r="S209" s="160"/>
      <c r="T209" s="162"/>
      <c r="U209" s="162"/>
      <c r="V209" s="162"/>
      <c r="W209" s="162"/>
      <c r="X209" s="78"/>
    </row>
    <row r="210" spans="1:24" hidden="1" outlineLevel="1" x14ac:dyDescent="0.25">
      <c r="A210" s="158"/>
      <c r="B210" s="158"/>
      <c r="C210" s="210"/>
      <c r="D210" s="210"/>
      <c r="E210" s="156"/>
      <c r="F210" s="160"/>
      <c r="G210" s="167"/>
      <c r="H210" s="160"/>
      <c r="I210" s="172"/>
      <c r="J210" s="160"/>
      <c r="K210" s="160"/>
      <c r="L210" s="160"/>
      <c r="M210" s="97" t="s">
        <v>329</v>
      </c>
      <c r="N210" s="98" t="str">
        <f>VLOOKUP(M210,материалы!$A$5:$G$31,5, FALSE)</f>
        <v>кг</v>
      </c>
      <c r="O210" s="160">
        <f>VLOOKUP(M210,материалы!$A$5:$G$31,7, FALSE)</f>
        <v>65.599999999999994</v>
      </c>
      <c r="P210" s="100">
        <v>1E-3</v>
      </c>
      <c r="Q210" s="160">
        <f>ROUND(O210*P210,2)</f>
        <v>7.0000000000000007E-2</v>
      </c>
      <c r="R210" s="160"/>
      <c r="S210" s="160"/>
      <c r="T210" s="162"/>
      <c r="U210" s="162"/>
      <c r="V210" s="162"/>
      <c r="W210" s="162"/>
      <c r="X210" s="78"/>
    </row>
    <row r="211" spans="1:24" hidden="1" outlineLevel="1" x14ac:dyDescent="0.25">
      <c r="A211" s="158"/>
      <c r="B211" s="158"/>
      <c r="C211" s="210"/>
      <c r="D211" s="210"/>
      <c r="E211" s="156"/>
      <c r="F211" s="160"/>
      <c r="G211" s="167"/>
      <c r="H211" s="160"/>
      <c r="I211" s="172"/>
      <c r="J211" s="160"/>
      <c r="K211" s="160"/>
      <c r="L211" s="160"/>
      <c r="M211" s="97" t="s">
        <v>330</v>
      </c>
      <c r="N211" s="98" t="str">
        <f>VLOOKUP(M211,материалы!$A$5:$G$31,5, FALSE)</f>
        <v>кг</v>
      </c>
      <c r="O211" s="160">
        <f>VLOOKUP(M211,материалы!$A$5:$G$31,7, FALSE)</f>
        <v>39.82</v>
      </c>
      <c r="P211" s="98">
        <v>0.01</v>
      </c>
      <c r="Q211" s="160">
        <f>ROUND(O211*P211,2)</f>
        <v>0.4</v>
      </c>
      <c r="R211" s="160"/>
      <c r="S211" s="160"/>
      <c r="T211" s="162"/>
      <c r="U211" s="162"/>
      <c r="V211" s="162"/>
      <c r="W211" s="162"/>
      <c r="X211" s="78"/>
    </row>
    <row r="212" spans="1:24" ht="19.5" hidden="1" customHeight="1" x14ac:dyDescent="0.25">
      <c r="A212" s="590" t="s">
        <v>521</v>
      </c>
      <c r="B212" s="590" t="s">
        <v>284</v>
      </c>
      <c r="C212" s="210"/>
      <c r="D212" s="210"/>
      <c r="E212" s="589" t="s">
        <v>373</v>
      </c>
      <c r="F212" s="592" t="s">
        <v>285</v>
      </c>
      <c r="G212" s="167" t="s">
        <v>161</v>
      </c>
      <c r="H212" s="160">
        <f>VLOOKUP(G212,'условия, ФОТ'!$A$14:$I$32,9, FALSE)</f>
        <v>111.79</v>
      </c>
      <c r="I212" s="608">
        <v>2.84</v>
      </c>
      <c r="J212" s="608">
        <f>ROUND((H212+H213)/2*I212,2)</f>
        <v>422.58</v>
      </c>
      <c r="K212" s="608">
        <f>ROUND(J212*$K$7,2)</f>
        <v>127.62</v>
      </c>
      <c r="L212" s="608">
        <f t="shared" si="60"/>
        <v>550.20000000000005</v>
      </c>
      <c r="M212" s="591"/>
      <c r="N212" s="592"/>
      <c r="O212" s="592"/>
      <c r="P212" s="592"/>
      <c r="Q212" s="592">
        <f>SUM(Q214:Q219)</f>
        <v>114.72000000000001</v>
      </c>
      <c r="R212" s="608">
        <f>L212+Q212</f>
        <v>664.92000000000007</v>
      </c>
      <c r="S212" s="608">
        <f>ROUND(R212*$S$7,2)</f>
        <v>811.87</v>
      </c>
      <c r="T212" s="596">
        <f>ROUND(V212/1.2,2)</f>
        <v>1624.17</v>
      </c>
      <c r="U212" s="596">
        <f>ROUND(T212*$U$7,2)</f>
        <v>324.83</v>
      </c>
      <c r="V212" s="596">
        <f>ROUND((R212+S212)*(1+$T$7)*1.2,0)</f>
        <v>1949</v>
      </c>
      <c r="W212" s="596">
        <v>1669</v>
      </c>
      <c r="X212" s="601">
        <f t="shared" si="62"/>
        <v>16.776512881965246</v>
      </c>
    </row>
    <row r="213" spans="1:24" ht="20.25" hidden="1" customHeight="1" x14ac:dyDescent="0.25">
      <c r="A213" s="590"/>
      <c r="B213" s="590"/>
      <c r="C213" s="210"/>
      <c r="D213" s="210"/>
      <c r="E213" s="589"/>
      <c r="F213" s="592"/>
      <c r="G213" s="167" t="s">
        <v>166</v>
      </c>
      <c r="H213" s="160">
        <f>VLOOKUP(G213,'условия, ФОТ'!$A$14:$I$32,9, FALSE)</f>
        <v>185.8</v>
      </c>
      <c r="I213" s="608"/>
      <c r="J213" s="608"/>
      <c r="K213" s="608"/>
      <c r="L213" s="608"/>
      <c r="M213" s="591"/>
      <c r="N213" s="592"/>
      <c r="O213" s="592"/>
      <c r="P213" s="592"/>
      <c r="Q213" s="592"/>
      <c r="R213" s="608"/>
      <c r="S213" s="608"/>
      <c r="T213" s="596"/>
      <c r="U213" s="596"/>
      <c r="V213" s="596"/>
      <c r="W213" s="596"/>
      <c r="X213" s="601"/>
    </row>
    <row r="214" spans="1:24" ht="15.75" hidden="1" customHeight="1" outlineLevel="1" x14ac:dyDescent="0.25">
      <c r="A214" s="158"/>
      <c r="B214" s="158"/>
      <c r="C214" s="210"/>
      <c r="D214" s="210"/>
      <c r="E214" s="156"/>
      <c r="F214" s="160"/>
      <c r="G214" s="167"/>
      <c r="H214" s="160"/>
      <c r="I214" s="172"/>
      <c r="J214" s="172"/>
      <c r="K214" s="172"/>
      <c r="L214" s="96" t="s">
        <v>366</v>
      </c>
      <c r="M214" s="122" t="s">
        <v>323</v>
      </c>
      <c r="N214" s="98" t="str">
        <f>VLOOKUP(M214,материалы!$A$5:$G$31,5, FALSE)</f>
        <v>м3</v>
      </c>
      <c r="O214" s="160">
        <f>VLOOKUP(M214,материалы!$A$5:$G$31,7, FALSE)</f>
        <v>379.24</v>
      </c>
      <c r="P214" s="160">
        <v>0.17499999999999999</v>
      </c>
      <c r="Q214" s="160">
        <f>ROUND(O214*P214,2)</f>
        <v>66.37</v>
      </c>
      <c r="R214" s="172"/>
      <c r="S214" s="172"/>
      <c r="T214" s="162"/>
      <c r="U214" s="162"/>
      <c r="V214" s="162"/>
      <c r="W214" s="162"/>
      <c r="X214" s="169"/>
    </row>
    <row r="215" spans="1:24" ht="15.75" hidden="1" customHeight="1" outlineLevel="1" x14ac:dyDescent="0.25">
      <c r="A215" s="158"/>
      <c r="B215" s="158"/>
      <c r="C215" s="210"/>
      <c r="D215" s="210"/>
      <c r="E215" s="156"/>
      <c r="F215" s="160"/>
      <c r="G215" s="167"/>
      <c r="H215" s="160"/>
      <c r="I215" s="172"/>
      <c r="J215" s="172"/>
      <c r="K215" s="172"/>
      <c r="L215" s="172"/>
      <c r="M215" s="122" t="s">
        <v>324</v>
      </c>
      <c r="N215" s="98" t="str">
        <f>VLOOKUP(M215,материалы!$A$5:$G$31,5, FALSE)</f>
        <v>м3</v>
      </c>
      <c r="O215" s="160">
        <f>VLOOKUP(M215,материалы!$A$5:$G$31,7, FALSE)</f>
        <v>54.61</v>
      </c>
      <c r="P215" s="160">
        <v>0.05</v>
      </c>
      <c r="Q215" s="160">
        <f t="shared" ref="Q215:Q216" si="67">ROUND(O215*P215,2)</f>
        <v>2.73</v>
      </c>
      <c r="R215" s="172"/>
      <c r="S215" s="172"/>
      <c r="T215" s="162"/>
      <c r="U215" s="162"/>
      <c r="V215" s="162"/>
      <c r="W215" s="162"/>
      <c r="X215" s="169"/>
    </row>
    <row r="216" spans="1:24" ht="36" hidden="1" customHeight="1" outlineLevel="1" x14ac:dyDescent="0.25">
      <c r="A216" s="158"/>
      <c r="B216" s="158"/>
      <c r="C216" s="210"/>
      <c r="D216" s="210"/>
      <c r="E216" s="156"/>
      <c r="F216" s="160"/>
      <c r="G216" s="167"/>
      <c r="H216" s="160"/>
      <c r="I216" s="172"/>
      <c r="J216" s="172"/>
      <c r="K216" s="172"/>
      <c r="L216" s="172"/>
      <c r="M216" s="104" t="s">
        <v>341</v>
      </c>
      <c r="N216" s="98" t="str">
        <f>VLOOKUP(M216,материалы!$A$5:$G$31,5, FALSE)</f>
        <v>кг</v>
      </c>
      <c r="O216" s="160">
        <f>VLOOKUP(M216,материалы!$A$5:$G$31,7, FALSE)</f>
        <v>44.94</v>
      </c>
      <c r="P216" s="160">
        <v>1.7000000000000001E-2</v>
      </c>
      <c r="Q216" s="160">
        <f t="shared" si="67"/>
        <v>0.76</v>
      </c>
      <c r="R216" s="172"/>
      <c r="S216" s="172"/>
      <c r="T216" s="162"/>
      <c r="U216" s="162"/>
      <c r="V216" s="162"/>
      <c r="W216" s="162"/>
      <c r="X216" s="169"/>
    </row>
    <row r="217" spans="1:24" hidden="1" outlineLevel="1" x14ac:dyDescent="0.25">
      <c r="A217" s="158"/>
      <c r="B217" s="158"/>
      <c r="C217" s="210"/>
      <c r="D217" s="210"/>
      <c r="E217" s="156"/>
      <c r="F217" s="160"/>
      <c r="G217" s="167"/>
      <c r="H217" s="160"/>
      <c r="I217" s="172"/>
      <c r="J217" s="172"/>
      <c r="K217" s="172"/>
      <c r="L217" s="172"/>
      <c r="M217" s="97" t="s">
        <v>329</v>
      </c>
      <c r="N217" s="98" t="str">
        <f>VLOOKUP(M217,материалы!$A$5:$G$31,5, FALSE)</f>
        <v>кг</v>
      </c>
      <c r="O217" s="160">
        <f>VLOOKUP(M217,материалы!$A$5:$G$31,7, FALSE)</f>
        <v>65.599999999999994</v>
      </c>
      <c r="P217" s="100">
        <v>1E-3</v>
      </c>
      <c r="Q217" s="160">
        <f>ROUND(O217*P217,2)</f>
        <v>7.0000000000000007E-2</v>
      </c>
      <c r="R217" s="172"/>
      <c r="S217" s="172"/>
      <c r="T217" s="162"/>
      <c r="U217" s="162"/>
      <c r="V217" s="162"/>
      <c r="W217" s="162"/>
      <c r="X217" s="169"/>
    </row>
    <row r="218" spans="1:24" hidden="1" outlineLevel="1" x14ac:dyDescent="0.25">
      <c r="A218" s="158"/>
      <c r="B218" s="158"/>
      <c r="C218" s="210"/>
      <c r="D218" s="210"/>
      <c r="E218" s="156"/>
      <c r="F218" s="160"/>
      <c r="G218" s="167"/>
      <c r="H218" s="160"/>
      <c r="I218" s="172"/>
      <c r="J218" s="172"/>
      <c r="K218" s="172"/>
      <c r="L218" s="172"/>
      <c r="M218" s="97" t="s">
        <v>330</v>
      </c>
      <c r="N218" s="98" t="str">
        <f>VLOOKUP(M218,материалы!$A$5:$G$31,5, FALSE)</f>
        <v>кг</v>
      </c>
      <c r="O218" s="160">
        <f>VLOOKUP(M218,материалы!$A$5:$G$31,7, FALSE)</f>
        <v>39.82</v>
      </c>
      <c r="P218" s="98">
        <v>0.01</v>
      </c>
      <c r="Q218" s="160">
        <f>ROUND(O218*P218,2)</f>
        <v>0.4</v>
      </c>
      <c r="R218" s="172"/>
      <c r="S218" s="172"/>
      <c r="T218" s="162"/>
      <c r="U218" s="162"/>
      <c r="V218" s="162"/>
      <c r="W218" s="162"/>
      <c r="X218" s="169"/>
    </row>
    <row r="219" spans="1:24" ht="25.5" hidden="1" outlineLevel="1" x14ac:dyDescent="0.25">
      <c r="A219" s="158"/>
      <c r="B219" s="158"/>
      <c r="C219" s="210"/>
      <c r="D219" s="210"/>
      <c r="E219" s="156"/>
      <c r="F219" s="160"/>
      <c r="G219" s="167"/>
      <c r="H219" s="160"/>
      <c r="I219" s="172"/>
      <c r="J219" s="172"/>
      <c r="K219" s="172"/>
      <c r="L219" s="172"/>
      <c r="M219" s="97" t="s">
        <v>369</v>
      </c>
      <c r="N219" s="98" t="str">
        <f>VLOOKUP(M219,материалы!$A$5:$G$31,5, FALSE)</f>
        <v>м</v>
      </c>
      <c r="O219" s="160">
        <f>VLOOKUP(M219,материалы!$A$5:$G$31,7, FALSE)</f>
        <v>44.39</v>
      </c>
      <c r="P219" s="98">
        <v>1</v>
      </c>
      <c r="Q219" s="160">
        <f t="shared" ref="Q219" si="68">ROUND(O219*P219,2)</f>
        <v>44.39</v>
      </c>
      <c r="R219" s="172"/>
      <c r="S219" s="172"/>
      <c r="T219" s="162"/>
      <c r="U219" s="162"/>
      <c r="V219" s="162"/>
      <c r="W219" s="162"/>
      <c r="X219" s="169"/>
    </row>
    <row r="220" spans="1:24" ht="21" hidden="1" customHeight="1" x14ac:dyDescent="0.25">
      <c r="A220" s="590" t="s">
        <v>522</v>
      </c>
      <c r="B220" s="590" t="s">
        <v>284</v>
      </c>
      <c r="C220" s="210"/>
      <c r="D220" s="210"/>
      <c r="E220" s="589" t="s">
        <v>574</v>
      </c>
      <c r="F220" s="592" t="s">
        <v>285</v>
      </c>
      <c r="G220" s="167" t="s">
        <v>161</v>
      </c>
      <c r="H220" s="160">
        <f>VLOOKUP(G220,'условия, ФОТ'!$A$14:$I$32,9, FALSE)</f>
        <v>111.79</v>
      </c>
      <c r="I220" s="608">
        <v>3.38</v>
      </c>
      <c r="J220" s="608">
        <f>ROUND((H220+H221)/2*I220,2)</f>
        <v>502.93</v>
      </c>
      <c r="K220" s="592">
        <f>ROUND(J220*$K$7,2)</f>
        <v>151.88</v>
      </c>
      <c r="L220" s="592">
        <f t="shared" si="60"/>
        <v>654.80999999999995</v>
      </c>
      <c r="M220" s="591"/>
      <c r="N220" s="592"/>
      <c r="O220" s="592"/>
      <c r="P220" s="592"/>
      <c r="Q220" s="592">
        <f>SUM(Q222:Q227)</f>
        <v>151.71</v>
      </c>
      <c r="R220" s="608">
        <f t="shared" si="61"/>
        <v>806.52</v>
      </c>
      <c r="S220" s="608">
        <f>ROUND(R220*$S$7,2)</f>
        <v>984.76</v>
      </c>
      <c r="T220" s="596">
        <f>ROUND(V220/1.2,2)</f>
        <v>1970</v>
      </c>
      <c r="U220" s="596">
        <f>ROUND(T220*$U$7,2)</f>
        <v>394</v>
      </c>
      <c r="V220" s="596">
        <f>ROUND((R220+S220)*(1+$T$7)*1.2,0)</f>
        <v>2364</v>
      </c>
      <c r="W220" s="596">
        <v>2025</v>
      </c>
      <c r="X220" s="601">
        <f t="shared" si="62"/>
        <v>16.740740740740748</v>
      </c>
    </row>
    <row r="221" spans="1:24" ht="25.5" hidden="1" customHeight="1" x14ac:dyDescent="0.25">
      <c r="A221" s="590"/>
      <c r="B221" s="590"/>
      <c r="C221" s="210"/>
      <c r="D221" s="210"/>
      <c r="E221" s="589"/>
      <c r="F221" s="592"/>
      <c r="G221" s="167" t="s">
        <v>166</v>
      </c>
      <c r="H221" s="160">
        <f>VLOOKUP(G221,'условия, ФОТ'!$A$14:$I$32,9, FALSE)</f>
        <v>185.8</v>
      </c>
      <c r="I221" s="608"/>
      <c r="J221" s="608"/>
      <c r="K221" s="592"/>
      <c r="L221" s="592"/>
      <c r="M221" s="591"/>
      <c r="N221" s="592"/>
      <c r="O221" s="592"/>
      <c r="P221" s="592"/>
      <c r="Q221" s="592"/>
      <c r="R221" s="608"/>
      <c r="S221" s="608"/>
      <c r="T221" s="596"/>
      <c r="U221" s="596"/>
      <c r="V221" s="596"/>
      <c r="W221" s="596"/>
      <c r="X221" s="601"/>
    </row>
    <row r="222" spans="1:24" ht="17.25" hidden="1" customHeight="1" outlineLevel="1" x14ac:dyDescent="0.25">
      <c r="A222" s="158"/>
      <c r="B222" s="158"/>
      <c r="C222" s="210"/>
      <c r="D222" s="210"/>
      <c r="E222" s="156"/>
      <c r="F222" s="160"/>
      <c r="G222" s="167"/>
      <c r="H222" s="160"/>
      <c r="I222" s="172"/>
      <c r="J222" s="172"/>
      <c r="K222" s="160"/>
      <c r="L222" s="96" t="s">
        <v>366</v>
      </c>
      <c r="M222" s="122" t="s">
        <v>323</v>
      </c>
      <c r="N222" s="98" t="str">
        <f>VLOOKUP(M222,материалы!$A$5:$G$31,5, FALSE)</f>
        <v>м3</v>
      </c>
      <c r="O222" s="160">
        <f>VLOOKUP(M222,материалы!$A$5:$G$31,7, FALSE)</f>
        <v>379.24</v>
      </c>
      <c r="P222" s="160">
        <v>0.17499999999999999</v>
      </c>
      <c r="Q222" s="160">
        <f>ROUND(O222*P222,2)</f>
        <v>66.37</v>
      </c>
      <c r="R222" s="172"/>
      <c r="S222" s="172"/>
      <c r="T222" s="162"/>
      <c r="U222" s="162"/>
      <c r="V222" s="162"/>
      <c r="W222" s="162"/>
      <c r="X222" s="169"/>
    </row>
    <row r="223" spans="1:24" ht="17.25" hidden="1" customHeight="1" outlineLevel="1" x14ac:dyDescent="0.25">
      <c r="A223" s="158"/>
      <c r="B223" s="158"/>
      <c r="C223" s="210"/>
      <c r="D223" s="210"/>
      <c r="E223" s="156"/>
      <c r="F223" s="160"/>
      <c r="G223" s="167"/>
      <c r="H223" s="160"/>
      <c r="I223" s="172"/>
      <c r="J223" s="172"/>
      <c r="K223" s="160"/>
      <c r="L223" s="160"/>
      <c r="M223" s="122" t="s">
        <v>324</v>
      </c>
      <c r="N223" s="98" t="str">
        <f>VLOOKUP(M223,материалы!$A$5:$G$31,5, FALSE)</f>
        <v>м3</v>
      </c>
      <c r="O223" s="160">
        <f>VLOOKUP(M223,материалы!$A$5:$G$31,7, FALSE)</f>
        <v>54.61</v>
      </c>
      <c r="P223" s="160">
        <v>0.05</v>
      </c>
      <c r="Q223" s="160">
        <f t="shared" ref="Q223:Q224" si="69">ROUND(O223*P223,2)</f>
        <v>2.73</v>
      </c>
      <c r="R223" s="172"/>
      <c r="S223" s="172"/>
      <c r="T223" s="162"/>
      <c r="U223" s="162"/>
      <c r="V223" s="162"/>
      <c r="W223" s="162"/>
      <c r="X223" s="169"/>
    </row>
    <row r="224" spans="1:24" ht="39" hidden="1" customHeight="1" outlineLevel="1" x14ac:dyDescent="0.25">
      <c r="A224" s="158"/>
      <c r="B224" s="158"/>
      <c r="C224" s="210"/>
      <c r="D224" s="210"/>
      <c r="E224" s="156"/>
      <c r="F224" s="160"/>
      <c r="G224" s="167"/>
      <c r="H224" s="160"/>
      <c r="I224" s="172"/>
      <c r="J224" s="172"/>
      <c r="K224" s="160"/>
      <c r="L224" s="160"/>
      <c r="M224" s="104" t="s">
        <v>341</v>
      </c>
      <c r="N224" s="98" t="str">
        <f>VLOOKUP(M224,материалы!$A$5:$G$31,5, FALSE)</f>
        <v>кг</v>
      </c>
      <c r="O224" s="160">
        <f>VLOOKUP(M224,материалы!$A$5:$G$31,7, FALSE)</f>
        <v>44.94</v>
      </c>
      <c r="P224" s="160">
        <v>1.7000000000000001E-2</v>
      </c>
      <c r="Q224" s="160">
        <f t="shared" si="69"/>
        <v>0.76</v>
      </c>
      <c r="R224" s="172"/>
      <c r="S224" s="172"/>
      <c r="T224" s="162"/>
      <c r="U224" s="162"/>
      <c r="V224" s="162"/>
      <c r="W224" s="162"/>
      <c r="X224" s="169"/>
    </row>
    <row r="225" spans="1:24" hidden="1" outlineLevel="1" x14ac:dyDescent="0.25">
      <c r="A225" s="158"/>
      <c r="B225" s="158"/>
      <c r="C225" s="210"/>
      <c r="D225" s="210"/>
      <c r="E225" s="156"/>
      <c r="F225" s="160"/>
      <c r="G225" s="167"/>
      <c r="H225" s="160"/>
      <c r="I225" s="172"/>
      <c r="J225" s="172"/>
      <c r="K225" s="160"/>
      <c r="L225" s="160"/>
      <c r="M225" s="97" t="s">
        <v>329</v>
      </c>
      <c r="N225" s="98" t="str">
        <f>VLOOKUP(M225,материалы!$A$5:$G$31,5, FALSE)</f>
        <v>кг</v>
      </c>
      <c r="O225" s="160">
        <f>VLOOKUP(M225,материалы!$A$5:$G$31,7, FALSE)</f>
        <v>65.599999999999994</v>
      </c>
      <c r="P225" s="100">
        <v>1E-3</v>
      </c>
      <c r="Q225" s="160">
        <f>ROUND(O225*P225,2)</f>
        <v>7.0000000000000007E-2</v>
      </c>
      <c r="R225" s="172"/>
      <c r="S225" s="172"/>
      <c r="T225" s="162"/>
      <c r="U225" s="162"/>
      <c r="V225" s="162"/>
      <c r="W225" s="162"/>
      <c r="X225" s="169"/>
    </row>
    <row r="226" spans="1:24" hidden="1" outlineLevel="1" x14ac:dyDescent="0.25">
      <c r="A226" s="158"/>
      <c r="B226" s="158"/>
      <c r="C226" s="210"/>
      <c r="D226" s="210"/>
      <c r="E226" s="156"/>
      <c r="F226" s="160"/>
      <c r="G226" s="167"/>
      <c r="H226" s="160"/>
      <c r="I226" s="172"/>
      <c r="J226" s="172"/>
      <c r="K226" s="160"/>
      <c r="L226" s="160"/>
      <c r="M226" s="97" t="s">
        <v>330</v>
      </c>
      <c r="N226" s="98" t="str">
        <f>VLOOKUP(M226,материалы!$A$5:$G$31,5, FALSE)</f>
        <v>кг</v>
      </c>
      <c r="O226" s="160">
        <f>VLOOKUP(M226,материалы!$A$5:$G$31,7, FALSE)</f>
        <v>39.82</v>
      </c>
      <c r="P226" s="98">
        <v>0.01</v>
      </c>
      <c r="Q226" s="160">
        <f>ROUND(O226*P226,2)</f>
        <v>0.4</v>
      </c>
      <c r="R226" s="172"/>
      <c r="S226" s="172"/>
      <c r="T226" s="162"/>
      <c r="U226" s="162"/>
      <c r="V226" s="162"/>
      <c r="W226" s="162"/>
      <c r="X226" s="169"/>
    </row>
    <row r="227" spans="1:24" ht="25.5" hidden="1" outlineLevel="1" x14ac:dyDescent="0.25">
      <c r="A227" s="158"/>
      <c r="B227" s="158"/>
      <c r="C227" s="210"/>
      <c r="D227" s="210"/>
      <c r="E227" s="156"/>
      <c r="F227" s="160"/>
      <c r="G227" s="167"/>
      <c r="H227" s="160"/>
      <c r="I227" s="172"/>
      <c r="J227" s="172"/>
      <c r="K227" s="160"/>
      <c r="L227" s="160"/>
      <c r="M227" s="97" t="s">
        <v>374</v>
      </c>
      <c r="N227" s="98" t="str">
        <f>VLOOKUP(M227,материалы!$A$5:$G$31,5, FALSE)</f>
        <v>м</v>
      </c>
      <c r="O227" s="160">
        <f>VLOOKUP(M227,материалы!$A$5:$G$31,7, FALSE)</f>
        <v>81.38</v>
      </c>
      <c r="P227" s="98">
        <v>1</v>
      </c>
      <c r="Q227" s="160">
        <f>ROUND(O227*P227,2)</f>
        <v>81.38</v>
      </c>
      <c r="R227" s="172"/>
      <c r="S227" s="172"/>
      <c r="T227" s="162"/>
      <c r="U227" s="162"/>
      <c r="V227" s="162"/>
      <c r="W227" s="162"/>
      <c r="X227" s="169"/>
    </row>
    <row r="228" spans="1:24" hidden="1" x14ac:dyDescent="0.25">
      <c r="A228" s="590" t="s">
        <v>523</v>
      </c>
      <c r="B228" s="590" t="s">
        <v>286</v>
      </c>
      <c r="C228" s="210"/>
      <c r="D228" s="210"/>
      <c r="E228" s="589" t="s">
        <v>375</v>
      </c>
      <c r="F228" s="592" t="s">
        <v>28</v>
      </c>
      <c r="G228" s="167" t="s">
        <v>161</v>
      </c>
      <c r="H228" s="160">
        <f>VLOOKUP(G228,'условия, ФОТ'!$A$14:$I$32,9, FALSE)</f>
        <v>111.79</v>
      </c>
      <c r="I228" s="592">
        <v>0.86</v>
      </c>
      <c r="J228" s="608">
        <f>ROUND((H228+H229)/2*I228,2)</f>
        <v>127.96</v>
      </c>
      <c r="K228" s="592">
        <f>ROUND(J228*$K$7,2)</f>
        <v>38.64</v>
      </c>
      <c r="L228" s="592">
        <f t="shared" si="60"/>
        <v>166.6</v>
      </c>
      <c r="M228" s="591"/>
      <c r="N228" s="592"/>
      <c r="O228" s="592"/>
      <c r="P228" s="592"/>
      <c r="Q228" s="592">
        <f>Q230</f>
        <v>44.39</v>
      </c>
      <c r="R228" s="608">
        <f t="shared" si="61"/>
        <v>210.99</v>
      </c>
      <c r="S228" s="608">
        <f>ROUND(R228*$S$7,2)</f>
        <v>257.62</v>
      </c>
      <c r="T228" s="596">
        <f>ROUND(V228/1.2,2)</f>
        <v>515.83000000000004</v>
      </c>
      <c r="U228" s="596">
        <f>ROUND(T228*$U$7,2)</f>
        <v>103.17</v>
      </c>
      <c r="V228" s="596">
        <f>ROUND((R228+S228)*(1+$T$7)*1.2,0)</f>
        <v>619</v>
      </c>
      <c r="W228" s="596">
        <v>530</v>
      </c>
      <c r="X228" s="601">
        <f t="shared" si="62"/>
        <v>16.792452830188694</v>
      </c>
    </row>
    <row r="229" spans="1:24" ht="23.25" hidden="1" customHeight="1" x14ac:dyDescent="0.25">
      <c r="A229" s="590"/>
      <c r="B229" s="590"/>
      <c r="C229" s="210"/>
      <c r="D229" s="210"/>
      <c r="E229" s="589"/>
      <c r="F229" s="592"/>
      <c r="G229" s="167" t="s">
        <v>166</v>
      </c>
      <c r="H229" s="160">
        <f>VLOOKUP(G229,'условия, ФОТ'!$A$14:$I$32,9, FALSE)</f>
        <v>185.8</v>
      </c>
      <c r="I229" s="592"/>
      <c r="J229" s="608"/>
      <c r="K229" s="592"/>
      <c r="L229" s="592"/>
      <c r="M229" s="591"/>
      <c r="N229" s="592"/>
      <c r="O229" s="592"/>
      <c r="P229" s="592"/>
      <c r="Q229" s="592"/>
      <c r="R229" s="608"/>
      <c r="S229" s="608"/>
      <c r="T229" s="596"/>
      <c r="U229" s="596"/>
      <c r="V229" s="596"/>
      <c r="W229" s="596"/>
      <c r="X229" s="601"/>
    </row>
    <row r="230" spans="1:24" ht="27.95" hidden="1" customHeight="1" outlineLevel="1" x14ac:dyDescent="0.25">
      <c r="A230" s="158"/>
      <c r="B230" s="158"/>
      <c r="C230" s="210"/>
      <c r="D230" s="210"/>
      <c r="E230" s="156"/>
      <c r="F230" s="160"/>
      <c r="G230" s="167"/>
      <c r="H230" s="160"/>
      <c r="I230" s="160"/>
      <c r="J230" s="172"/>
      <c r="K230" s="160"/>
      <c r="L230" s="96" t="s">
        <v>366</v>
      </c>
      <c r="M230" s="97" t="s">
        <v>369</v>
      </c>
      <c r="N230" s="98" t="str">
        <f>VLOOKUP(M230,материалы!$A$5:$G$31,5, FALSE)</f>
        <v>м</v>
      </c>
      <c r="O230" s="160">
        <f>VLOOKUP(M230,материалы!$A$5:$G$31,7, FALSE)</f>
        <v>44.39</v>
      </c>
      <c r="P230" s="98">
        <v>1</v>
      </c>
      <c r="Q230" s="160">
        <f t="shared" ref="Q230" si="70">ROUND(O230*P230,2)</f>
        <v>44.39</v>
      </c>
      <c r="R230" s="172"/>
      <c r="S230" s="172"/>
      <c r="T230" s="162"/>
      <c r="U230" s="162"/>
      <c r="V230" s="162"/>
      <c r="W230" s="162"/>
      <c r="X230" s="169"/>
    </row>
    <row r="231" spans="1:24" ht="16.5" hidden="1" customHeight="1" x14ac:dyDescent="0.25">
      <c r="A231" s="590" t="s">
        <v>524</v>
      </c>
      <c r="B231" s="590" t="s">
        <v>286</v>
      </c>
      <c r="C231" s="210"/>
      <c r="D231" s="210"/>
      <c r="E231" s="589" t="s">
        <v>376</v>
      </c>
      <c r="F231" s="592" t="s">
        <v>28</v>
      </c>
      <c r="G231" s="167" t="s">
        <v>161</v>
      </c>
      <c r="H231" s="160">
        <f>VLOOKUP(G231,'условия, ФОТ'!$A$14:$I$32,9, FALSE)</f>
        <v>111.79</v>
      </c>
      <c r="I231" s="592">
        <v>1.02</v>
      </c>
      <c r="J231" s="608">
        <f>ROUND((H231+H232)/2*I231,2)</f>
        <v>151.77000000000001</v>
      </c>
      <c r="K231" s="592">
        <f>ROUND(J231*$K$7,2)</f>
        <v>45.83</v>
      </c>
      <c r="L231" s="592">
        <f t="shared" si="60"/>
        <v>197.60000000000002</v>
      </c>
      <c r="M231" s="591"/>
      <c r="N231" s="592"/>
      <c r="O231" s="592"/>
      <c r="P231" s="592"/>
      <c r="Q231" s="592">
        <f>Q233</f>
        <v>81.38</v>
      </c>
      <c r="R231" s="608">
        <f t="shared" si="61"/>
        <v>278.98</v>
      </c>
      <c r="S231" s="608">
        <f>ROUND(R231*$S$7,2)</f>
        <v>340.63</v>
      </c>
      <c r="T231" s="596">
        <f>ROUND(V231/1.2,2)</f>
        <v>681.67</v>
      </c>
      <c r="U231" s="596">
        <f>ROUND(T231*$U$7,2)</f>
        <v>136.33000000000001</v>
      </c>
      <c r="V231" s="596">
        <f>ROUND((R231+S231)*(1+$T$7)*1.2,0)</f>
        <v>818</v>
      </c>
      <c r="W231" s="596">
        <v>700</v>
      </c>
      <c r="X231" s="601">
        <f t="shared" si="62"/>
        <v>16.857142857142861</v>
      </c>
    </row>
    <row r="232" spans="1:24" ht="16.5" hidden="1" customHeight="1" x14ac:dyDescent="0.25">
      <c r="A232" s="590"/>
      <c r="B232" s="590"/>
      <c r="C232" s="210"/>
      <c r="D232" s="210"/>
      <c r="E232" s="589"/>
      <c r="F232" s="592"/>
      <c r="G232" s="167" t="s">
        <v>166</v>
      </c>
      <c r="H232" s="160">
        <f>VLOOKUP(G232,'условия, ФОТ'!$A$14:$I$32,9, FALSE)</f>
        <v>185.8</v>
      </c>
      <c r="I232" s="592"/>
      <c r="J232" s="608"/>
      <c r="K232" s="592"/>
      <c r="L232" s="592"/>
      <c r="M232" s="591"/>
      <c r="N232" s="592"/>
      <c r="O232" s="592"/>
      <c r="P232" s="592"/>
      <c r="Q232" s="592"/>
      <c r="R232" s="608"/>
      <c r="S232" s="608"/>
      <c r="T232" s="596"/>
      <c r="U232" s="596"/>
      <c r="V232" s="596"/>
      <c r="W232" s="596"/>
      <c r="X232" s="601"/>
    </row>
    <row r="233" spans="1:24" ht="27" hidden="1" customHeight="1" outlineLevel="1" x14ac:dyDescent="0.25">
      <c r="A233" s="158"/>
      <c r="B233" s="158"/>
      <c r="C233" s="210"/>
      <c r="D233" s="210"/>
      <c r="E233" s="156"/>
      <c r="F233" s="160"/>
      <c r="G233" s="167"/>
      <c r="H233" s="160"/>
      <c r="I233" s="160"/>
      <c r="J233" s="172"/>
      <c r="K233" s="160"/>
      <c r="L233" s="96" t="s">
        <v>366</v>
      </c>
      <c r="M233" s="97" t="s">
        <v>374</v>
      </c>
      <c r="N233" s="98" t="str">
        <f>VLOOKUP(M233,материалы!$A$5:$G$31,5, FALSE)</f>
        <v>м</v>
      </c>
      <c r="O233" s="160">
        <f>VLOOKUP(M233,материалы!$A$5:$G$31,7, FALSE)</f>
        <v>81.38</v>
      </c>
      <c r="P233" s="98">
        <v>1</v>
      </c>
      <c r="Q233" s="160">
        <f>ROUND(O233*P233,2)</f>
        <v>81.38</v>
      </c>
      <c r="R233" s="172"/>
      <c r="S233" s="172"/>
      <c r="T233" s="162"/>
      <c r="U233" s="162"/>
      <c r="V233" s="162"/>
      <c r="W233" s="162"/>
      <c r="X233" s="169"/>
    </row>
    <row r="234" spans="1:24" ht="35.25" hidden="1" customHeight="1" x14ac:dyDescent="0.25">
      <c r="A234" s="158" t="s">
        <v>525</v>
      </c>
      <c r="B234" s="158" t="s">
        <v>287</v>
      </c>
      <c r="C234" s="210"/>
      <c r="D234" s="210"/>
      <c r="E234" s="156" t="s">
        <v>378</v>
      </c>
      <c r="F234" s="160" t="s">
        <v>288</v>
      </c>
      <c r="G234" s="167" t="s">
        <v>161</v>
      </c>
      <c r="H234" s="160">
        <f>VLOOKUP(G234,'условия, ФОТ'!$A$14:$I$32,9, FALSE)</f>
        <v>111.79</v>
      </c>
      <c r="I234" s="160">
        <v>0.94</v>
      </c>
      <c r="J234" s="160">
        <f t="shared" si="59"/>
        <v>105.08</v>
      </c>
      <c r="K234" s="160">
        <f>ROUND(J234*$K$7,2)</f>
        <v>31.73</v>
      </c>
      <c r="L234" s="160">
        <f t="shared" si="60"/>
        <v>136.81</v>
      </c>
      <c r="M234" s="159"/>
      <c r="N234" s="160"/>
      <c r="O234" s="160"/>
      <c r="P234" s="160"/>
      <c r="Q234" s="160">
        <f>SUM(Q235:Q238)</f>
        <v>35.57</v>
      </c>
      <c r="R234" s="160">
        <f>L234+Q234</f>
        <v>172.38</v>
      </c>
      <c r="S234" s="160">
        <f>ROUND(R234*$S$7,2)</f>
        <v>210.48</v>
      </c>
      <c r="T234" s="162">
        <f>ROUND(V234/1.2,2)</f>
        <v>420.83</v>
      </c>
      <c r="U234" s="162">
        <f>ROUND(T234*$U$7,2)</f>
        <v>84.17</v>
      </c>
      <c r="V234" s="162">
        <f>ROUND((R234+S234)*(1+$T$7)*1.2,0)</f>
        <v>505</v>
      </c>
      <c r="W234" s="162">
        <v>433</v>
      </c>
      <c r="X234" s="78">
        <f t="shared" si="62"/>
        <v>16.628175519630489</v>
      </c>
    </row>
    <row r="235" spans="1:24" ht="25.5" hidden="1" outlineLevel="1" x14ac:dyDescent="0.25">
      <c r="A235" s="158"/>
      <c r="B235" s="158"/>
      <c r="C235" s="210"/>
      <c r="D235" s="210"/>
      <c r="E235" s="156"/>
      <c r="F235" s="160"/>
      <c r="G235" s="167"/>
      <c r="H235" s="160"/>
      <c r="I235" s="160"/>
      <c r="J235" s="160"/>
      <c r="K235" s="160"/>
      <c r="L235" s="96" t="s">
        <v>366</v>
      </c>
      <c r="M235" s="104" t="s">
        <v>335</v>
      </c>
      <c r="N235" s="98" t="str">
        <f>VLOOKUP(M235,материалы!$A$5:$G$31,5, FALSE)</f>
        <v>кг</v>
      </c>
      <c r="O235" s="160">
        <f>VLOOKUP(M235,материалы!$A$5:$G$31,7, FALSE)</f>
        <v>712.76</v>
      </c>
      <c r="P235" s="160">
        <v>5.0000000000000001E-3</v>
      </c>
      <c r="Q235" s="160">
        <f>ROUND(O235*P235,2)</f>
        <v>3.56</v>
      </c>
      <c r="R235" s="160"/>
      <c r="S235" s="160"/>
      <c r="T235" s="162"/>
      <c r="U235" s="162"/>
      <c r="V235" s="162"/>
      <c r="W235" s="162"/>
      <c r="X235" s="78"/>
    </row>
    <row r="236" spans="1:24" hidden="1" outlineLevel="1" x14ac:dyDescent="0.25">
      <c r="A236" s="158"/>
      <c r="B236" s="158"/>
      <c r="C236" s="210"/>
      <c r="D236" s="210"/>
      <c r="E236" s="156"/>
      <c r="F236" s="160"/>
      <c r="G236" s="167"/>
      <c r="H236" s="160"/>
      <c r="I236" s="160"/>
      <c r="J236" s="160"/>
      <c r="K236" s="160"/>
      <c r="L236" s="160"/>
      <c r="M236" s="97" t="s">
        <v>329</v>
      </c>
      <c r="N236" s="98" t="str">
        <f>VLOOKUP(M236,материалы!$A$5:$G$31,5, FALSE)</f>
        <v>кг</v>
      </c>
      <c r="O236" s="160">
        <f>VLOOKUP(M236,материалы!$A$5:$G$31,7, FALSE)</f>
        <v>65.599999999999994</v>
      </c>
      <c r="P236" s="100">
        <v>1E-3</v>
      </c>
      <c r="Q236" s="160">
        <f>ROUND(O236*P236,2)</f>
        <v>7.0000000000000007E-2</v>
      </c>
      <c r="R236" s="160"/>
      <c r="S236" s="160"/>
      <c r="T236" s="162"/>
      <c r="U236" s="162"/>
      <c r="V236" s="162"/>
      <c r="W236" s="162"/>
      <c r="X236" s="78"/>
    </row>
    <row r="237" spans="1:24" hidden="1" outlineLevel="1" x14ac:dyDescent="0.25">
      <c r="A237" s="158"/>
      <c r="B237" s="158"/>
      <c r="C237" s="210"/>
      <c r="D237" s="210"/>
      <c r="E237" s="156"/>
      <c r="F237" s="160"/>
      <c r="G237" s="167"/>
      <c r="H237" s="160"/>
      <c r="I237" s="160"/>
      <c r="J237" s="160"/>
      <c r="K237" s="160"/>
      <c r="L237" s="160"/>
      <c r="M237" s="97" t="s">
        <v>330</v>
      </c>
      <c r="N237" s="98" t="str">
        <f>VLOOKUP(M237,материалы!$A$5:$G$31,5, FALSE)</f>
        <v>кг</v>
      </c>
      <c r="O237" s="160">
        <f>VLOOKUP(M237,материалы!$A$5:$G$31,7, FALSE)</f>
        <v>39.82</v>
      </c>
      <c r="P237" s="98">
        <v>0.01</v>
      </c>
      <c r="Q237" s="160">
        <f>ROUND(O237*P237,2)</f>
        <v>0.4</v>
      </c>
      <c r="R237" s="160"/>
      <c r="S237" s="160"/>
      <c r="T237" s="162"/>
      <c r="U237" s="162"/>
      <c r="V237" s="162"/>
      <c r="W237" s="162"/>
      <c r="X237" s="78"/>
    </row>
    <row r="238" spans="1:24" hidden="1" outlineLevel="1" x14ac:dyDescent="0.25">
      <c r="A238" s="158"/>
      <c r="B238" s="158"/>
      <c r="C238" s="210"/>
      <c r="D238" s="210"/>
      <c r="E238" s="156"/>
      <c r="F238" s="160"/>
      <c r="G238" s="167"/>
      <c r="H238" s="160"/>
      <c r="I238" s="160"/>
      <c r="J238" s="160"/>
      <c r="K238" s="160"/>
      <c r="L238" s="160"/>
      <c r="M238" s="97" t="s">
        <v>377</v>
      </c>
      <c r="N238" s="98" t="str">
        <f>VLOOKUP(M238,материалы!$A$5:$G$31,5, FALSE)</f>
        <v>шт.</v>
      </c>
      <c r="O238" s="160">
        <f>VLOOKUP(M238,материалы!$A$5:$G$31,7, FALSE)</f>
        <v>31.54</v>
      </c>
      <c r="P238" s="98">
        <v>1</v>
      </c>
      <c r="Q238" s="160">
        <f>ROUND(O238*P238,2)</f>
        <v>31.54</v>
      </c>
      <c r="R238" s="160"/>
      <c r="S238" s="160"/>
      <c r="T238" s="162"/>
      <c r="U238" s="162"/>
      <c r="V238" s="162"/>
      <c r="W238" s="162"/>
      <c r="X238" s="78"/>
    </row>
    <row r="239" spans="1:24" ht="45" hidden="1" customHeight="1" x14ac:dyDescent="0.25">
      <c r="A239" s="158" t="s">
        <v>526</v>
      </c>
      <c r="B239" s="158" t="s">
        <v>289</v>
      </c>
      <c r="C239" s="210"/>
      <c r="D239" s="210"/>
      <c r="E239" s="156" t="s">
        <v>110</v>
      </c>
      <c r="F239" s="160" t="s">
        <v>290</v>
      </c>
      <c r="G239" s="167" t="s">
        <v>161</v>
      </c>
      <c r="H239" s="160">
        <f>VLOOKUP(G239,'условия, ФОТ'!$A$14:$I$32,9, FALSE)</f>
        <v>111.79</v>
      </c>
      <c r="I239" s="160">
        <v>0.65</v>
      </c>
      <c r="J239" s="160">
        <f t="shared" si="59"/>
        <v>72.66</v>
      </c>
      <c r="K239" s="160">
        <f>ROUND(J239*$K$7,2)</f>
        <v>21.94</v>
      </c>
      <c r="L239" s="160">
        <f t="shared" si="60"/>
        <v>94.6</v>
      </c>
      <c r="M239" s="159"/>
      <c r="N239" s="160"/>
      <c r="O239" s="160"/>
      <c r="P239" s="160"/>
      <c r="Q239" s="160"/>
      <c r="R239" s="160">
        <f t="shared" si="61"/>
        <v>94.6</v>
      </c>
      <c r="S239" s="160">
        <f>ROUND(R239*$S$7,2)</f>
        <v>115.51</v>
      </c>
      <c r="T239" s="162">
        <f>ROUND(V239/1.2,2)</f>
        <v>230.83</v>
      </c>
      <c r="U239" s="162">
        <f>ROUND(T239*$U$7,2)</f>
        <v>46.17</v>
      </c>
      <c r="V239" s="162">
        <f>ROUND((R239+S239)*(1+$T$7)*1.2,0)</f>
        <v>277</v>
      </c>
      <c r="W239" s="162">
        <v>237</v>
      </c>
      <c r="X239" s="78">
        <f t="shared" si="62"/>
        <v>16.877637130801688</v>
      </c>
    </row>
    <row r="240" spans="1:24" ht="33" hidden="1" customHeight="1" x14ac:dyDescent="0.25">
      <c r="A240" s="158" t="s">
        <v>527</v>
      </c>
      <c r="B240" s="158" t="s">
        <v>291</v>
      </c>
      <c r="C240" s="210"/>
      <c r="D240" s="210"/>
      <c r="E240" s="156" t="s">
        <v>111</v>
      </c>
      <c r="F240" s="160" t="s">
        <v>220</v>
      </c>
      <c r="G240" s="167" t="s">
        <v>161</v>
      </c>
      <c r="H240" s="160">
        <f>VLOOKUP(G240,'условия, ФОТ'!$A$14:$I$32,9, FALSE)</f>
        <v>111.79</v>
      </c>
      <c r="I240" s="160">
        <v>0.39</v>
      </c>
      <c r="J240" s="160">
        <f t="shared" si="59"/>
        <v>43.6</v>
      </c>
      <c r="K240" s="160">
        <f>ROUND(J240*$K$7,2)</f>
        <v>13.17</v>
      </c>
      <c r="L240" s="160">
        <f t="shared" si="60"/>
        <v>56.77</v>
      </c>
      <c r="M240" s="159"/>
      <c r="N240" s="160"/>
      <c r="O240" s="160"/>
      <c r="P240" s="160"/>
      <c r="Q240" s="160">
        <f>Q241</f>
        <v>3.56</v>
      </c>
      <c r="R240" s="160">
        <f t="shared" si="61"/>
        <v>60.330000000000005</v>
      </c>
      <c r="S240" s="160">
        <f>ROUND(R240*$S$7,2)</f>
        <v>73.66</v>
      </c>
      <c r="T240" s="162">
        <f>ROUND(V240/1.2,2)</f>
        <v>147.5</v>
      </c>
      <c r="U240" s="162">
        <f>ROUND(T240*$U$7,2)</f>
        <v>29.5</v>
      </c>
      <c r="V240" s="162">
        <f>ROUND((R240+S240)*(1+$T$7)*1.2,0)</f>
        <v>177</v>
      </c>
      <c r="W240" s="162">
        <v>151</v>
      </c>
      <c r="X240" s="78">
        <f t="shared" si="62"/>
        <v>17.21854304635761</v>
      </c>
    </row>
    <row r="241" spans="1:24" ht="25.5" hidden="1" outlineLevel="1" x14ac:dyDescent="0.25">
      <c r="A241" s="158"/>
      <c r="B241" s="158"/>
      <c r="C241" s="210"/>
      <c r="D241" s="210"/>
      <c r="E241" s="156"/>
      <c r="F241" s="160"/>
      <c r="G241" s="167"/>
      <c r="H241" s="160"/>
      <c r="I241" s="160"/>
      <c r="J241" s="160"/>
      <c r="K241" s="160"/>
      <c r="L241" s="96" t="s">
        <v>366</v>
      </c>
      <c r="M241" s="104" t="s">
        <v>335</v>
      </c>
      <c r="N241" s="98" t="str">
        <f>VLOOKUP(M241,материалы!$A$5:$G$31,5, FALSE)</f>
        <v>кг</v>
      </c>
      <c r="O241" s="160">
        <f>VLOOKUP(M241,материалы!$A$5:$G$31,7, FALSE)</f>
        <v>712.76</v>
      </c>
      <c r="P241" s="160">
        <v>5.0000000000000001E-3</v>
      </c>
      <c r="Q241" s="160">
        <f>ROUND(O241*P241,2)</f>
        <v>3.56</v>
      </c>
      <c r="R241" s="160"/>
      <c r="S241" s="160"/>
      <c r="T241" s="162"/>
      <c r="U241" s="162"/>
      <c r="V241" s="162"/>
      <c r="W241" s="162"/>
      <c r="X241" s="78"/>
    </row>
    <row r="242" spans="1:24" ht="33" hidden="1" customHeight="1" x14ac:dyDescent="0.25">
      <c r="A242" s="158" t="s">
        <v>528</v>
      </c>
      <c r="B242" s="158" t="s">
        <v>292</v>
      </c>
      <c r="C242" s="210"/>
      <c r="D242" s="210"/>
      <c r="E242" s="156" t="s">
        <v>112</v>
      </c>
      <c r="F242" s="160" t="s">
        <v>220</v>
      </c>
      <c r="G242" s="167" t="s">
        <v>161</v>
      </c>
      <c r="H242" s="160">
        <f>VLOOKUP(G242,'условия, ФОТ'!$A$14:$I$32,9, FALSE)</f>
        <v>111.79</v>
      </c>
      <c r="I242" s="160">
        <v>0.52</v>
      </c>
      <c r="J242" s="160">
        <f t="shared" si="59"/>
        <v>58.13</v>
      </c>
      <c r="K242" s="160">
        <f>ROUND(J242*$K$7,2)</f>
        <v>17.559999999999999</v>
      </c>
      <c r="L242" s="160">
        <f t="shared" si="60"/>
        <v>75.69</v>
      </c>
      <c r="M242" s="159"/>
      <c r="N242" s="160"/>
      <c r="O242" s="160"/>
      <c r="P242" s="160"/>
      <c r="Q242" s="160">
        <f>Q243</f>
        <v>3.56</v>
      </c>
      <c r="R242" s="160">
        <f t="shared" si="61"/>
        <v>79.25</v>
      </c>
      <c r="S242" s="160">
        <f>ROUND(R242*$S$7,2)</f>
        <v>96.76</v>
      </c>
      <c r="T242" s="162">
        <f>ROUND(V242/1.2,2)</f>
        <v>193.33</v>
      </c>
      <c r="U242" s="162">
        <f>ROUND(T242*$U$7,2)</f>
        <v>38.67</v>
      </c>
      <c r="V242" s="162">
        <f>ROUND((R242+S242)*(1+$T$7)*1.2,0)</f>
        <v>232</v>
      </c>
      <c r="W242" s="162">
        <v>199</v>
      </c>
      <c r="X242" s="78">
        <f>V242/W242*100-100</f>
        <v>16.582914572864311</v>
      </c>
    </row>
    <row r="243" spans="1:24" ht="25.5" hidden="1" outlineLevel="1" x14ac:dyDescent="0.25">
      <c r="A243" s="158"/>
      <c r="B243" s="158"/>
      <c r="C243" s="210"/>
      <c r="D243" s="210"/>
      <c r="E243" s="156"/>
      <c r="F243" s="160"/>
      <c r="G243" s="167"/>
      <c r="H243" s="160"/>
      <c r="I243" s="160"/>
      <c r="J243" s="160"/>
      <c r="K243" s="160"/>
      <c r="L243" s="96" t="s">
        <v>366</v>
      </c>
      <c r="M243" s="104" t="s">
        <v>335</v>
      </c>
      <c r="N243" s="98" t="str">
        <f>VLOOKUP(M243,материалы!$A$5:$G$31,5, FALSE)</f>
        <v>кг</v>
      </c>
      <c r="O243" s="160">
        <f>VLOOKUP(M243,материалы!$A$5:$G$31,7, FALSE)</f>
        <v>712.76</v>
      </c>
      <c r="P243" s="160">
        <v>5.0000000000000001E-3</v>
      </c>
      <c r="Q243" s="160">
        <f>ROUND(O243*P243,2)</f>
        <v>3.56</v>
      </c>
      <c r="R243" s="160"/>
      <c r="S243" s="160"/>
      <c r="T243" s="162"/>
      <c r="U243" s="162"/>
      <c r="V243" s="162"/>
      <c r="W243" s="162"/>
      <c r="X243" s="78"/>
    </row>
    <row r="244" spans="1:24" ht="36" hidden="1" customHeight="1" x14ac:dyDescent="0.25">
      <c r="A244" s="158" t="s">
        <v>529</v>
      </c>
      <c r="B244" s="158" t="s">
        <v>359</v>
      </c>
      <c r="C244" s="210"/>
      <c r="D244" s="210"/>
      <c r="E244" s="156" t="s">
        <v>358</v>
      </c>
      <c r="F244" s="160" t="s">
        <v>18</v>
      </c>
      <c r="G244" s="167" t="s">
        <v>161</v>
      </c>
      <c r="H244" s="160">
        <f>VLOOKUP(G244,'условия, ФОТ'!$A$14:$I$32,9, FALSE)</f>
        <v>111.79</v>
      </c>
      <c r="I244" s="160">
        <v>0.32</v>
      </c>
      <c r="J244" s="160">
        <f t="shared" ref="J244" si="71">ROUND(H244*I244,2)</f>
        <v>35.770000000000003</v>
      </c>
      <c r="K244" s="160">
        <f>ROUND(J244*$K$7,2)</f>
        <v>10.8</v>
      </c>
      <c r="L244" s="160">
        <f t="shared" ref="L244" si="72">J244+K244</f>
        <v>46.570000000000007</v>
      </c>
      <c r="M244" s="157"/>
      <c r="N244" s="98"/>
      <c r="O244" s="160"/>
      <c r="P244" s="160"/>
      <c r="Q244" s="160"/>
      <c r="R244" s="160">
        <f t="shared" ref="R244" si="73">L244+Q244</f>
        <v>46.570000000000007</v>
      </c>
      <c r="S244" s="160">
        <f>ROUND(R244*$S$7,2)</f>
        <v>56.86</v>
      </c>
      <c r="T244" s="162">
        <f>ROUND(V244/1.2,2)</f>
        <v>114.17</v>
      </c>
      <c r="U244" s="162">
        <f>ROUND(T244*$U$7,2)</f>
        <v>22.83</v>
      </c>
      <c r="V244" s="162">
        <f>ROUND((R244+S244)*(1+$T$7)*1.2,0)</f>
        <v>137</v>
      </c>
      <c r="W244" s="162">
        <v>117</v>
      </c>
      <c r="X244" s="78">
        <f>V244/W244*100-100</f>
        <v>17.094017094017104</v>
      </c>
    </row>
    <row r="245" spans="1:24" ht="78.75" hidden="1" customHeight="1" x14ac:dyDescent="0.25">
      <c r="A245" s="160" t="s">
        <v>530</v>
      </c>
      <c r="B245" s="158" t="s">
        <v>293</v>
      </c>
      <c r="C245" s="210"/>
      <c r="D245" s="210"/>
      <c r="E245" s="156" t="s">
        <v>113</v>
      </c>
      <c r="F245" s="160" t="s">
        <v>220</v>
      </c>
      <c r="G245" s="167" t="s">
        <v>161</v>
      </c>
      <c r="H245" s="160">
        <f>VLOOKUP(G245,'условия, ФОТ'!$A$14:$I$32,9, FALSE)</f>
        <v>111.79</v>
      </c>
      <c r="I245" s="160">
        <v>0.2</v>
      </c>
      <c r="J245" s="160">
        <f>ROUND(H245*I245,2)</f>
        <v>22.36</v>
      </c>
      <c r="K245" s="160">
        <f>ROUND(J245*$K$7,2)</f>
        <v>6.75</v>
      </c>
      <c r="L245" s="160">
        <f>J245+K245</f>
        <v>29.11</v>
      </c>
      <c r="M245" s="159"/>
      <c r="N245" s="160"/>
      <c r="O245" s="160"/>
      <c r="P245" s="160"/>
      <c r="Q245" s="160"/>
      <c r="R245" s="160">
        <f>L245+Q245</f>
        <v>29.11</v>
      </c>
      <c r="S245" s="160">
        <f>ROUND(R245*$S$7,2)</f>
        <v>35.54</v>
      </c>
      <c r="T245" s="162">
        <f>ROUND(V245/1.2,2)</f>
        <v>70.83</v>
      </c>
      <c r="U245" s="162">
        <f>ROUND(T245*$U$7,2)</f>
        <v>14.17</v>
      </c>
      <c r="V245" s="162">
        <f>ROUND((R245+S245)*(1+$T$7)*1.2,0)</f>
        <v>85</v>
      </c>
      <c r="W245" s="162">
        <v>73</v>
      </c>
      <c r="X245" s="78">
        <f>V245/W245*100-100</f>
        <v>16.438356164383563</v>
      </c>
    </row>
    <row r="246" spans="1:24" s="86" customFormat="1" ht="24" hidden="1" customHeight="1" x14ac:dyDescent="0.25">
      <c r="A246" s="606" t="s">
        <v>410</v>
      </c>
      <c r="B246" s="606"/>
      <c r="C246" s="606"/>
      <c r="D246" s="606"/>
      <c r="E246" s="606"/>
      <c r="F246" s="606"/>
      <c r="G246" s="606"/>
      <c r="H246" s="606"/>
      <c r="I246" s="606"/>
      <c r="J246" s="606"/>
      <c r="K246" s="606"/>
      <c r="L246" s="606"/>
      <c r="M246" s="606"/>
      <c r="N246" s="606"/>
      <c r="O246" s="606"/>
      <c r="P246" s="606"/>
      <c r="Q246" s="606"/>
      <c r="R246" s="606"/>
      <c r="S246" s="606"/>
      <c r="T246" s="606"/>
      <c r="U246" s="606"/>
      <c r="V246" s="606"/>
      <c r="W246" s="162"/>
      <c r="X246" s="85"/>
    </row>
    <row r="247" spans="1:24" hidden="1" x14ac:dyDescent="0.25">
      <c r="A247" s="158" t="s">
        <v>531</v>
      </c>
      <c r="B247" s="158" t="s">
        <v>298</v>
      </c>
      <c r="C247" s="210"/>
      <c r="D247" s="210"/>
      <c r="E247" s="156" t="s">
        <v>299</v>
      </c>
      <c r="F247" s="160" t="s">
        <v>198</v>
      </c>
      <c r="G247" s="167" t="s">
        <v>162</v>
      </c>
      <c r="H247" s="160">
        <f>VLOOKUP(G247,'условия, ФОТ'!$A$14:$I$32,9, FALSE)</f>
        <v>164.09</v>
      </c>
      <c r="I247" s="160">
        <v>0.5</v>
      </c>
      <c r="J247" s="160">
        <f t="shared" ref="J247:J251" si="74">ROUND(H247*I247,2)</f>
        <v>82.05</v>
      </c>
      <c r="K247" s="160">
        <f>ROUND(J247*$K$7,2)</f>
        <v>24.78</v>
      </c>
      <c r="L247" s="160">
        <f t="shared" ref="L247:L251" si="75">J247+K247</f>
        <v>106.83</v>
      </c>
      <c r="M247" s="159"/>
      <c r="N247" s="160"/>
      <c r="O247" s="160"/>
      <c r="P247" s="160"/>
      <c r="Q247" s="160"/>
      <c r="R247" s="160">
        <f t="shared" ref="R247:R251" si="76">L247+Q247</f>
        <v>106.83</v>
      </c>
      <c r="S247" s="160">
        <f>ROUND(R247*$S$7,2)</f>
        <v>130.44</v>
      </c>
      <c r="T247" s="162">
        <f>ROUND(V247/1.2,2)</f>
        <v>260.83</v>
      </c>
      <c r="U247" s="162">
        <f>ROUND(T247*$U$7,2)</f>
        <v>52.17</v>
      </c>
      <c r="V247" s="162">
        <f>ROUND((R247+S247)*(1+$T$7)*1.2,0)</f>
        <v>313</v>
      </c>
      <c r="W247" s="162">
        <v>207</v>
      </c>
      <c r="X247" s="78">
        <f t="shared" ref="X247:X286" si="77">V247/W247*100-100</f>
        <v>51.207729468599041</v>
      </c>
    </row>
    <row r="248" spans="1:24" hidden="1" x14ac:dyDescent="0.25">
      <c r="A248" s="158" t="s">
        <v>532</v>
      </c>
      <c r="B248" s="158" t="s">
        <v>298</v>
      </c>
      <c r="C248" s="210"/>
      <c r="D248" s="210"/>
      <c r="E248" s="156" t="s">
        <v>300</v>
      </c>
      <c r="F248" s="160" t="s">
        <v>198</v>
      </c>
      <c r="G248" s="167" t="s">
        <v>162</v>
      </c>
      <c r="H248" s="160">
        <f>VLOOKUP(G248,'условия, ФОТ'!$A$14:$I$32,9, FALSE)</f>
        <v>164.09</v>
      </c>
      <c r="I248" s="160">
        <v>0.2</v>
      </c>
      <c r="J248" s="160">
        <f t="shared" si="74"/>
        <v>32.82</v>
      </c>
      <c r="K248" s="160">
        <f>ROUND(J248*$K$7,2)</f>
        <v>9.91</v>
      </c>
      <c r="L248" s="160">
        <f t="shared" si="75"/>
        <v>42.730000000000004</v>
      </c>
      <c r="M248" s="159"/>
      <c r="N248" s="160"/>
      <c r="O248" s="160"/>
      <c r="P248" s="160"/>
      <c r="Q248" s="160"/>
      <c r="R248" s="160">
        <f t="shared" si="76"/>
        <v>42.730000000000004</v>
      </c>
      <c r="S248" s="160">
        <f>ROUND(R248*$S$7,2)</f>
        <v>52.17</v>
      </c>
      <c r="T248" s="162">
        <f>ROUND(V248/1.2,2)</f>
        <v>104.17</v>
      </c>
      <c r="U248" s="162">
        <f>ROUND(T248*$U$7,2)</f>
        <v>20.83</v>
      </c>
      <c r="V248" s="162">
        <f>ROUND((R248+S248)*(1+$T$7)*1.2,0)</f>
        <v>125</v>
      </c>
      <c r="W248" s="162">
        <v>83</v>
      </c>
      <c r="X248" s="78">
        <f t="shared" si="77"/>
        <v>50.602409638554235</v>
      </c>
    </row>
    <row r="249" spans="1:24" ht="15.75" hidden="1" customHeight="1" x14ac:dyDescent="0.25">
      <c r="A249" s="590" t="s">
        <v>533</v>
      </c>
      <c r="B249" s="590" t="s">
        <v>301</v>
      </c>
      <c r="C249" s="210"/>
      <c r="D249" s="210"/>
      <c r="E249" s="607" t="s">
        <v>120</v>
      </c>
      <c r="F249" s="592" t="s">
        <v>198</v>
      </c>
      <c r="G249" s="167" t="s">
        <v>162</v>
      </c>
      <c r="H249" s="160">
        <f>VLOOKUP(G249,'условия, ФОТ'!$A$14:$I$32,9, FALSE)</f>
        <v>164.09</v>
      </c>
      <c r="I249" s="160">
        <v>0.3</v>
      </c>
      <c r="J249" s="592">
        <f>ROUND((H249*I249+H250*I250),2)</f>
        <v>104.97</v>
      </c>
      <c r="K249" s="592">
        <f>ROUND(J249*$K$7,2)</f>
        <v>31.7</v>
      </c>
      <c r="L249" s="592">
        <f>J249+K249</f>
        <v>136.66999999999999</v>
      </c>
      <c r="M249" s="159"/>
      <c r="N249" s="160"/>
      <c r="O249" s="160"/>
      <c r="P249" s="160"/>
      <c r="Q249" s="160"/>
      <c r="R249" s="592">
        <f>L249+Q249</f>
        <v>136.66999999999999</v>
      </c>
      <c r="S249" s="592">
        <f>ROUND(R249*$S$7,2)</f>
        <v>166.87</v>
      </c>
      <c r="T249" s="596">
        <f>ROUND(V249/1.2,2)</f>
        <v>334.17</v>
      </c>
      <c r="U249" s="596">
        <f>ROUND(T249*$U$7,2)</f>
        <v>66.83</v>
      </c>
      <c r="V249" s="596">
        <f>ROUND((R249+S249)*(1+$T$7)*1.2,0)</f>
        <v>401</v>
      </c>
      <c r="W249" s="596">
        <v>306</v>
      </c>
      <c r="X249" s="601">
        <f t="shared" si="77"/>
        <v>31.045751633986924</v>
      </c>
    </row>
    <row r="250" spans="1:24" hidden="1" x14ac:dyDescent="0.25">
      <c r="A250" s="590"/>
      <c r="B250" s="590"/>
      <c r="C250" s="210"/>
      <c r="D250" s="210"/>
      <c r="E250" s="607"/>
      <c r="F250" s="592"/>
      <c r="G250" s="167" t="s">
        <v>166</v>
      </c>
      <c r="H250" s="160">
        <f>VLOOKUP(G250,'условия, ФОТ'!$A$14:$I$32,9, FALSE)</f>
        <v>185.8</v>
      </c>
      <c r="I250" s="160">
        <v>0.3</v>
      </c>
      <c r="J250" s="592">
        <f t="shared" ref="J250" si="78">ROUND(H250*I250,2)</f>
        <v>55.74</v>
      </c>
      <c r="K250" s="592">
        <f>ROUND(J250*$K$7,2)</f>
        <v>16.829999999999998</v>
      </c>
      <c r="L250" s="592">
        <f t="shared" ref="L250" si="79">J250+K250</f>
        <v>72.569999999999993</v>
      </c>
      <c r="M250" s="159"/>
      <c r="N250" s="160"/>
      <c r="O250" s="160"/>
      <c r="P250" s="160"/>
      <c r="Q250" s="160"/>
      <c r="R250" s="592"/>
      <c r="S250" s="592"/>
      <c r="T250" s="596">
        <f t="shared" ref="T250" si="80">ROUND(V250/1.18,2)</f>
        <v>0</v>
      </c>
      <c r="U250" s="596">
        <f>ROUND(T250*$U$7,2)</f>
        <v>0</v>
      </c>
      <c r="V250" s="596">
        <f>ROUND((R250+S250)*(1+$T$7)*1.18,0)</f>
        <v>0</v>
      </c>
      <c r="W250" s="596"/>
      <c r="X250" s="601"/>
    </row>
    <row r="251" spans="1:24" ht="31.7" hidden="1" customHeight="1" x14ac:dyDescent="0.25">
      <c r="A251" s="158" t="s">
        <v>534</v>
      </c>
      <c r="B251" s="158" t="s">
        <v>302</v>
      </c>
      <c r="C251" s="210"/>
      <c r="D251" s="210"/>
      <c r="E251" s="156" t="s">
        <v>121</v>
      </c>
      <c r="F251" s="160" t="s">
        <v>198</v>
      </c>
      <c r="G251" s="167" t="s">
        <v>166</v>
      </c>
      <c r="H251" s="160">
        <f>VLOOKUP(G251,'условия, ФОТ'!$A$14:$I$32,9, FALSE)</f>
        <v>185.8</v>
      </c>
      <c r="I251" s="160">
        <v>1.1000000000000001</v>
      </c>
      <c r="J251" s="160">
        <f t="shared" si="74"/>
        <v>204.38</v>
      </c>
      <c r="K251" s="160">
        <f>ROUND(J251*$K$7,2)</f>
        <v>61.72</v>
      </c>
      <c r="L251" s="160">
        <f t="shared" si="75"/>
        <v>266.10000000000002</v>
      </c>
      <c r="M251" s="159"/>
      <c r="N251" s="160"/>
      <c r="O251" s="160"/>
      <c r="P251" s="160"/>
      <c r="Q251" s="160">
        <f>SUM(Q252:Q254)</f>
        <v>110.42000000000002</v>
      </c>
      <c r="R251" s="160">
        <f t="shared" si="76"/>
        <v>376.52000000000004</v>
      </c>
      <c r="S251" s="160">
        <f>ROUND(R251*$S$7,2)</f>
        <v>459.73</v>
      </c>
      <c r="T251" s="162">
        <f>ROUND(V251/1.2,2)</f>
        <v>920</v>
      </c>
      <c r="U251" s="162">
        <f>ROUND(T251*$U$7,2)</f>
        <v>184</v>
      </c>
      <c r="V251" s="162">
        <f>ROUND((R251+S251)*(1+$T$7)*1.2,0)</f>
        <v>1104</v>
      </c>
      <c r="W251" s="162">
        <v>945</v>
      </c>
      <c r="X251" s="78">
        <f t="shared" si="77"/>
        <v>16.825396825396837</v>
      </c>
    </row>
    <row r="252" spans="1:24" hidden="1" outlineLevel="1" x14ac:dyDescent="0.25">
      <c r="A252" s="158"/>
      <c r="B252" s="158"/>
      <c r="C252" s="210"/>
      <c r="D252" s="210"/>
      <c r="E252" s="156"/>
      <c r="F252" s="160"/>
      <c r="G252" s="167"/>
      <c r="H252" s="160"/>
      <c r="I252" s="160"/>
      <c r="J252" s="160"/>
      <c r="K252" s="160"/>
      <c r="L252" s="96" t="s">
        <v>366</v>
      </c>
      <c r="M252" s="122" t="s">
        <v>380</v>
      </c>
      <c r="N252" s="98" t="str">
        <f>VLOOKUP(M252,материалы!$A$5:$G$31,5, FALSE)</f>
        <v>кг</v>
      </c>
      <c r="O252" s="160">
        <f>VLOOKUP(M252,материалы!$A$5:$G$31,7, FALSE)</f>
        <v>728.13</v>
      </c>
      <c r="P252" s="160">
        <v>0.1</v>
      </c>
      <c r="Q252" s="160">
        <f>ROUND(O252*P252,2)</f>
        <v>72.81</v>
      </c>
      <c r="R252" s="160"/>
      <c r="S252" s="160"/>
      <c r="T252" s="162"/>
      <c r="U252" s="162"/>
      <c r="V252" s="162"/>
      <c r="W252" s="162"/>
      <c r="X252" s="78"/>
    </row>
    <row r="253" spans="1:24" hidden="1" outlineLevel="1" x14ac:dyDescent="0.25">
      <c r="A253" s="158"/>
      <c r="B253" s="158"/>
      <c r="C253" s="210"/>
      <c r="D253" s="210"/>
      <c r="E253" s="156"/>
      <c r="F253" s="160"/>
      <c r="G253" s="167"/>
      <c r="H253" s="160"/>
      <c r="I253" s="160"/>
      <c r="J253" s="160"/>
      <c r="K253" s="160"/>
      <c r="L253" s="160"/>
      <c r="M253" s="122" t="s">
        <v>379</v>
      </c>
      <c r="N253" s="98" t="str">
        <f>VLOOKUP(M253,материалы!$A$5:$G$31,5, FALSE)</f>
        <v>кг</v>
      </c>
      <c r="O253" s="160">
        <f>VLOOKUP(M253,материалы!$A$5:$G$31,7, FALSE)</f>
        <v>681.26</v>
      </c>
      <c r="P253" s="160">
        <v>5.1999999999999998E-2</v>
      </c>
      <c r="Q253" s="160">
        <f t="shared" ref="Q253:Q254" si="81">ROUND(O253*P253,2)</f>
        <v>35.43</v>
      </c>
      <c r="R253" s="160"/>
      <c r="S253" s="160"/>
      <c r="T253" s="162"/>
      <c r="U253" s="162"/>
      <c r="V253" s="162"/>
      <c r="W253" s="162"/>
      <c r="X253" s="78"/>
    </row>
    <row r="254" spans="1:24" hidden="1" outlineLevel="1" x14ac:dyDescent="0.25">
      <c r="A254" s="158"/>
      <c r="B254" s="158"/>
      <c r="C254" s="210"/>
      <c r="D254" s="210"/>
      <c r="E254" s="156"/>
      <c r="F254" s="160"/>
      <c r="G254" s="167"/>
      <c r="H254" s="160"/>
      <c r="I254" s="160"/>
      <c r="J254" s="160"/>
      <c r="K254" s="160"/>
      <c r="L254" s="160"/>
      <c r="M254" s="122" t="s">
        <v>324</v>
      </c>
      <c r="N254" s="98" t="str">
        <f>VLOOKUP(M254,материалы!$A$5:$G$31,5, FALSE)</f>
        <v>м3</v>
      </c>
      <c r="O254" s="160">
        <f>VLOOKUP(M254,материалы!$A$5:$G$31,7, FALSE)</f>
        <v>54.61</v>
      </c>
      <c r="P254" s="160">
        <v>0.04</v>
      </c>
      <c r="Q254" s="160">
        <f t="shared" si="81"/>
        <v>2.1800000000000002</v>
      </c>
      <c r="R254" s="160"/>
      <c r="S254" s="160"/>
      <c r="T254" s="162"/>
      <c r="U254" s="162"/>
      <c r="V254" s="162"/>
      <c r="W254" s="162"/>
      <c r="X254" s="78"/>
    </row>
    <row r="255" spans="1:24" s="86" customFormat="1" ht="24" hidden="1" customHeight="1" x14ac:dyDescent="0.25">
      <c r="A255" s="606" t="s">
        <v>313</v>
      </c>
      <c r="B255" s="606"/>
      <c r="C255" s="606"/>
      <c r="D255" s="606"/>
      <c r="E255" s="606"/>
      <c r="F255" s="606"/>
      <c r="G255" s="606"/>
      <c r="H255" s="606"/>
      <c r="I255" s="606"/>
      <c r="J255" s="606"/>
      <c r="K255" s="606"/>
      <c r="L255" s="606"/>
      <c r="M255" s="606"/>
      <c r="N255" s="606"/>
      <c r="O255" s="606"/>
      <c r="P255" s="606"/>
      <c r="Q255" s="606"/>
      <c r="R255" s="606"/>
      <c r="S255" s="606"/>
      <c r="T255" s="606"/>
      <c r="U255" s="606"/>
      <c r="V255" s="606"/>
      <c r="W255" s="162"/>
      <c r="X255" s="85"/>
    </row>
    <row r="256" spans="1:24" ht="38.25" hidden="1" x14ac:dyDescent="0.25">
      <c r="A256" s="158" t="s">
        <v>535</v>
      </c>
      <c r="B256" s="158" t="s">
        <v>304</v>
      </c>
      <c r="C256" s="210"/>
      <c r="D256" s="210"/>
      <c r="E256" s="156" t="s">
        <v>568</v>
      </c>
      <c r="F256" s="146" t="s">
        <v>303</v>
      </c>
      <c r="G256" s="147" t="s">
        <v>587</v>
      </c>
      <c r="H256" s="160">
        <f>VLOOKUP(G256,'условия, ФОТ'!$A$14:$I$32,9, FALSE)</f>
        <v>152.12</v>
      </c>
      <c r="I256" s="160">
        <v>0.26</v>
      </c>
      <c r="J256" s="160">
        <f t="shared" ref="J256:J264" si="82">ROUND(H256*I256,2)</f>
        <v>39.549999999999997</v>
      </c>
      <c r="K256" s="160">
        <f t="shared" ref="K256:K264" si="83">ROUND(J256*$K$7,2)</f>
        <v>11.94</v>
      </c>
      <c r="L256" s="160">
        <f t="shared" ref="L256:L264" si="84">J256+K256</f>
        <v>51.489999999999995</v>
      </c>
      <c r="M256" s="159"/>
      <c r="N256" s="160"/>
      <c r="O256" s="160"/>
      <c r="P256" s="160"/>
      <c r="Q256" s="160"/>
      <c r="R256" s="160">
        <f t="shared" ref="R256:R264" si="85">L256+Q256</f>
        <v>51.489999999999995</v>
      </c>
      <c r="S256" s="160">
        <f t="shared" ref="S256:S264" si="86">ROUND(R256*$S$7,2)</f>
        <v>62.87</v>
      </c>
      <c r="T256" s="162">
        <f>ROUND(V256/1.2,2)</f>
        <v>125.83</v>
      </c>
      <c r="U256" s="162">
        <f t="shared" ref="U256:U264" si="87">ROUND(T256*$U$7,2)</f>
        <v>25.17</v>
      </c>
      <c r="V256" s="162">
        <f t="shared" ref="V256:V264" si="88">ROUND((R256+S256)*(1+$T$7)*1.2,0)</f>
        <v>151</v>
      </c>
      <c r="W256" s="162">
        <v>129</v>
      </c>
      <c r="X256" s="78">
        <f t="shared" si="77"/>
        <v>17.054263565891475</v>
      </c>
    </row>
    <row r="257" spans="1:24" ht="38.25" hidden="1" x14ac:dyDescent="0.25">
      <c r="A257" s="158" t="s">
        <v>536</v>
      </c>
      <c r="B257" s="158" t="s">
        <v>305</v>
      </c>
      <c r="C257" s="210"/>
      <c r="D257" s="210"/>
      <c r="E257" s="156" t="s">
        <v>569</v>
      </c>
      <c r="F257" s="146" t="s">
        <v>303</v>
      </c>
      <c r="G257" s="147" t="s">
        <v>587</v>
      </c>
      <c r="H257" s="160">
        <f>VLOOKUP(G257,'условия, ФОТ'!$A$14:$I$32,9, FALSE)</f>
        <v>152.12</v>
      </c>
      <c r="I257" s="160">
        <v>0.43</v>
      </c>
      <c r="J257" s="160">
        <f t="shared" si="82"/>
        <v>65.41</v>
      </c>
      <c r="K257" s="160">
        <f t="shared" si="83"/>
        <v>19.75</v>
      </c>
      <c r="L257" s="160">
        <f t="shared" si="84"/>
        <v>85.16</v>
      </c>
      <c r="M257" s="159"/>
      <c r="N257" s="160"/>
      <c r="O257" s="160"/>
      <c r="P257" s="160"/>
      <c r="Q257" s="160"/>
      <c r="R257" s="160">
        <f t="shared" si="85"/>
        <v>85.16</v>
      </c>
      <c r="S257" s="160">
        <f t="shared" si="86"/>
        <v>103.98</v>
      </c>
      <c r="T257" s="162">
        <f t="shared" ref="T257:T264" si="89">ROUND(V257/1.2,2)</f>
        <v>208.33</v>
      </c>
      <c r="U257" s="162">
        <f t="shared" si="87"/>
        <v>41.67</v>
      </c>
      <c r="V257" s="162">
        <f t="shared" si="88"/>
        <v>250</v>
      </c>
      <c r="W257" s="162">
        <v>214</v>
      </c>
      <c r="X257" s="78">
        <f t="shared" si="77"/>
        <v>16.822429906542055</v>
      </c>
    </row>
    <row r="258" spans="1:24" ht="55.5" hidden="1" customHeight="1" x14ac:dyDescent="0.25">
      <c r="A258" s="158" t="s">
        <v>538</v>
      </c>
      <c r="B258" s="158" t="s">
        <v>306</v>
      </c>
      <c r="C258" s="210"/>
      <c r="D258" s="210"/>
      <c r="E258" s="156" t="s">
        <v>570</v>
      </c>
      <c r="F258" s="146" t="s">
        <v>303</v>
      </c>
      <c r="G258" s="147" t="s">
        <v>587</v>
      </c>
      <c r="H258" s="160">
        <f>VLOOKUP(G258,'условия, ФОТ'!$A$14:$I$32,9, FALSE)</f>
        <v>152.12</v>
      </c>
      <c r="I258" s="160">
        <v>0.18</v>
      </c>
      <c r="J258" s="160">
        <f t="shared" si="82"/>
        <v>27.38</v>
      </c>
      <c r="K258" s="160">
        <f t="shared" si="83"/>
        <v>8.27</v>
      </c>
      <c r="L258" s="160">
        <f t="shared" si="84"/>
        <v>35.65</v>
      </c>
      <c r="M258" s="159"/>
      <c r="N258" s="160"/>
      <c r="O258" s="160"/>
      <c r="P258" s="160"/>
      <c r="Q258" s="160"/>
      <c r="R258" s="160">
        <f t="shared" si="85"/>
        <v>35.65</v>
      </c>
      <c r="S258" s="160">
        <f t="shared" si="86"/>
        <v>43.53</v>
      </c>
      <c r="T258" s="162">
        <f t="shared" si="89"/>
        <v>87.5</v>
      </c>
      <c r="U258" s="162">
        <f t="shared" si="87"/>
        <v>17.5</v>
      </c>
      <c r="V258" s="162">
        <f t="shared" si="88"/>
        <v>105</v>
      </c>
      <c r="W258" s="162">
        <v>89</v>
      </c>
      <c r="X258" s="78">
        <f t="shared" si="77"/>
        <v>17.977528089887642</v>
      </c>
    </row>
    <row r="259" spans="1:24" ht="33" hidden="1" customHeight="1" x14ac:dyDescent="0.25">
      <c r="A259" s="158" t="s">
        <v>540</v>
      </c>
      <c r="B259" s="158" t="s">
        <v>307</v>
      </c>
      <c r="C259" s="210"/>
      <c r="D259" s="210"/>
      <c r="E259" s="156" t="s">
        <v>571</v>
      </c>
      <c r="F259" s="146" t="s">
        <v>303</v>
      </c>
      <c r="G259" s="147" t="s">
        <v>587</v>
      </c>
      <c r="H259" s="160">
        <f>VLOOKUP(G259,'условия, ФОТ'!$A$14:$I$32,9, FALSE)</f>
        <v>152.12</v>
      </c>
      <c r="I259" s="160">
        <v>0.3</v>
      </c>
      <c r="J259" s="160">
        <f t="shared" si="82"/>
        <v>45.64</v>
      </c>
      <c r="K259" s="160">
        <f t="shared" si="83"/>
        <v>13.78</v>
      </c>
      <c r="L259" s="160">
        <f t="shared" si="84"/>
        <v>59.42</v>
      </c>
      <c r="M259" s="159"/>
      <c r="N259" s="160"/>
      <c r="O259" s="160"/>
      <c r="P259" s="160"/>
      <c r="Q259" s="160"/>
      <c r="R259" s="160">
        <f t="shared" si="85"/>
        <v>59.42</v>
      </c>
      <c r="S259" s="160">
        <f t="shared" si="86"/>
        <v>72.55</v>
      </c>
      <c r="T259" s="162">
        <f t="shared" si="89"/>
        <v>145</v>
      </c>
      <c r="U259" s="162">
        <f t="shared" si="87"/>
        <v>29</v>
      </c>
      <c r="V259" s="162">
        <f t="shared" si="88"/>
        <v>174</v>
      </c>
      <c r="W259" s="162">
        <v>149</v>
      </c>
      <c r="X259" s="78">
        <f t="shared" si="77"/>
        <v>16.778523489932894</v>
      </c>
    </row>
    <row r="260" spans="1:24" ht="33.75" hidden="1" customHeight="1" x14ac:dyDescent="0.25">
      <c r="A260" s="158" t="s">
        <v>541</v>
      </c>
      <c r="B260" s="158" t="s">
        <v>27</v>
      </c>
      <c r="C260" s="210"/>
      <c r="D260" s="210"/>
      <c r="E260" s="171" t="s">
        <v>122</v>
      </c>
      <c r="F260" s="146" t="s">
        <v>303</v>
      </c>
      <c r="G260" s="147" t="s">
        <v>587</v>
      </c>
      <c r="H260" s="160">
        <f>VLOOKUP(G260,'условия, ФОТ'!$A$14:$I$32,9, FALSE)</f>
        <v>152.12</v>
      </c>
      <c r="I260" s="160">
        <v>0.5</v>
      </c>
      <c r="J260" s="160">
        <f t="shared" si="82"/>
        <v>76.06</v>
      </c>
      <c r="K260" s="160">
        <f t="shared" si="83"/>
        <v>22.97</v>
      </c>
      <c r="L260" s="160">
        <f t="shared" si="84"/>
        <v>99.03</v>
      </c>
      <c r="M260" s="159"/>
      <c r="N260" s="160"/>
      <c r="O260" s="160"/>
      <c r="P260" s="160"/>
      <c r="Q260" s="160"/>
      <c r="R260" s="160">
        <f t="shared" si="85"/>
        <v>99.03</v>
      </c>
      <c r="S260" s="160">
        <f t="shared" si="86"/>
        <v>120.92</v>
      </c>
      <c r="T260" s="162">
        <f t="shared" si="89"/>
        <v>241.67</v>
      </c>
      <c r="U260" s="162">
        <f t="shared" si="87"/>
        <v>48.33</v>
      </c>
      <c r="V260" s="162">
        <f t="shared" si="88"/>
        <v>290</v>
      </c>
      <c r="W260" s="162">
        <v>249</v>
      </c>
      <c r="X260" s="78">
        <f t="shared" si="77"/>
        <v>16.46586345381526</v>
      </c>
    </row>
    <row r="261" spans="1:24" ht="33" hidden="1" customHeight="1" x14ac:dyDescent="0.25">
      <c r="A261" s="158" t="s">
        <v>542</v>
      </c>
      <c r="B261" s="158" t="s">
        <v>27</v>
      </c>
      <c r="C261" s="210"/>
      <c r="D261" s="210"/>
      <c r="E261" s="156" t="s">
        <v>123</v>
      </c>
      <c r="F261" s="146" t="s">
        <v>303</v>
      </c>
      <c r="G261" s="147" t="s">
        <v>587</v>
      </c>
      <c r="H261" s="160">
        <f>VLOOKUP(G261,'условия, ФОТ'!$A$14:$I$32,9, FALSE)</f>
        <v>152.12</v>
      </c>
      <c r="I261" s="160">
        <v>0.4</v>
      </c>
      <c r="J261" s="160">
        <f t="shared" si="82"/>
        <v>60.85</v>
      </c>
      <c r="K261" s="160">
        <f t="shared" si="83"/>
        <v>18.38</v>
      </c>
      <c r="L261" s="160">
        <f t="shared" si="84"/>
        <v>79.23</v>
      </c>
      <c r="M261" s="159"/>
      <c r="N261" s="160"/>
      <c r="O261" s="160"/>
      <c r="P261" s="160"/>
      <c r="Q261" s="160"/>
      <c r="R261" s="160">
        <f t="shared" si="85"/>
        <v>79.23</v>
      </c>
      <c r="S261" s="160">
        <f t="shared" si="86"/>
        <v>96.74</v>
      </c>
      <c r="T261" s="162">
        <f t="shared" si="89"/>
        <v>193.33</v>
      </c>
      <c r="U261" s="162">
        <f t="shared" si="87"/>
        <v>38.67</v>
      </c>
      <c r="V261" s="162">
        <f t="shared" si="88"/>
        <v>232</v>
      </c>
      <c r="W261" s="162">
        <v>199</v>
      </c>
      <c r="X261" s="78">
        <f t="shared" si="77"/>
        <v>16.582914572864311</v>
      </c>
    </row>
    <row r="262" spans="1:24" ht="32.25" hidden="1" customHeight="1" x14ac:dyDescent="0.25">
      <c r="A262" s="158" t="s">
        <v>543</v>
      </c>
      <c r="B262" s="158" t="s">
        <v>27</v>
      </c>
      <c r="C262" s="210"/>
      <c r="D262" s="210"/>
      <c r="E262" s="156" t="s">
        <v>124</v>
      </c>
      <c r="F262" s="146" t="s">
        <v>303</v>
      </c>
      <c r="G262" s="147" t="s">
        <v>587</v>
      </c>
      <c r="H262" s="160">
        <f>VLOOKUP(G262,'условия, ФОТ'!$A$14:$I$32,9, FALSE)</f>
        <v>152.12</v>
      </c>
      <c r="I262" s="160">
        <v>0.6</v>
      </c>
      <c r="J262" s="160">
        <f t="shared" si="82"/>
        <v>91.27</v>
      </c>
      <c r="K262" s="160">
        <f t="shared" si="83"/>
        <v>27.56</v>
      </c>
      <c r="L262" s="160">
        <f t="shared" si="84"/>
        <v>118.83</v>
      </c>
      <c r="M262" s="159"/>
      <c r="N262" s="160"/>
      <c r="O262" s="160"/>
      <c r="P262" s="160"/>
      <c r="Q262" s="160"/>
      <c r="R262" s="160">
        <f t="shared" si="85"/>
        <v>118.83</v>
      </c>
      <c r="S262" s="160">
        <f t="shared" si="86"/>
        <v>145.09</v>
      </c>
      <c r="T262" s="162">
        <f t="shared" si="89"/>
        <v>290</v>
      </c>
      <c r="U262" s="162">
        <f t="shared" si="87"/>
        <v>58</v>
      </c>
      <c r="V262" s="162">
        <f t="shared" si="88"/>
        <v>348</v>
      </c>
      <c r="W262" s="162">
        <v>298</v>
      </c>
      <c r="X262" s="78">
        <f t="shared" si="77"/>
        <v>16.778523489932894</v>
      </c>
    </row>
    <row r="263" spans="1:24" ht="45.95" hidden="1" customHeight="1" x14ac:dyDescent="0.25">
      <c r="A263" s="158" t="s">
        <v>537</v>
      </c>
      <c r="B263" s="158" t="s">
        <v>27</v>
      </c>
      <c r="C263" s="210"/>
      <c r="D263" s="210"/>
      <c r="E263" s="156" t="s">
        <v>125</v>
      </c>
      <c r="F263" s="146" t="s">
        <v>303</v>
      </c>
      <c r="G263" s="147" t="s">
        <v>587</v>
      </c>
      <c r="H263" s="160">
        <f>VLOOKUP(G263,'условия, ФОТ'!$A$14:$I$32,9, FALSE)</f>
        <v>152.12</v>
      </c>
      <c r="I263" s="160">
        <v>0.8</v>
      </c>
      <c r="J263" s="160">
        <f t="shared" si="82"/>
        <v>121.7</v>
      </c>
      <c r="K263" s="160">
        <f t="shared" si="83"/>
        <v>36.75</v>
      </c>
      <c r="L263" s="160">
        <f t="shared" si="84"/>
        <v>158.44999999999999</v>
      </c>
      <c r="M263" s="159"/>
      <c r="N263" s="160"/>
      <c r="O263" s="160"/>
      <c r="P263" s="160"/>
      <c r="Q263" s="160"/>
      <c r="R263" s="160">
        <f t="shared" si="85"/>
        <v>158.44999999999999</v>
      </c>
      <c r="S263" s="160">
        <f t="shared" si="86"/>
        <v>193.47</v>
      </c>
      <c r="T263" s="162">
        <f t="shared" si="89"/>
        <v>387.5</v>
      </c>
      <c r="U263" s="162">
        <f t="shared" si="87"/>
        <v>77.5</v>
      </c>
      <c r="V263" s="162">
        <f t="shared" si="88"/>
        <v>465</v>
      </c>
      <c r="W263" s="162">
        <v>398</v>
      </c>
      <c r="X263" s="78">
        <f t="shared" si="77"/>
        <v>16.834170854271349</v>
      </c>
    </row>
    <row r="264" spans="1:24" ht="54" hidden="1" customHeight="1" x14ac:dyDescent="0.25">
      <c r="A264" s="158" t="s">
        <v>557</v>
      </c>
      <c r="B264" s="158" t="s">
        <v>27</v>
      </c>
      <c r="C264" s="210"/>
      <c r="D264" s="210"/>
      <c r="E264" s="156" t="s">
        <v>558</v>
      </c>
      <c r="F264" s="160" t="s">
        <v>316</v>
      </c>
      <c r="G264" s="147" t="s">
        <v>587</v>
      </c>
      <c r="H264" s="160">
        <f>VLOOKUP(G264,'условия, ФОТ'!$A$14:$I$32,9, FALSE)</f>
        <v>152.12</v>
      </c>
      <c r="I264" s="160">
        <v>0.12</v>
      </c>
      <c r="J264" s="160">
        <f t="shared" si="82"/>
        <v>18.25</v>
      </c>
      <c r="K264" s="160">
        <f t="shared" si="83"/>
        <v>5.51</v>
      </c>
      <c r="L264" s="160">
        <f t="shared" si="84"/>
        <v>23.759999999999998</v>
      </c>
      <c r="M264" s="159"/>
      <c r="N264" s="160"/>
      <c r="O264" s="160"/>
      <c r="P264" s="160"/>
      <c r="Q264" s="160"/>
      <c r="R264" s="160">
        <f t="shared" si="85"/>
        <v>23.759999999999998</v>
      </c>
      <c r="S264" s="160">
        <f t="shared" si="86"/>
        <v>29.01</v>
      </c>
      <c r="T264" s="162">
        <f t="shared" si="89"/>
        <v>58.33</v>
      </c>
      <c r="U264" s="162">
        <f t="shared" si="87"/>
        <v>11.67</v>
      </c>
      <c r="V264" s="162">
        <f t="shared" si="88"/>
        <v>70</v>
      </c>
      <c r="W264" s="162">
        <v>60</v>
      </c>
      <c r="X264" s="78">
        <f t="shared" si="77"/>
        <v>16.666666666666671</v>
      </c>
    </row>
    <row r="265" spans="1:24" s="86" customFormat="1" ht="25.5" hidden="1" customHeight="1" x14ac:dyDescent="0.25">
      <c r="A265" s="606" t="s">
        <v>317</v>
      </c>
      <c r="B265" s="606"/>
      <c r="C265" s="606"/>
      <c r="D265" s="606"/>
      <c r="E265" s="606"/>
      <c r="F265" s="606"/>
      <c r="G265" s="606"/>
      <c r="H265" s="606"/>
      <c r="I265" s="606"/>
      <c r="J265" s="606"/>
      <c r="K265" s="606"/>
      <c r="L265" s="606"/>
      <c r="M265" s="606"/>
      <c r="N265" s="606"/>
      <c r="O265" s="606"/>
      <c r="P265" s="606"/>
      <c r="Q265" s="606"/>
      <c r="R265" s="606"/>
      <c r="S265" s="606"/>
      <c r="T265" s="606"/>
      <c r="U265" s="606"/>
      <c r="V265" s="606"/>
      <c r="W265" s="95"/>
      <c r="X265" s="85"/>
    </row>
    <row r="266" spans="1:24" ht="25.5" hidden="1" x14ac:dyDescent="0.25">
      <c r="A266" s="158" t="s">
        <v>544</v>
      </c>
      <c r="B266" s="158" t="s">
        <v>27</v>
      </c>
      <c r="C266" s="210"/>
      <c r="D266" s="210"/>
      <c r="E266" s="156" t="s">
        <v>129</v>
      </c>
      <c r="F266" s="160" t="s">
        <v>308</v>
      </c>
      <c r="G266" s="167" t="s">
        <v>318</v>
      </c>
      <c r="H266" s="160">
        <f>VLOOKUP(G266,'условия, ФОТ'!$A$14:$I$32,9, FALSE)</f>
        <v>161.96</v>
      </c>
      <c r="I266" s="123">
        <v>1</v>
      </c>
      <c r="J266" s="160">
        <f t="shared" ref="J266:J286" si="90">ROUND(H266*I266,2)</f>
        <v>161.96</v>
      </c>
      <c r="K266" s="160">
        <f t="shared" ref="K266:K279" si="91">ROUND(J266*$K$7,2)</f>
        <v>48.91</v>
      </c>
      <c r="L266" s="160">
        <f t="shared" ref="L266:L286" si="92">J266+K266</f>
        <v>210.87</v>
      </c>
      <c r="M266" s="159"/>
      <c r="N266" s="160"/>
      <c r="O266" s="160"/>
      <c r="P266" s="160"/>
      <c r="Q266" s="160">
        <f>'расход ГСМ'!J6</f>
        <v>80.03</v>
      </c>
      <c r="R266" s="160">
        <f>L266+Q266</f>
        <v>290.89999999999998</v>
      </c>
      <c r="S266" s="160">
        <f t="shared" ref="S266:S282" si="93">ROUND(R266*$S$7,2)</f>
        <v>355.19</v>
      </c>
      <c r="T266" s="162">
        <f>ROUND(V266/1.2,2)</f>
        <v>710.83</v>
      </c>
      <c r="U266" s="162">
        <f t="shared" ref="U266:U282" si="94">ROUND(T266*$U$7,2)</f>
        <v>142.16999999999999</v>
      </c>
      <c r="V266" s="162">
        <f t="shared" ref="V266:V279" si="95">ROUND((R266+S266)*(1+$T$7)*1.2,0)</f>
        <v>853</v>
      </c>
      <c r="W266" s="162">
        <v>730</v>
      </c>
      <c r="X266" s="78">
        <f t="shared" si="77"/>
        <v>16.849315068493141</v>
      </c>
    </row>
    <row r="267" spans="1:24" ht="25.5" hidden="1" x14ac:dyDescent="0.25">
      <c r="A267" s="158" t="s">
        <v>539</v>
      </c>
      <c r="B267" s="158" t="s">
        <v>27</v>
      </c>
      <c r="C267" s="210"/>
      <c r="D267" s="210"/>
      <c r="E267" s="156" t="s">
        <v>129</v>
      </c>
      <c r="F267" s="160" t="s">
        <v>309</v>
      </c>
      <c r="G267" s="167" t="s">
        <v>318</v>
      </c>
      <c r="H267" s="160">
        <f>VLOOKUP(G267,'условия, ФОТ'!$A$14:$I$32,9, FALSE)</f>
        <v>161.96</v>
      </c>
      <c r="I267" s="160">
        <v>0.02</v>
      </c>
      <c r="J267" s="160">
        <f t="shared" si="90"/>
        <v>3.24</v>
      </c>
      <c r="K267" s="160">
        <f t="shared" si="91"/>
        <v>0.98</v>
      </c>
      <c r="L267" s="160">
        <f t="shared" si="92"/>
        <v>4.2200000000000006</v>
      </c>
      <c r="M267" s="159"/>
      <c r="N267" s="160"/>
      <c r="O267" s="160"/>
      <c r="P267" s="160"/>
      <c r="Q267" s="160">
        <f>'расход ГСМ'!K6</f>
        <v>1.63</v>
      </c>
      <c r="R267" s="160">
        <f>L267+Q267</f>
        <v>5.8500000000000005</v>
      </c>
      <c r="S267" s="160">
        <f t="shared" si="93"/>
        <v>7.14</v>
      </c>
      <c r="T267" s="162">
        <f t="shared" ref="T267:T277" si="96">ROUND(V267/1.2,2)</f>
        <v>14.17</v>
      </c>
      <c r="U267" s="162">
        <f t="shared" si="94"/>
        <v>2.83</v>
      </c>
      <c r="V267" s="162">
        <f t="shared" si="95"/>
        <v>17</v>
      </c>
      <c r="W267" s="162">
        <v>15</v>
      </c>
      <c r="X267" s="78">
        <f t="shared" si="77"/>
        <v>13.333333333333329</v>
      </c>
    </row>
    <row r="268" spans="1:24" ht="25.5" hidden="1" x14ac:dyDescent="0.25">
      <c r="A268" s="158"/>
      <c r="B268" s="158" t="s">
        <v>27</v>
      </c>
      <c r="C268" s="210"/>
      <c r="D268" s="210"/>
      <c r="E268" s="156" t="s">
        <v>126</v>
      </c>
      <c r="F268" s="160" t="s">
        <v>308</v>
      </c>
      <c r="G268" s="167" t="s">
        <v>320</v>
      </c>
      <c r="H268" s="160">
        <f>VLOOKUP(G268,'условия, ФОТ'!$A$14:$I$32,9, FALSE)</f>
        <v>141.72</v>
      </c>
      <c r="I268" s="123"/>
      <c r="J268" s="160">
        <f t="shared" si="90"/>
        <v>0</v>
      </c>
      <c r="K268" s="160">
        <f t="shared" si="91"/>
        <v>0</v>
      </c>
      <c r="L268" s="160">
        <f t="shared" si="92"/>
        <v>0</v>
      </c>
      <c r="M268" s="159"/>
      <c r="N268" s="160"/>
      <c r="O268" s="160"/>
      <c r="P268" s="160"/>
      <c r="Q268" s="160"/>
      <c r="R268" s="160">
        <f>L268+Q268</f>
        <v>0</v>
      </c>
      <c r="S268" s="160">
        <f t="shared" si="93"/>
        <v>0</v>
      </c>
      <c r="T268" s="162">
        <f t="shared" si="96"/>
        <v>0</v>
      </c>
      <c r="U268" s="162">
        <f t="shared" si="94"/>
        <v>0</v>
      </c>
      <c r="V268" s="162">
        <f t="shared" si="95"/>
        <v>0</v>
      </c>
      <c r="W268" s="162">
        <v>632</v>
      </c>
      <c r="X268" s="78">
        <f t="shared" si="77"/>
        <v>-100</v>
      </c>
    </row>
    <row r="269" spans="1:24" ht="25.5" hidden="1" x14ac:dyDescent="0.25">
      <c r="A269" s="158"/>
      <c r="B269" s="158" t="s">
        <v>27</v>
      </c>
      <c r="C269" s="210"/>
      <c r="D269" s="210"/>
      <c r="E269" s="156" t="s">
        <v>126</v>
      </c>
      <c r="F269" s="160" t="s">
        <v>309</v>
      </c>
      <c r="G269" s="167" t="s">
        <v>320</v>
      </c>
      <c r="H269" s="160">
        <f>VLOOKUP(G269,'условия, ФОТ'!$A$14:$I$32,9, FALSE)</f>
        <v>141.72</v>
      </c>
      <c r="I269" s="160"/>
      <c r="J269" s="160">
        <f t="shared" si="90"/>
        <v>0</v>
      </c>
      <c r="K269" s="160">
        <f t="shared" si="91"/>
        <v>0</v>
      </c>
      <c r="L269" s="160">
        <f t="shared" si="92"/>
        <v>0</v>
      </c>
      <c r="M269" s="159"/>
      <c r="N269" s="160"/>
      <c r="O269" s="160"/>
      <c r="P269" s="160"/>
      <c r="Q269" s="160"/>
      <c r="R269" s="160">
        <f>L269+Q269</f>
        <v>0</v>
      </c>
      <c r="S269" s="160">
        <f t="shared" si="93"/>
        <v>0</v>
      </c>
      <c r="T269" s="162">
        <f t="shared" si="96"/>
        <v>0</v>
      </c>
      <c r="U269" s="162">
        <f t="shared" si="94"/>
        <v>0</v>
      </c>
      <c r="V269" s="162">
        <f t="shared" si="95"/>
        <v>0</v>
      </c>
      <c r="W269" s="162">
        <v>13</v>
      </c>
      <c r="X269" s="78">
        <f t="shared" si="77"/>
        <v>-100</v>
      </c>
    </row>
    <row r="270" spans="1:24" ht="25.5" hidden="1" x14ac:dyDescent="0.25">
      <c r="A270" s="158" t="s">
        <v>545</v>
      </c>
      <c r="B270" s="158" t="s">
        <v>27</v>
      </c>
      <c r="C270" s="210"/>
      <c r="D270" s="210"/>
      <c r="E270" s="156" t="s">
        <v>127</v>
      </c>
      <c r="F270" s="160" t="s">
        <v>308</v>
      </c>
      <c r="G270" s="167" t="s">
        <v>319</v>
      </c>
      <c r="H270" s="160">
        <f>VLOOKUP(G270,'условия, ФОТ'!$A$14:$I$32,9, FALSE)</f>
        <v>161.96</v>
      </c>
      <c r="I270" s="123">
        <v>1</v>
      </c>
      <c r="J270" s="160">
        <f t="shared" si="90"/>
        <v>161.96</v>
      </c>
      <c r="K270" s="160">
        <f t="shared" si="91"/>
        <v>48.91</v>
      </c>
      <c r="L270" s="160">
        <f t="shared" si="92"/>
        <v>210.87</v>
      </c>
      <c r="M270" s="159"/>
      <c r="N270" s="160"/>
      <c r="O270" s="160"/>
      <c r="P270" s="160"/>
      <c r="Q270" s="160">
        <f>'расход ГСМ'!J8</f>
        <v>118.52</v>
      </c>
      <c r="R270" s="160">
        <f t="shared" ref="R270:R286" si="97">L270+Q270</f>
        <v>329.39</v>
      </c>
      <c r="S270" s="160">
        <f t="shared" si="93"/>
        <v>402.19</v>
      </c>
      <c r="T270" s="162">
        <f t="shared" si="96"/>
        <v>805</v>
      </c>
      <c r="U270" s="162">
        <f t="shared" si="94"/>
        <v>161</v>
      </c>
      <c r="V270" s="162">
        <f t="shared" si="95"/>
        <v>966</v>
      </c>
      <c r="W270" s="162">
        <v>827</v>
      </c>
      <c r="X270" s="78">
        <f t="shared" si="77"/>
        <v>16.807738814993954</v>
      </c>
    </row>
    <row r="271" spans="1:24" ht="25.5" hidden="1" x14ac:dyDescent="0.25">
      <c r="A271" s="158" t="s">
        <v>546</v>
      </c>
      <c r="B271" s="158" t="s">
        <v>27</v>
      </c>
      <c r="C271" s="210"/>
      <c r="D271" s="210"/>
      <c r="E271" s="156" t="s">
        <v>127</v>
      </c>
      <c r="F271" s="160" t="s">
        <v>309</v>
      </c>
      <c r="G271" s="167" t="s">
        <v>319</v>
      </c>
      <c r="H271" s="160">
        <f>VLOOKUP(G271,'условия, ФОТ'!$A$14:$I$32,9, FALSE)</f>
        <v>161.96</v>
      </c>
      <c r="I271" s="160">
        <v>0.02</v>
      </c>
      <c r="J271" s="160">
        <f t="shared" si="90"/>
        <v>3.24</v>
      </c>
      <c r="K271" s="160">
        <f t="shared" si="91"/>
        <v>0.98</v>
      </c>
      <c r="L271" s="160">
        <f t="shared" si="92"/>
        <v>4.2200000000000006</v>
      </c>
      <c r="M271" s="159"/>
      <c r="N271" s="160"/>
      <c r="O271" s="160"/>
      <c r="P271" s="160"/>
      <c r="Q271" s="160">
        <f>'расход ГСМ'!K8</f>
        <v>2.42</v>
      </c>
      <c r="R271" s="160">
        <f t="shared" si="97"/>
        <v>6.6400000000000006</v>
      </c>
      <c r="S271" s="160">
        <f t="shared" si="93"/>
        <v>8.11</v>
      </c>
      <c r="T271" s="162">
        <f t="shared" si="96"/>
        <v>15.83</v>
      </c>
      <c r="U271" s="162">
        <f t="shared" si="94"/>
        <v>3.17</v>
      </c>
      <c r="V271" s="162">
        <f t="shared" si="95"/>
        <v>19</v>
      </c>
      <c r="W271" s="162">
        <v>17</v>
      </c>
      <c r="X271" s="78">
        <f t="shared" si="77"/>
        <v>11.764705882352942</v>
      </c>
    </row>
    <row r="272" spans="1:24" ht="25.5" hidden="1" customHeight="1" x14ac:dyDescent="0.25">
      <c r="A272" s="158" t="s">
        <v>547</v>
      </c>
      <c r="B272" s="158" t="s">
        <v>27</v>
      </c>
      <c r="C272" s="210"/>
      <c r="D272" s="210"/>
      <c r="E272" s="156" t="s">
        <v>128</v>
      </c>
      <c r="F272" s="160" t="s">
        <v>308</v>
      </c>
      <c r="G272" s="167" t="s">
        <v>321</v>
      </c>
      <c r="H272" s="160">
        <f>VLOOKUP(G272,'условия, ФОТ'!$A$14:$I$32,9, FALSE)</f>
        <v>141.72</v>
      </c>
      <c r="I272" s="123"/>
      <c r="J272" s="160">
        <f t="shared" si="90"/>
        <v>0</v>
      </c>
      <c r="K272" s="160">
        <f t="shared" si="91"/>
        <v>0</v>
      </c>
      <c r="L272" s="160">
        <f t="shared" si="92"/>
        <v>0</v>
      </c>
      <c r="M272" s="159"/>
      <c r="N272" s="160"/>
      <c r="O272" s="160"/>
      <c r="P272" s="160"/>
      <c r="Q272" s="160"/>
      <c r="R272" s="160">
        <f t="shared" si="97"/>
        <v>0</v>
      </c>
      <c r="S272" s="160">
        <f t="shared" si="93"/>
        <v>0</v>
      </c>
      <c r="T272" s="162">
        <f t="shared" si="96"/>
        <v>0</v>
      </c>
      <c r="U272" s="162">
        <f t="shared" si="94"/>
        <v>0</v>
      </c>
      <c r="V272" s="162">
        <f t="shared" si="95"/>
        <v>0</v>
      </c>
      <c r="W272" s="162">
        <v>617</v>
      </c>
      <c r="X272" s="78">
        <f t="shared" si="77"/>
        <v>-100</v>
      </c>
    </row>
    <row r="273" spans="1:24" ht="25.5" hidden="1" customHeight="1" x14ac:dyDescent="0.25">
      <c r="A273" s="158" t="s">
        <v>548</v>
      </c>
      <c r="B273" s="158" t="s">
        <v>27</v>
      </c>
      <c r="C273" s="210"/>
      <c r="D273" s="210"/>
      <c r="E273" s="156" t="s">
        <v>128</v>
      </c>
      <c r="F273" s="160" t="s">
        <v>309</v>
      </c>
      <c r="G273" s="167" t="s">
        <v>321</v>
      </c>
      <c r="H273" s="160">
        <f>VLOOKUP(G273,'условия, ФОТ'!$A$14:$I$32,9, FALSE)</f>
        <v>141.72</v>
      </c>
      <c r="I273" s="160"/>
      <c r="J273" s="160">
        <f t="shared" si="90"/>
        <v>0</v>
      </c>
      <c r="K273" s="160">
        <f t="shared" si="91"/>
        <v>0</v>
      </c>
      <c r="L273" s="160">
        <f t="shared" si="92"/>
        <v>0</v>
      </c>
      <c r="M273" s="159"/>
      <c r="N273" s="160"/>
      <c r="O273" s="160"/>
      <c r="P273" s="160"/>
      <c r="Q273" s="160"/>
      <c r="R273" s="160">
        <f t="shared" si="97"/>
        <v>0</v>
      </c>
      <c r="S273" s="160">
        <f t="shared" si="93"/>
        <v>0</v>
      </c>
      <c r="T273" s="162">
        <f>ROUND(V273/1.2,2)</f>
        <v>0</v>
      </c>
      <c r="U273" s="162">
        <f t="shared" si="94"/>
        <v>0</v>
      </c>
      <c r="V273" s="162">
        <f t="shared" si="95"/>
        <v>0</v>
      </c>
      <c r="W273" s="162">
        <v>12</v>
      </c>
      <c r="X273" s="78">
        <f t="shared" si="77"/>
        <v>-100</v>
      </c>
    </row>
    <row r="274" spans="1:24" ht="29.25" hidden="1" customHeight="1" x14ac:dyDescent="0.25">
      <c r="A274" s="158" t="s">
        <v>547</v>
      </c>
      <c r="B274" s="158" t="s">
        <v>310</v>
      </c>
      <c r="C274" s="210"/>
      <c r="D274" s="210"/>
      <c r="E274" s="156" t="s">
        <v>130</v>
      </c>
      <c r="F274" s="160" t="s">
        <v>18</v>
      </c>
      <c r="G274" s="160" t="s">
        <v>29</v>
      </c>
      <c r="H274" s="160">
        <f>VLOOKUP(G274,'условия, ФОТ'!$A$14:$I$32,9, FALSE)</f>
        <v>146.63</v>
      </c>
      <c r="I274" s="160">
        <v>0.4</v>
      </c>
      <c r="J274" s="160">
        <f t="shared" si="90"/>
        <v>58.65</v>
      </c>
      <c r="K274" s="160">
        <f t="shared" si="91"/>
        <v>17.71</v>
      </c>
      <c r="L274" s="160">
        <f t="shared" si="92"/>
        <v>76.36</v>
      </c>
      <c r="M274" s="159"/>
      <c r="N274" s="160"/>
      <c r="O274" s="160"/>
      <c r="P274" s="160"/>
      <c r="Q274" s="160"/>
      <c r="R274" s="160">
        <f t="shared" si="97"/>
        <v>76.36</v>
      </c>
      <c r="S274" s="160">
        <f t="shared" si="93"/>
        <v>93.24</v>
      </c>
      <c r="T274" s="162">
        <f t="shared" si="96"/>
        <v>186.67</v>
      </c>
      <c r="U274" s="162">
        <f t="shared" si="94"/>
        <v>37.33</v>
      </c>
      <c r="V274" s="162">
        <f t="shared" si="95"/>
        <v>224</v>
      </c>
      <c r="W274" s="162">
        <v>192</v>
      </c>
      <c r="X274" s="78">
        <f t="shared" si="77"/>
        <v>16.666666666666671</v>
      </c>
    </row>
    <row r="275" spans="1:24" ht="29.25" hidden="1" customHeight="1" x14ac:dyDescent="0.25">
      <c r="A275" s="158" t="s">
        <v>548</v>
      </c>
      <c r="B275" s="160" t="s">
        <v>27</v>
      </c>
      <c r="C275" s="208"/>
      <c r="D275" s="208"/>
      <c r="E275" s="156" t="s">
        <v>131</v>
      </c>
      <c r="F275" s="160" t="s">
        <v>311</v>
      </c>
      <c r="G275" s="167" t="s">
        <v>312</v>
      </c>
      <c r="H275" s="160">
        <f>VLOOKUP(G275,'условия, ФОТ'!$A$14:$I$32,9, FALSE)</f>
        <v>134.71</v>
      </c>
      <c r="I275" s="160">
        <v>0.15</v>
      </c>
      <c r="J275" s="160">
        <f t="shared" si="90"/>
        <v>20.21</v>
      </c>
      <c r="K275" s="160">
        <f t="shared" si="91"/>
        <v>6.1</v>
      </c>
      <c r="L275" s="160">
        <f t="shared" si="92"/>
        <v>26.310000000000002</v>
      </c>
      <c r="M275" s="159"/>
      <c r="N275" s="160"/>
      <c r="O275" s="160"/>
      <c r="P275" s="160"/>
      <c r="Q275" s="160"/>
      <c r="R275" s="160">
        <f t="shared" si="97"/>
        <v>26.310000000000002</v>
      </c>
      <c r="S275" s="160">
        <f t="shared" si="93"/>
        <v>32.119999999999997</v>
      </c>
      <c r="T275" s="162">
        <f t="shared" si="96"/>
        <v>64.17</v>
      </c>
      <c r="U275" s="162">
        <f t="shared" si="94"/>
        <v>12.83</v>
      </c>
      <c r="V275" s="162">
        <f t="shared" si="95"/>
        <v>77</v>
      </c>
      <c r="W275" s="162">
        <v>66</v>
      </c>
      <c r="X275" s="78">
        <f t="shared" si="77"/>
        <v>16.666666666666671</v>
      </c>
    </row>
    <row r="276" spans="1:24" ht="26.25" hidden="1" x14ac:dyDescent="0.25">
      <c r="A276" s="175" t="s">
        <v>549</v>
      </c>
      <c r="B276" s="160" t="s">
        <v>27</v>
      </c>
      <c r="C276" s="208"/>
      <c r="D276" s="208"/>
      <c r="E276" s="156" t="s">
        <v>132</v>
      </c>
      <c r="F276" s="160" t="s">
        <v>311</v>
      </c>
      <c r="G276" s="124" t="s">
        <v>363</v>
      </c>
      <c r="H276" s="160">
        <f>VLOOKUP(G276,'условия, ФОТ'!$A$14:$I$32,9, FALSE)</f>
        <v>91.64</v>
      </c>
      <c r="I276" s="160">
        <v>0.13</v>
      </c>
      <c r="J276" s="160">
        <f t="shared" si="90"/>
        <v>11.91</v>
      </c>
      <c r="K276" s="160">
        <f t="shared" si="91"/>
        <v>3.6</v>
      </c>
      <c r="L276" s="160">
        <f t="shared" si="92"/>
        <v>15.51</v>
      </c>
      <c r="M276" s="159"/>
      <c r="N276" s="160"/>
      <c r="O276" s="160"/>
      <c r="P276" s="160"/>
      <c r="Q276" s="160"/>
      <c r="R276" s="160">
        <f t="shared" si="97"/>
        <v>15.51</v>
      </c>
      <c r="S276" s="160">
        <f t="shared" si="93"/>
        <v>18.940000000000001</v>
      </c>
      <c r="T276" s="162">
        <f t="shared" si="96"/>
        <v>37.5</v>
      </c>
      <c r="U276" s="162">
        <f t="shared" si="94"/>
        <v>7.5</v>
      </c>
      <c r="V276" s="162">
        <f t="shared" si="95"/>
        <v>45</v>
      </c>
      <c r="W276" s="162">
        <v>39</v>
      </c>
      <c r="X276" s="78">
        <f t="shared" si="77"/>
        <v>15.384615384615373</v>
      </c>
    </row>
    <row r="277" spans="1:24" ht="22.7" hidden="1" customHeight="1" x14ac:dyDescent="0.25">
      <c r="A277" s="175" t="s">
        <v>550</v>
      </c>
      <c r="B277" s="160" t="s">
        <v>27</v>
      </c>
      <c r="C277" s="208"/>
      <c r="D277" s="208"/>
      <c r="E277" s="156" t="s">
        <v>133</v>
      </c>
      <c r="F277" s="160" t="s">
        <v>316</v>
      </c>
      <c r="G277" s="160" t="s">
        <v>315</v>
      </c>
      <c r="H277" s="160">
        <f>VLOOKUP(G277,'условия, ФОТ'!$A$14:$I$32,9, FALSE)</f>
        <v>109.97</v>
      </c>
      <c r="I277" s="160">
        <v>0.03</v>
      </c>
      <c r="J277" s="160">
        <f t="shared" si="90"/>
        <v>3.3</v>
      </c>
      <c r="K277" s="160">
        <f t="shared" si="91"/>
        <v>1</v>
      </c>
      <c r="L277" s="160">
        <f t="shared" si="92"/>
        <v>4.3</v>
      </c>
      <c r="M277" s="159"/>
      <c r="N277" s="160"/>
      <c r="O277" s="160"/>
      <c r="P277" s="160"/>
      <c r="Q277" s="160"/>
      <c r="R277" s="160">
        <f t="shared" si="97"/>
        <v>4.3</v>
      </c>
      <c r="S277" s="160">
        <f t="shared" si="93"/>
        <v>5.25</v>
      </c>
      <c r="T277" s="162">
        <f t="shared" si="96"/>
        <v>10.83</v>
      </c>
      <c r="U277" s="162">
        <f t="shared" si="94"/>
        <v>2.17</v>
      </c>
      <c r="V277" s="162">
        <f t="shared" si="95"/>
        <v>13</v>
      </c>
      <c r="W277" s="162">
        <v>11</v>
      </c>
      <c r="X277" s="78">
        <f t="shared" si="77"/>
        <v>18.181818181818187</v>
      </c>
    </row>
    <row r="278" spans="1:24" ht="29.25" hidden="1" customHeight="1" x14ac:dyDescent="0.25">
      <c r="A278" s="175" t="s">
        <v>435</v>
      </c>
      <c r="B278" s="160" t="s">
        <v>27</v>
      </c>
      <c r="C278" s="208"/>
      <c r="D278" s="208"/>
      <c r="E278" s="156" t="s">
        <v>134</v>
      </c>
      <c r="F278" s="160" t="s">
        <v>316</v>
      </c>
      <c r="G278" s="167" t="s">
        <v>312</v>
      </c>
      <c r="H278" s="160">
        <f>VLOOKUP(G278,'условия, ФОТ'!$A$14:$I$32,9, FALSE)</f>
        <v>134.71</v>
      </c>
      <c r="I278" s="160">
        <v>0.12</v>
      </c>
      <c r="J278" s="160">
        <f t="shared" si="90"/>
        <v>16.170000000000002</v>
      </c>
      <c r="K278" s="160">
        <f t="shared" si="91"/>
        <v>4.88</v>
      </c>
      <c r="L278" s="160">
        <f t="shared" si="92"/>
        <v>21.05</v>
      </c>
      <c r="M278" s="159"/>
      <c r="N278" s="160"/>
      <c r="O278" s="160"/>
      <c r="P278" s="160"/>
      <c r="Q278" s="160"/>
      <c r="R278" s="160">
        <f t="shared" si="97"/>
        <v>21.05</v>
      </c>
      <c r="S278" s="160">
        <f t="shared" si="93"/>
        <v>25.7</v>
      </c>
      <c r="T278" s="162">
        <f>ROUND(V278/1.2,2)</f>
        <v>51.67</v>
      </c>
      <c r="U278" s="162">
        <f t="shared" si="94"/>
        <v>10.33</v>
      </c>
      <c r="V278" s="162">
        <f t="shared" si="95"/>
        <v>62</v>
      </c>
      <c r="W278" s="162">
        <v>53</v>
      </c>
      <c r="X278" s="78">
        <f t="shared" si="77"/>
        <v>16.981132075471692</v>
      </c>
    </row>
    <row r="279" spans="1:24" ht="16.5" hidden="1" customHeight="1" x14ac:dyDescent="0.25">
      <c r="A279" s="604" t="s">
        <v>551</v>
      </c>
      <c r="B279" s="592" t="s">
        <v>27</v>
      </c>
      <c r="C279" s="208"/>
      <c r="D279" s="208"/>
      <c r="E279" s="589" t="s">
        <v>135</v>
      </c>
      <c r="F279" s="593" t="s">
        <v>18</v>
      </c>
      <c r="G279" s="167" t="s">
        <v>162</v>
      </c>
      <c r="H279" s="160">
        <f>VLOOKUP(G279,'условия, ФОТ'!$A$14:$I$32,9, FALSE)</f>
        <v>164.09</v>
      </c>
      <c r="I279" s="160">
        <v>1.1200000000000001</v>
      </c>
      <c r="J279" s="592">
        <f>ROUND(H279*I279+H280*I280,2)</f>
        <v>220.44</v>
      </c>
      <c r="K279" s="592">
        <f t="shared" si="91"/>
        <v>66.569999999999993</v>
      </c>
      <c r="L279" s="592">
        <f t="shared" si="92"/>
        <v>287.01</v>
      </c>
      <c r="M279" s="159"/>
      <c r="N279" s="160"/>
      <c r="O279" s="160"/>
      <c r="P279" s="160"/>
      <c r="Q279" s="160"/>
      <c r="R279" s="592">
        <f t="shared" si="97"/>
        <v>287.01</v>
      </c>
      <c r="S279" s="592">
        <f t="shared" si="93"/>
        <v>350.44</v>
      </c>
      <c r="T279" s="596">
        <f>ROUND(V279/1.2,2)</f>
        <v>700.83</v>
      </c>
      <c r="U279" s="596">
        <f t="shared" si="94"/>
        <v>140.16999999999999</v>
      </c>
      <c r="V279" s="596">
        <f t="shared" si="95"/>
        <v>841</v>
      </c>
      <c r="W279" s="596">
        <v>583</v>
      </c>
      <c r="X279" s="601">
        <f t="shared" si="77"/>
        <v>44.253859348198972</v>
      </c>
    </row>
    <row r="280" spans="1:24" ht="25.5" hidden="1" x14ac:dyDescent="0.25">
      <c r="A280" s="605"/>
      <c r="B280" s="592"/>
      <c r="C280" s="208"/>
      <c r="D280" s="208"/>
      <c r="E280" s="589"/>
      <c r="F280" s="593"/>
      <c r="G280" s="161" t="s">
        <v>363</v>
      </c>
      <c r="H280" s="160">
        <f>VLOOKUP(G280,'условия, ФОТ'!$A$14:$I$32,9, FALSE)</f>
        <v>91.64</v>
      </c>
      <c r="I280" s="160">
        <v>0.4</v>
      </c>
      <c r="J280" s="592"/>
      <c r="K280" s="592"/>
      <c r="L280" s="592"/>
      <c r="M280" s="159"/>
      <c r="N280" s="160"/>
      <c r="O280" s="160"/>
      <c r="P280" s="160"/>
      <c r="Q280" s="160"/>
      <c r="R280" s="592">
        <f t="shared" si="97"/>
        <v>0</v>
      </c>
      <c r="S280" s="592">
        <f t="shared" si="93"/>
        <v>0</v>
      </c>
      <c r="T280" s="596">
        <f t="shared" ref="T280" si="98">ROUND(V280/1.18,2)</f>
        <v>0</v>
      </c>
      <c r="U280" s="596">
        <f t="shared" si="94"/>
        <v>0</v>
      </c>
      <c r="V280" s="596">
        <f>ROUND((R280+S280)*(1+$T$7)*1.18,0)</f>
        <v>0</v>
      </c>
      <c r="W280" s="596"/>
      <c r="X280" s="601"/>
    </row>
    <row r="281" spans="1:24" ht="25.5" hidden="1" x14ac:dyDescent="0.25">
      <c r="A281" s="175" t="s">
        <v>552</v>
      </c>
      <c r="B281" s="160" t="s">
        <v>27</v>
      </c>
      <c r="C281" s="208"/>
      <c r="D281" s="208"/>
      <c r="E281" s="156" t="s">
        <v>136</v>
      </c>
      <c r="F281" s="160" t="s">
        <v>316</v>
      </c>
      <c r="G281" s="163" t="s">
        <v>163</v>
      </c>
      <c r="H281" s="160">
        <f>VLOOKUP(G281,'условия, ФОТ'!$A$14:$I$32,9, FALSE)</f>
        <v>181.45</v>
      </c>
      <c r="I281" s="160">
        <v>0.34</v>
      </c>
      <c r="J281" s="160">
        <f t="shared" si="90"/>
        <v>61.69</v>
      </c>
      <c r="K281" s="160">
        <f>ROUND(J281*$K$7,2)</f>
        <v>18.63</v>
      </c>
      <c r="L281" s="160">
        <f t="shared" si="92"/>
        <v>80.319999999999993</v>
      </c>
      <c r="M281" s="159"/>
      <c r="N281" s="160"/>
      <c r="O281" s="160"/>
      <c r="P281" s="160"/>
      <c r="Q281" s="160"/>
      <c r="R281" s="160">
        <f t="shared" si="97"/>
        <v>80.319999999999993</v>
      </c>
      <c r="S281" s="160">
        <f t="shared" si="93"/>
        <v>98.07</v>
      </c>
      <c r="T281" s="162">
        <f>ROUND(V281/1.2,2)</f>
        <v>195.83</v>
      </c>
      <c r="U281" s="162">
        <f t="shared" si="94"/>
        <v>39.17</v>
      </c>
      <c r="V281" s="162">
        <f>ROUND((R281+S281)*(1+$T$7)*1.2,0)</f>
        <v>235</v>
      </c>
      <c r="W281" s="162">
        <v>202</v>
      </c>
      <c r="X281" s="78">
        <f t="shared" si="77"/>
        <v>16.336633663366328</v>
      </c>
    </row>
    <row r="282" spans="1:24" ht="19.5" hidden="1" customHeight="1" x14ac:dyDescent="0.25">
      <c r="A282" s="604" t="s">
        <v>553</v>
      </c>
      <c r="B282" s="592" t="s">
        <v>27</v>
      </c>
      <c r="C282" s="208"/>
      <c r="D282" s="208"/>
      <c r="E282" s="589" t="s">
        <v>137</v>
      </c>
      <c r="F282" s="592" t="s">
        <v>328</v>
      </c>
      <c r="G282" s="160" t="s">
        <v>350</v>
      </c>
      <c r="H282" s="160">
        <f>VLOOKUP(G282,'условия, ФОТ'!$A$14:$I$32,9, FALSE)</f>
        <v>125.37</v>
      </c>
      <c r="I282" s="168">
        <v>0.2</v>
      </c>
      <c r="J282" s="592">
        <f>ROUND(H282*I282+H283*I283,2)</f>
        <v>58.43</v>
      </c>
      <c r="K282" s="592">
        <f>ROUND(J282*$K$7,2)</f>
        <v>17.649999999999999</v>
      </c>
      <c r="L282" s="592">
        <f t="shared" si="92"/>
        <v>76.08</v>
      </c>
      <c r="M282" s="159"/>
      <c r="N282" s="160"/>
      <c r="O282" s="160"/>
      <c r="P282" s="160"/>
      <c r="Q282" s="592">
        <f>ROUND('расход ГСМ'!J4/4,2)</f>
        <v>52.62</v>
      </c>
      <c r="R282" s="592">
        <f>L282+Q282</f>
        <v>128.69999999999999</v>
      </c>
      <c r="S282" s="592">
        <f t="shared" si="93"/>
        <v>157.13999999999999</v>
      </c>
      <c r="T282" s="596">
        <f>ROUND(V282/1.2,2)</f>
        <v>314.17</v>
      </c>
      <c r="U282" s="596">
        <f t="shared" si="94"/>
        <v>62.83</v>
      </c>
      <c r="V282" s="596">
        <f>ROUND((R282+S282)*(1+$T$7)*1.2,0)</f>
        <v>377</v>
      </c>
      <c r="W282" s="596">
        <v>323</v>
      </c>
      <c r="X282" s="601">
        <f t="shared" si="77"/>
        <v>16.718266253869956</v>
      </c>
    </row>
    <row r="283" spans="1:24" ht="24" hidden="1" customHeight="1" x14ac:dyDescent="0.25">
      <c r="A283" s="605"/>
      <c r="B283" s="592"/>
      <c r="C283" s="208"/>
      <c r="D283" s="208"/>
      <c r="E283" s="589"/>
      <c r="F283" s="592"/>
      <c r="G283" s="163" t="s">
        <v>349</v>
      </c>
      <c r="H283" s="160">
        <f>VLOOKUP(G283,'условия, ФОТ'!$A$14:$I$32,9, FALSE)</f>
        <v>166.76</v>
      </c>
      <c r="I283" s="168">
        <v>0.2</v>
      </c>
      <c r="J283" s="592"/>
      <c r="K283" s="592"/>
      <c r="L283" s="592">
        <f t="shared" si="92"/>
        <v>0</v>
      </c>
      <c r="M283" s="159"/>
      <c r="N283" s="160"/>
      <c r="O283" s="160"/>
      <c r="P283" s="160"/>
      <c r="Q283" s="592"/>
      <c r="R283" s="592"/>
      <c r="S283" s="592"/>
      <c r="T283" s="596"/>
      <c r="U283" s="596"/>
      <c r="V283" s="596"/>
      <c r="W283" s="596"/>
      <c r="X283" s="601"/>
    </row>
    <row r="284" spans="1:24" ht="39.75" hidden="1" customHeight="1" x14ac:dyDescent="0.25">
      <c r="A284" s="175" t="s">
        <v>554</v>
      </c>
      <c r="B284" s="160" t="s">
        <v>27</v>
      </c>
      <c r="C284" s="208"/>
      <c r="D284" s="208"/>
      <c r="E284" s="171" t="s">
        <v>138</v>
      </c>
      <c r="F284" s="160" t="s">
        <v>311</v>
      </c>
      <c r="G284" s="160" t="s">
        <v>161</v>
      </c>
      <c r="H284" s="160">
        <f>VLOOKUP(G284,'условия, ФОТ'!$A$14:$I$32,9, FALSE)</f>
        <v>111.79</v>
      </c>
      <c r="I284" s="160">
        <v>1.4</v>
      </c>
      <c r="J284" s="160">
        <f t="shared" si="90"/>
        <v>156.51</v>
      </c>
      <c r="K284" s="160">
        <f>ROUND(J284*$K$7,2)</f>
        <v>47.27</v>
      </c>
      <c r="L284" s="160">
        <f t="shared" si="92"/>
        <v>203.78</v>
      </c>
      <c r="M284" s="159"/>
      <c r="N284" s="160"/>
      <c r="O284" s="160"/>
      <c r="P284" s="160"/>
      <c r="Q284" s="160"/>
      <c r="R284" s="160">
        <f t="shared" si="97"/>
        <v>203.78</v>
      </c>
      <c r="S284" s="160">
        <f>ROUND(R284*$S$7,2)</f>
        <v>248.82</v>
      </c>
      <c r="T284" s="162">
        <f>ROUND(V284/1.2,2)</f>
        <v>497.5</v>
      </c>
      <c r="U284" s="162">
        <f>ROUND(T284*$U$7,2)</f>
        <v>99.5</v>
      </c>
      <c r="V284" s="162">
        <f>ROUND((R284+S284)*(1+$T$7)*1.2,0)</f>
        <v>597</v>
      </c>
      <c r="W284" s="162">
        <v>512</v>
      </c>
      <c r="X284" s="78">
        <f t="shared" si="77"/>
        <v>16.6015625</v>
      </c>
    </row>
    <row r="285" spans="1:24" ht="43.5" hidden="1" customHeight="1" x14ac:dyDescent="0.25">
      <c r="A285" s="174" t="s">
        <v>555</v>
      </c>
      <c r="B285" s="160" t="s">
        <v>27</v>
      </c>
      <c r="C285" s="208"/>
      <c r="D285" s="208"/>
      <c r="E285" s="156" t="s">
        <v>139</v>
      </c>
      <c r="F285" s="160" t="s">
        <v>348</v>
      </c>
      <c r="G285" s="163" t="s">
        <v>163</v>
      </c>
      <c r="H285" s="160">
        <f>VLOOKUP(G285,'условия, ФОТ'!$A$14:$I$32,9, FALSE)</f>
        <v>181.45</v>
      </c>
      <c r="I285" s="160">
        <v>0.5</v>
      </c>
      <c r="J285" s="160">
        <f t="shared" si="90"/>
        <v>90.73</v>
      </c>
      <c r="K285" s="160">
        <f>ROUND(J285*$K$7,2)</f>
        <v>27.4</v>
      </c>
      <c r="L285" s="160">
        <f t="shared" si="92"/>
        <v>118.13</v>
      </c>
      <c r="M285" s="159"/>
      <c r="N285" s="160"/>
      <c r="O285" s="160"/>
      <c r="P285" s="160"/>
      <c r="Q285" s="160"/>
      <c r="R285" s="160">
        <f t="shared" si="97"/>
        <v>118.13</v>
      </c>
      <c r="S285" s="160">
        <f>ROUND(R285*$S$7,2)</f>
        <v>144.24</v>
      </c>
      <c r="T285" s="162">
        <f>ROUND(V285/1.2,2)</f>
        <v>288.33</v>
      </c>
      <c r="U285" s="162">
        <f>ROUND(T285*$U$7,2)</f>
        <v>57.67</v>
      </c>
      <c r="V285" s="162">
        <f>ROUND((R285+S285)*(1+$T$7)*1.2,0)</f>
        <v>346</v>
      </c>
      <c r="W285" s="162">
        <v>297</v>
      </c>
      <c r="X285" s="78">
        <f t="shared" si="77"/>
        <v>16.498316498316498</v>
      </c>
    </row>
    <row r="286" spans="1:24" ht="66.75" hidden="1" customHeight="1" x14ac:dyDescent="0.25">
      <c r="A286" s="175" t="s">
        <v>556</v>
      </c>
      <c r="B286" s="160" t="s">
        <v>27</v>
      </c>
      <c r="C286" s="208"/>
      <c r="D286" s="208"/>
      <c r="E286" s="171" t="s">
        <v>314</v>
      </c>
      <c r="F286" s="160" t="s">
        <v>18</v>
      </c>
      <c r="G286" s="160" t="s">
        <v>161</v>
      </c>
      <c r="H286" s="160">
        <f>VLOOKUP(G286,'условия, ФОТ'!$A$14:$I$32,9, FALSE)</f>
        <v>111.79</v>
      </c>
      <c r="I286" s="160">
        <v>1.4</v>
      </c>
      <c r="J286" s="160">
        <f t="shared" si="90"/>
        <v>156.51</v>
      </c>
      <c r="K286" s="160">
        <f>ROUND(J286*$K$7,2)</f>
        <v>47.27</v>
      </c>
      <c r="L286" s="160">
        <f t="shared" si="92"/>
        <v>203.78</v>
      </c>
      <c r="M286" s="159"/>
      <c r="N286" s="160"/>
      <c r="O286" s="160"/>
      <c r="P286" s="160"/>
      <c r="Q286" s="160"/>
      <c r="R286" s="160">
        <f t="shared" si="97"/>
        <v>203.78</v>
      </c>
      <c r="S286" s="160">
        <f>ROUND(R286*$S$7,2)</f>
        <v>248.82</v>
      </c>
      <c r="T286" s="162">
        <f>ROUND(V286/1.2,2)</f>
        <v>497.5</v>
      </c>
      <c r="U286" s="162">
        <f>ROUND(T286*$U$7,2)</f>
        <v>99.5</v>
      </c>
      <c r="V286" s="162">
        <f>ROUND((R286+S286)*(1+$T$7)*1.2,0)</f>
        <v>597</v>
      </c>
      <c r="W286" s="162">
        <v>512</v>
      </c>
      <c r="X286" s="78">
        <f t="shared" si="77"/>
        <v>16.6015625</v>
      </c>
    </row>
    <row r="287" spans="1:24" hidden="1" x14ac:dyDescent="0.25">
      <c r="B287" s="77"/>
      <c r="C287" s="77"/>
      <c r="D287" s="77"/>
      <c r="E287" s="108"/>
      <c r="F287" s="77"/>
      <c r="G287" s="77"/>
      <c r="H287" s="77"/>
      <c r="I287" s="77"/>
      <c r="J287" s="77"/>
      <c r="K287" s="77"/>
      <c r="L287" s="77"/>
      <c r="M287" s="108"/>
      <c r="N287" s="109"/>
      <c r="O287" s="109"/>
      <c r="P287" s="109"/>
      <c r="Q287" s="109"/>
      <c r="R287" s="77"/>
      <c r="S287" s="77"/>
      <c r="T287" s="138"/>
      <c r="U287" s="138"/>
      <c r="V287" s="138"/>
    </row>
    <row r="288" spans="1:24" hidden="1" x14ac:dyDescent="0.25">
      <c r="B288" s="587" t="s">
        <v>573</v>
      </c>
      <c r="C288" s="587"/>
      <c r="D288" s="587"/>
      <c r="E288" s="587"/>
      <c r="F288" s="77"/>
      <c r="G288" s="77"/>
      <c r="H288" s="77"/>
      <c r="I288" s="77"/>
      <c r="J288" s="77"/>
      <c r="K288" s="77"/>
      <c r="L288" s="77"/>
      <c r="M288" s="108"/>
      <c r="N288" s="109"/>
      <c r="O288" s="109"/>
      <c r="P288" s="109"/>
      <c r="Q288" s="109"/>
      <c r="R288" s="77"/>
      <c r="S288" s="77"/>
      <c r="T288" s="138"/>
      <c r="U288" s="138"/>
      <c r="V288" s="138"/>
    </row>
    <row r="289" spans="1:22" ht="53.25" hidden="1" customHeight="1" x14ac:dyDescent="0.25">
      <c r="A289" s="583" t="s">
        <v>572</v>
      </c>
      <c r="B289" s="583"/>
      <c r="C289" s="583"/>
      <c r="D289" s="583"/>
      <c r="E289" s="583"/>
      <c r="F289" s="583"/>
      <c r="G289" s="583"/>
      <c r="H289" s="583"/>
      <c r="I289" s="583"/>
      <c r="J289" s="583"/>
      <c r="K289" s="583"/>
      <c r="L289" s="583"/>
      <c r="M289" s="583"/>
      <c r="N289" s="583"/>
      <c r="O289" s="583"/>
      <c r="P289" s="583"/>
      <c r="Q289" s="583"/>
      <c r="R289" s="583"/>
      <c r="S289" s="583"/>
      <c r="T289" s="583"/>
      <c r="U289" s="583"/>
      <c r="V289" s="583"/>
    </row>
    <row r="290" spans="1:22" ht="38.25" hidden="1" customHeight="1" x14ac:dyDescent="0.25">
      <c r="B290" s="77"/>
      <c r="C290" s="77"/>
      <c r="D290" s="77"/>
      <c r="E290" s="110" t="s">
        <v>561</v>
      </c>
      <c r="F290" s="85"/>
      <c r="G290" s="85"/>
      <c r="H290" s="85"/>
      <c r="I290" s="85" t="s">
        <v>562</v>
      </c>
      <c r="J290" s="85"/>
      <c r="K290" s="85" t="s">
        <v>563</v>
      </c>
      <c r="L290" s="85"/>
      <c r="M290" s="108"/>
      <c r="N290" s="109"/>
      <c r="O290" s="109"/>
      <c r="P290" s="109"/>
      <c r="Q290" s="109"/>
      <c r="R290" s="77"/>
      <c r="S290" s="77"/>
      <c r="T290" s="138"/>
      <c r="U290" s="138"/>
      <c r="V290" s="138"/>
    </row>
    <row r="291" spans="1:22" ht="15.75" hidden="1" x14ac:dyDescent="0.25">
      <c r="E291" s="110"/>
      <c r="F291" s="85"/>
      <c r="G291" s="85"/>
      <c r="H291" s="85"/>
      <c r="I291" s="85"/>
      <c r="J291" s="85"/>
      <c r="K291" s="85"/>
      <c r="L291" s="85"/>
      <c r="M291" s="108"/>
    </row>
    <row r="292" spans="1:22" ht="45" hidden="1" customHeight="1" x14ac:dyDescent="0.25">
      <c r="E292" s="110" t="s">
        <v>564</v>
      </c>
      <c r="F292" s="85"/>
      <c r="G292" s="85"/>
      <c r="H292" s="85"/>
      <c r="I292" s="85" t="s">
        <v>562</v>
      </c>
      <c r="J292" s="85"/>
      <c r="K292" s="85" t="s">
        <v>565</v>
      </c>
      <c r="L292" s="85"/>
      <c r="M292" s="108"/>
    </row>
    <row r="293" spans="1:22" hidden="1" x14ac:dyDescent="0.25">
      <c r="E293" s="108"/>
      <c r="F293" s="77"/>
      <c r="G293" s="77"/>
      <c r="H293" s="77"/>
      <c r="I293" s="77"/>
      <c r="J293" s="77"/>
      <c r="K293" s="77"/>
      <c r="L293" s="77"/>
      <c r="M293" s="108"/>
    </row>
    <row r="294" spans="1:22" hidden="1" x14ac:dyDescent="0.25">
      <c r="E294" s="108"/>
      <c r="F294" s="77"/>
      <c r="G294" s="77"/>
      <c r="H294" s="77"/>
      <c r="I294" s="77"/>
      <c r="J294" s="77"/>
      <c r="K294" s="77"/>
      <c r="L294" s="77"/>
      <c r="M294" s="108"/>
    </row>
    <row r="295" spans="1:22" hidden="1" x14ac:dyDescent="0.25"/>
  </sheetData>
  <mergeCells count="323">
    <mergeCell ref="C21:C22"/>
    <mergeCell ref="D21:D22"/>
    <mergeCell ref="S3:V3"/>
    <mergeCell ref="C4:V4"/>
    <mergeCell ref="C26:V26"/>
    <mergeCell ref="E25:F25"/>
    <mergeCell ref="P21:P22"/>
    <mergeCell ref="Q21:Q22"/>
    <mergeCell ref="R21:R22"/>
    <mergeCell ref="V21:V22"/>
    <mergeCell ref="M11:M12"/>
    <mergeCell ref="M16:M17"/>
    <mergeCell ref="W21:W22"/>
    <mergeCell ref="X21:X22"/>
    <mergeCell ref="V11:V12"/>
    <mergeCell ref="W11:W12"/>
    <mergeCell ref="X11:X12"/>
    <mergeCell ref="N16:N17"/>
    <mergeCell ref="O16:O17"/>
    <mergeCell ref="P16:P17"/>
    <mergeCell ref="Q16:Q17"/>
    <mergeCell ref="R16:R17"/>
    <mergeCell ref="V16:V17"/>
    <mergeCell ref="W16:W17"/>
    <mergeCell ref="X16:X17"/>
    <mergeCell ref="N11:N12"/>
    <mergeCell ref="O11:O12"/>
    <mergeCell ref="P11:P12"/>
    <mergeCell ref="A16:A17"/>
    <mergeCell ref="B16:B17"/>
    <mergeCell ref="E16:E17"/>
    <mergeCell ref="F16:F17"/>
    <mergeCell ref="G16:G17"/>
    <mergeCell ref="H16:H17"/>
    <mergeCell ref="I16:I17"/>
    <mergeCell ref="J16:J17"/>
    <mergeCell ref="L16:L17"/>
    <mergeCell ref="R1:V1"/>
    <mergeCell ref="A2:V2"/>
    <mergeCell ref="A6:A7"/>
    <mergeCell ref="B6:B7"/>
    <mergeCell ref="E6:E7"/>
    <mergeCell ref="F6:F7"/>
    <mergeCell ref="G6:G7"/>
    <mergeCell ref="H6:H7"/>
    <mergeCell ref="I6:I7"/>
    <mergeCell ref="J6:J7"/>
    <mergeCell ref="V6:V7"/>
    <mergeCell ref="W6:W7"/>
    <mergeCell ref="X6:X7"/>
    <mergeCell ref="A10:W10"/>
    <mergeCell ref="L6:L7"/>
    <mergeCell ref="M6:M7"/>
    <mergeCell ref="N6:N7"/>
    <mergeCell ref="O6:O7"/>
    <mergeCell ref="P6:P7"/>
    <mergeCell ref="Q6:Q7"/>
    <mergeCell ref="A11:A12"/>
    <mergeCell ref="B11:B12"/>
    <mergeCell ref="E11:E12"/>
    <mergeCell ref="F11:F12"/>
    <mergeCell ref="G11:G12"/>
    <mergeCell ref="H11:H12"/>
    <mergeCell ref="I11:I12"/>
    <mergeCell ref="J11:J12"/>
    <mergeCell ref="L11:L12"/>
    <mergeCell ref="E30:E31"/>
    <mergeCell ref="F30:F31"/>
    <mergeCell ref="J30:J31"/>
    <mergeCell ref="K30:K31"/>
    <mergeCell ref="B39:B40"/>
    <mergeCell ref="E39:E40"/>
    <mergeCell ref="F39:F40"/>
    <mergeCell ref="J39:J40"/>
    <mergeCell ref="R6:R7"/>
    <mergeCell ref="Q11:Q12"/>
    <mergeCell ref="R11:R12"/>
    <mergeCell ref="A20:W20"/>
    <mergeCell ref="A21:A22"/>
    <mergeCell ref="B21:B22"/>
    <mergeCell ref="E21:E22"/>
    <mergeCell ref="F21:F22"/>
    <mergeCell ref="G21:G22"/>
    <mergeCell ref="H21:H22"/>
    <mergeCell ref="I21:I22"/>
    <mergeCell ref="J21:J22"/>
    <mergeCell ref="L21:L22"/>
    <mergeCell ref="M21:M22"/>
    <mergeCell ref="N21:N22"/>
    <mergeCell ref="O21:O22"/>
    <mergeCell ref="R30:R31"/>
    <mergeCell ref="S30:S31"/>
    <mergeCell ref="T30:T31"/>
    <mergeCell ref="U30:U31"/>
    <mergeCell ref="V30:V31"/>
    <mergeCell ref="W30:W31"/>
    <mergeCell ref="L30:L31"/>
    <mergeCell ref="M30:M31"/>
    <mergeCell ref="N30:N31"/>
    <mergeCell ref="O30:O31"/>
    <mergeCell ref="P30:P31"/>
    <mergeCell ref="Q30:Q31"/>
    <mergeCell ref="W39:W40"/>
    <mergeCell ref="A47:K49"/>
    <mergeCell ref="B50:E50"/>
    <mergeCell ref="A51:A63"/>
    <mergeCell ref="B52:B53"/>
    <mergeCell ref="E52:E53"/>
    <mergeCell ref="F52:F53"/>
    <mergeCell ref="J52:J53"/>
    <mergeCell ref="K52:K53"/>
    <mergeCell ref="L52:L53"/>
    <mergeCell ref="Q39:Q40"/>
    <mergeCell ref="R39:R40"/>
    <mergeCell ref="S39:S40"/>
    <mergeCell ref="T39:T40"/>
    <mergeCell ref="U39:U40"/>
    <mergeCell ref="V39:V40"/>
    <mergeCell ref="K39:K40"/>
    <mergeCell ref="L39:L40"/>
    <mergeCell ref="M39:M40"/>
    <mergeCell ref="N39:N40"/>
    <mergeCell ref="O39:O40"/>
    <mergeCell ref="P39:P40"/>
    <mergeCell ref="A30:A46"/>
    <mergeCell ref="B30:B31"/>
    <mergeCell ref="S52:S53"/>
    <mergeCell ref="T52:T53"/>
    <mergeCell ref="U52:U53"/>
    <mergeCell ref="V52:V53"/>
    <mergeCell ref="W52:W53"/>
    <mergeCell ref="A64:K66"/>
    <mergeCell ref="M52:M53"/>
    <mergeCell ref="N52:N53"/>
    <mergeCell ref="O52:O53"/>
    <mergeCell ref="P52:P53"/>
    <mergeCell ref="Q52:Q53"/>
    <mergeCell ref="R52:R53"/>
    <mergeCell ref="E138:E139"/>
    <mergeCell ref="F138:F139"/>
    <mergeCell ref="J138:J139"/>
    <mergeCell ref="K138:K139"/>
    <mergeCell ref="S67:S68"/>
    <mergeCell ref="T67:T68"/>
    <mergeCell ref="U67:U68"/>
    <mergeCell ref="V67:V68"/>
    <mergeCell ref="W67:W68"/>
    <mergeCell ref="A124:W124"/>
    <mergeCell ref="M67:M68"/>
    <mergeCell ref="N67:N68"/>
    <mergeCell ref="O67:O68"/>
    <mergeCell ref="P67:P68"/>
    <mergeCell ref="Q67:Q68"/>
    <mergeCell ref="R67:R68"/>
    <mergeCell ref="A67:A68"/>
    <mergeCell ref="E67:E68"/>
    <mergeCell ref="F67:F68"/>
    <mergeCell ref="J67:J68"/>
    <mergeCell ref="K67:K68"/>
    <mergeCell ref="L67:L68"/>
    <mergeCell ref="X138:X139"/>
    <mergeCell ref="A147:A148"/>
    <mergeCell ref="B147:B148"/>
    <mergeCell ref="E147:E148"/>
    <mergeCell ref="F147:F148"/>
    <mergeCell ref="J147:J148"/>
    <mergeCell ref="K147:K148"/>
    <mergeCell ref="L147:L148"/>
    <mergeCell ref="M147:M148"/>
    <mergeCell ref="N147:N148"/>
    <mergeCell ref="R138:R139"/>
    <mergeCell ref="S138:S139"/>
    <mergeCell ref="T138:T139"/>
    <mergeCell ref="U138:U139"/>
    <mergeCell ref="V138:V139"/>
    <mergeCell ref="W138:W139"/>
    <mergeCell ref="L138:L139"/>
    <mergeCell ref="M138:M139"/>
    <mergeCell ref="N138:N139"/>
    <mergeCell ref="O138:O139"/>
    <mergeCell ref="P138:P139"/>
    <mergeCell ref="Q138:Q139"/>
    <mergeCell ref="A138:A139"/>
    <mergeCell ref="B138:B139"/>
    <mergeCell ref="U147:U148"/>
    <mergeCell ref="V147:V148"/>
    <mergeCell ref="W147:W148"/>
    <mergeCell ref="X147:X148"/>
    <mergeCell ref="A207:W207"/>
    <mergeCell ref="A212:A213"/>
    <mergeCell ref="B212:B213"/>
    <mergeCell ref="E212:E213"/>
    <mergeCell ref="F212:F213"/>
    <mergeCell ref="I212:I213"/>
    <mergeCell ref="O147:O148"/>
    <mergeCell ref="P147:P148"/>
    <mergeCell ref="Q147:Q148"/>
    <mergeCell ref="R147:R148"/>
    <mergeCell ref="S147:S148"/>
    <mergeCell ref="T147:T148"/>
    <mergeCell ref="V212:V213"/>
    <mergeCell ref="W212:W213"/>
    <mergeCell ref="X212:X213"/>
    <mergeCell ref="R212:R213"/>
    <mergeCell ref="S212:S213"/>
    <mergeCell ref="T212:T213"/>
    <mergeCell ref="U212:U213"/>
    <mergeCell ref="A220:A221"/>
    <mergeCell ref="B220:B221"/>
    <mergeCell ref="E220:E221"/>
    <mergeCell ref="F220:F221"/>
    <mergeCell ref="I220:I221"/>
    <mergeCell ref="J220:J221"/>
    <mergeCell ref="K220:K221"/>
    <mergeCell ref="P212:P213"/>
    <mergeCell ref="Q212:Q213"/>
    <mergeCell ref="J212:J213"/>
    <mergeCell ref="K212:K213"/>
    <mergeCell ref="L212:L213"/>
    <mergeCell ref="M212:M213"/>
    <mergeCell ref="N212:N213"/>
    <mergeCell ref="O212:O213"/>
    <mergeCell ref="X220:X221"/>
    <mergeCell ref="A228:A229"/>
    <mergeCell ref="B228:B229"/>
    <mergeCell ref="E228:E229"/>
    <mergeCell ref="F228:F229"/>
    <mergeCell ref="I228:I229"/>
    <mergeCell ref="J228:J229"/>
    <mergeCell ref="K228:K229"/>
    <mergeCell ref="L228:L229"/>
    <mergeCell ref="M228:M229"/>
    <mergeCell ref="R220:R221"/>
    <mergeCell ref="S220:S221"/>
    <mergeCell ref="T220:T221"/>
    <mergeCell ref="U220:U221"/>
    <mergeCell ref="V220:V221"/>
    <mergeCell ref="W220:W221"/>
    <mergeCell ref="L220:L221"/>
    <mergeCell ref="M220:M221"/>
    <mergeCell ref="N220:N221"/>
    <mergeCell ref="O220:O221"/>
    <mergeCell ref="P220:P221"/>
    <mergeCell ref="Q220:Q221"/>
    <mergeCell ref="T228:T229"/>
    <mergeCell ref="U228:U229"/>
    <mergeCell ref="V228:V229"/>
    <mergeCell ref="W228:W229"/>
    <mergeCell ref="X228:X229"/>
    <mergeCell ref="A231:A232"/>
    <mergeCell ref="B231:B232"/>
    <mergeCell ref="E231:E232"/>
    <mergeCell ref="F231:F232"/>
    <mergeCell ref="I231:I232"/>
    <mergeCell ref="N228:N229"/>
    <mergeCell ref="O228:O229"/>
    <mergeCell ref="P228:P229"/>
    <mergeCell ref="Q228:Q229"/>
    <mergeCell ref="R228:R229"/>
    <mergeCell ref="S228:S229"/>
    <mergeCell ref="V231:V232"/>
    <mergeCell ref="W231:W232"/>
    <mergeCell ref="X231:X232"/>
    <mergeCell ref="A246:V246"/>
    <mergeCell ref="A249:A250"/>
    <mergeCell ref="B249:B250"/>
    <mergeCell ref="E249:E250"/>
    <mergeCell ref="F249:F250"/>
    <mergeCell ref="J249:J250"/>
    <mergeCell ref="K249:K250"/>
    <mergeCell ref="P231:P232"/>
    <mergeCell ref="Q231:Q232"/>
    <mergeCell ref="R231:R232"/>
    <mergeCell ref="S231:S232"/>
    <mergeCell ref="T231:T232"/>
    <mergeCell ref="U231:U232"/>
    <mergeCell ref="J231:J232"/>
    <mergeCell ref="K231:K232"/>
    <mergeCell ref="L231:L232"/>
    <mergeCell ref="M231:M232"/>
    <mergeCell ref="N231:N232"/>
    <mergeCell ref="O231:O232"/>
    <mergeCell ref="L279:L280"/>
    <mergeCell ref="W249:W250"/>
    <mergeCell ref="X249:X250"/>
    <mergeCell ref="A255:V255"/>
    <mergeCell ref="A265:V265"/>
    <mergeCell ref="A279:A280"/>
    <mergeCell ref="B279:B280"/>
    <mergeCell ref="E279:E280"/>
    <mergeCell ref="F279:F280"/>
    <mergeCell ref="J279:J280"/>
    <mergeCell ref="K279:K280"/>
    <mergeCell ref="L249:L250"/>
    <mergeCell ref="R249:R250"/>
    <mergeCell ref="S249:S250"/>
    <mergeCell ref="T249:T250"/>
    <mergeCell ref="U249:U250"/>
    <mergeCell ref="V249:V250"/>
    <mergeCell ref="W279:W280"/>
    <mergeCell ref="X279:X280"/>
    <mergeCell ref="R279:R280"/>
    <mergeCell ref="S279:S280"/>
    <mergeCell ref="T279:T280"/>
    <mergeCell ref="U279:U280"/>
    <mergeCell ref="V279:V280"/>
    <mergeCell ref="X282:X283"/>
    <mergeCell ref="B288:E288"/>
    <mergeCell ref="A289:V289"/>
    <mergeCell ref="R282:R283"/>
    <mergeCell ref="S282:S283"/>
    <mergeCell ref="T282:T283"/>
    <mergeCell ref="U282:U283"/>
    <mergeCell ref="V282:V283"/>
    <mergeCell ref="W282:W283"/>
    <mergeCell ref="A282:A283"/>
    <mergeCell ref="B282:B283"/>
    <mergeCell ref="E282:E283"/>
    <mergeCell ref="F282:F283"/>
    <mergeCell ref="J282:J283"/>
    <mergeCell ref="K282:K283"/>
    <mergeCell ref="L282:L283"/>
    <mergeCell ref="Q282:Q283"/>
  </mergeCells>
  <pageMargins left="0.70866141732283472" right="0.70866141732283472" top="0.74803149606299213" bottom="0.74803149606299213" header="0.31496062992125984" footer="0.31496062992125984"/>
  <pageSetup paperSize="9" scale="57" fitToHeight="0" orientation="landscape" r:id="rId1"/>
  <headerFooter>
    <oddFooter>&amp;R&amp;P</oddFooter>
  </headerFooter>
  <rowBreaks count="7" manualBreakCount="7">
    <brk id="49" max="21" man="1"/>
    <brk id="79" max="21" man="1"/>
    <brk id="118" max="21" man="1"/>
    <brk id="154" max="21" man="1"/>
    <brk id="200" max="21" man="1"/>
    <brk id="238" max="21" man="1"/>
    <brk id="264"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5"/>
  <sheetViews>
    <sheetView view="pageBreakPreview" zoomScale="80" zoomScaleSheetLayoutView="80" workbookViewId="0">
      <selection activeCell="H23" sqref="H23"/>
    </sheetView>
  </sheetViews>
  <sheetFormatPr defaultRowHeight="15" x14ac:dyDescent="0.25"/>
  <cols>
    <col min="1" max="1" width="9.140625" style="47"/>
    <col min="2" max="2" width="10.140625" bestFit="1" customWidth="1"/>
    <col min="3" max="3" width="50.140625" style="45" customWidth="1"/>
    <col min="4" max="4" width="13.85546875" style="15" customWidth="1"/>
    <col min="5" max="5" width="10.28515625" customWidth="1"/>
    <col min="6" max="6" width="10.7109375" customWidth="1"/>
    <col min="7" max="7" width="10.5703125" customWidth="1"/>
    <col min="8" max="8" width="14" customWidth="1"/>
  </cols>
  <sheetData>
    <row r="1" spans="1:9" ht="109.5" customHeight="1" x14ac:dyDescent="0.25">
      <c r="A1" s="107"/>
      <c r="B1" s="77"/>
      <c r="C1" s="108"/>
      <c r="D1" s="584" t="s">
        <v>706</v>
      </c>
      <c r="E1" s="584"/>
      <c r="F1" s="584"/>
      <c r="G1" s="584"/>
    </row>
    <row r="2" spans="1:9" ht="101.25" customHeight="1" x14ac:dyDescent="0.25">
      <c r="A2" s="585" t="s">
        <v>707</v>
      </c>
      <c r="B2" s="586"/>
      <c r="C2" s="586"/>
      <c r="D2" s="586"/>
      <c r="E2" s="586"/>
      <c r="F2" s="586"/>
      <c r="G2" s="586"/>
    </row>
    <row r="3" spans="1:9" ht="37.5" customHeight="1" x14ac:dyDescent="0.25">
      <c r="A3" s="107"/>
      <c r="B3" s="77"/>
      <c r="C3" s="108"/>
      <c r="D3" s="134"/>
      <c r="E3" s="77"/>
      <c r="F3" s="77"/>
      <c r="G3" s="77"/>
    </row>
    <row r="4" spans="1:9" s="82" customFormat="1" ht="80.25" customHeight="1" x14ac:dyDescent="0.2">
      <c r="A4" s="779" t="s">
        <v>0</v>
      </c>
      <c r="B4" s="602" t="s">
        <v>710</v>
      </c>
      <c r="C4" s="781" t="s">
        <v>2</v>
      </c>
      <c r="D4" s="781" t="s">
        <v>3</v>
      </c>
      <c r="E4" s="129" t="s">
        <v>16</v>
      </c>
      <c r="F4" s="129" t="s">
        <v>20</v>
      </c>
      <c r="G4" s="775" t="s">
        <v>708</v>
      </c>
      <c r="H4" s="777" t="s">
        <v>588</v>
      </c>
      <c r="I4" s="602" t="s">
        <v>322</v>
      </c>
    </row>
    <row r="5" spans="1:9" s="82" customFormat="1" ht="18" customHeight="1" x14ac:dyDescent="0.2">
      <c r="A5" s="780"/>
      <c r="B5" s="603"/>
      <c r="C5" s="781"/>
      <c r="D5" s="782"/>
      <c r="E5" s="133">
        <f>'условия, ФОТ'!$C$8</f>
        <v>0.1</v>
      </c>
      <c r="F5" s="130">
        <v>0.2</v>
      </c>
      <c r="G5" s="776"/>
      <c r="H5" s="778"/>
      <c r="I5" s="603"/>
    </row>
    <row r="6" spans="1:9" ht="71.25" customHeight="1" x14ac:dyDescent="0.25">
      <c r="A6" s="175" t="s">
        <v>580</v>
      </c>
      <c r="B6" s="131" t="s">
        <v>27</v>
      </c>
      <c r="C6" s="128" t="s">
        <v>591</v>
      </c>
      <c r="D6" s="132" t="s">
        <v>167</v>
      </c>
      <c r="E6" s="106">
        <f>'калькуляция (старый)'!T23</f>
        <v>1179.17</v>
      </c>
      <c r="F6" s="106">
        <f>'калькуляция (старый)'!U23</f>
        <v>235.83</v>
      </c>
      <c r="G6" s="106">
        <f>'калькуляция (старый)'!V23</f>
        <v>1415</v>
      </c>
      <c r="H6" s="151">
        <f>[5]калькуляция!U101</f>
        <v>146</v>
      </c>
      <c r="I6" s="78">
        <f t="shared" ref="I6" si="0">G6/H6*100-100</f>
        <v>869.17808219178085</v>
      </c>
    </row>
    <row r="7" spans="1:9" ht="27" customHeight="1" x14ac:dyDescent="0.25">
      <c r="B7" s="772" t="s">
        <v>573</v>
      </c>
      <c r="C7" s="772"/>
      <c r="D7" s="135"/>
      <c r="E7" s="99"/>
      <c r="F7" s="99"/>
      <c r="G7" s="99"/>
      <c r="H7" s="82"/>
    </row>
    <row r="8" spans="1:9" ht="55.5" customHeight="1" x14ac:dyDescent="0.25">
      <c r="A8" s="771" t="s">
        <v>572</v>
      </c>
      <c r="B8" s="771"/>
      <c r="C8" s="771"/>
      <c r="D8" s="771"/>
      <c r="E8" s="771"/>
      <c r="F8" s="771"/>
      <c r="G8" s="771"/>
      <c r="H8" s="82"/>
    </row>
    <row r="9" spans="1:9" x14ac:dyDescent="0.25">
      <c r="A9" s="118"/>
      <c r="B9" s="99"/>
      <c r="C9" s="119"/>
      <c r="D9" s="135"/>
      <c r="E9" s="99"/>
      <c r="F9" s="99"/>
      <c r="G9" s="99"/>
      <c r="H9" s="82"/>
    </row>
    <row r="10" spans="1:9" ht="66.75" customHeight="1" x14ac:dyDescent="0.3">
      <c r="A10" s="773" t="s">
        <v>561</v>
      </c>
      <c r="B10" s="773"/>
      <c r="C10" s="773"/>
      <c r="D10" s="770" t="s">
        <v>575</v>
      </c>
      <c r="E10" s="770"/>
      <c r="F10" s="126" t="s">
        <v>563</v>
      </c>
      <c r="G10" s="126"/>
      <c r="H10" s="85"/>
    </row>
    <row r="11" spans="1:9" ht="18.75" x14ac:dyDescent="0.3">
      <c r="A11" s="125"/>
      <c r="B11" s="126"/>
      <c r="C11" s="126"/>
      <c r="D11" s="136"/>
      <c r="E11" s="126"/>
      <c r="F11" s="126"/>
      <c r="G11" s="126"/>
      <c r="H11" s="85"/>
    </row>
    <row r="12" spans="1:9" ht="65.25" customHeight="1" x14ac:dyDescent="0.3">
      <c r="A12" s="774" t="s">
        <v>564</v>
      </c>
      <c r="B12" s="774"/>
      <c r="C12" s="774"/>
      <c r="D12" s="770" t="s">
        <v>575</v>
      </c>
      <c r="E12" s="770"/>
      <c r="F12" s="126" t="s">
        <v>565</v>
      </c>
      <c r="G12" s="127"/>
      <c r="H12" s="85"/>
    </row>
    <row r="13" spans="1:9" x14ac:dyDescent="0.25">
      <c r="A13" s="116"/>
      <c r="B13" s="82"/>
      <c r="C13" s="117"/>
      <c r="D13" s="137"/>
      <c r="E13" s="82"/>
      <c r="F13" s="82"/>
      <c r="G13" s="82"/>
      <c r="H13" s="82"/>
    </row>
    <row r="14" spans="1:9" x14ac:dyDescent="0.25">
      <c r="A14" s="116"/>
      <c r="B14" s="82"/>
      <c r="C14" s="117"/>
      <c r="D14" s="137"/>
      <c r="E14" s="82"/>
      <c r="F14" s="82"/>
      <c r="G14" s="82"/>
      <c r="H14" s="82"/>
    </row>
    <row r="15" spans="1:9" x14ac:dyDescent="0.25">
      <c r="A15" s="116"/>
      <c r="B15" s="82"/>
      <c r="C15" s="117"/>
      <c r="D15" s="137"/>
      <c r="E15" s="82"/>
      <c r="F15" s="82"/>
      <c r="G15" s="82"/>
      <c r="H15" s="82"/>
    </row>
  </sheetData>
  <mergeCells count="15">
    <mergeCell ref="D1:G1"/>
    <mergeCell ref="G4:G5"/>
    <mergeCell ref="H4:H5"/>
    <mergeCell ref="I4:I5"/>
    <mergeCell ref="A2:G2"/>
    <mergeCell ref="A4:A5"/>
    <mergeCell ref="B4:B5"/>
    <mergeCell ref="C4:C5"/>
    <mergeCell ref="D4:D5"/>
    <mergeCell ref="D10:E10"/>
    <mergeCell ref="D12:E12"/>
    <mergeCell ref="A8:G8"/>
    <mergeCell ref="B7:C7"/>
    <mergeCell ref="A10:C10"/>
    <mergeCell ref="A12:C12"/>
  </mergeCells>
  <pageMargins left="0.70866141732283472" right="0.70866141732283472" top="0.74803149606299213" bottom="0.74803149606299213" header="0.31496062992125984" footer="0.31496062992125984"/>
  <pageSetup paperSize="9" scale="75" fitToHeight="0" orientation="portrait"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G5" sqref="G5"/>
    </sheetView>
  </sheetViews>
  <sheetFormatPr defaultRowHeight="15" x14ac:dyDescent="0.25"/>
  <cols>
    <col min="1" max="1" width="26.7109375" customWidth="1"/>
    <col min="2" max="2" width="19.42578125" customWidth="1"/>
    <col min="3" max="3" width="11.42578125" customWidth="1"/>
    <col min="4" max="6" width="14.7109375" customWidth="1"/>
    <col min="7" max="7" width="12.5703125" customWidth="1"/>
    <col min="8" max="8" width="10.85546875" customWidth="1"/>
  </cols>
  <sheetData>
    <row r="1" spans="1:7" ht="15.75" x14ac:dyDescent="0.25">
      <c r="A1" s="783" t="s">
        <v>367</v>
      </c>
      <c r="B1" s="783"/>
      <c r="C1" s="783"/>
      <c r="D1" s="783"/>
      <c r="E1" s="783"/>
      <c r="F1" s="783"/>
      <c r="G1" s="783"/>
    </row>
    <row r="2" spans="1:7" x14ac:dyDescent="0.25">
      <c r="A2" s="54" t="s">
        <v>368</v>
      </c>
      <c r="B2" s="55">
        <v>7.3999999999999996E-2</v>
      </c>
      <c r="C2" s="56"/>
      <c r="D2" s="56"/>
      <c r="E2" s="56"/>
      <c r="F2" s="56"/>
      <c r="G2" s="56"/>
    </row>
    <row r="3" spans="1:7" ht="75" x14ac:dyDescent="0.25">
      <c r="A3" s="39" t="s">
        <v>9</v>
      </c>
      <c r="B3" s="39" t="s">
        <v>404</v>
      </c>
      <c r="C3" s="39" t="s">
        <v>325</v>
      </c>
      <c r="D3" s="39" t="s">
        <v>326</v>
      </c>
      <c r="E3" s="39" t="s">
        <v>405</v>
      </c>
      <c r="F3" s="39" t="s">
        <v>406</v>
      </c>
      <c r="G3" s="39" t="s">
        <v>327</v>
      </c>
    </row>
    <row r="4" spans="1:7" ht="11.25" customHeight="1" x14ac:dyDescent="0.25">
      <c r="A4" s="40">
        <v>1</v>
      </c>
      <c r="B4" s="40">
        <v>2</v>
      </c>
      <c r="C4" s="40">
        <v>3</v>
      </c>
      <c r="D4" s="40">
        <v>4</v>
      </c>
      <c r="E4" s="41">
        <v>5</v>
      </c>
      <c r="F4" s="40">
        <v>6</v>
      </c>
      <c r="G4" s="40">
        <v>7</v>
      </c>
    </row>
    <row r="5" spans="1:7" x14ac:dyDescent="0.25">
      <c r="A5" s="57" t="s">
        <v>323</v>
      </c>
      <c r="B5" s="58" t="s">
        <v>328</v>
      </c>
      <c r="C5" s="59">
        <f>ROUND(2118.64*1.18,2)</f>
        <v>2500</v>
      </c>
      <c r="D5" s="59">
        <v>2118.64</v>
      </c>
      <c r="E5" s="58" t="s">
        <v>23</v>
      </c>
      <c r="F5" s="58">
        <v>6</v>
      </c>
      <c r="G5" s="58">
        <f>ROUND(D5/F5*(1+$B$2),2)</f>
        <v>379.24</v>
      </c>
    </row>
    <row r="6" spans="1:7" x14ac:dyDescent="0.25">
      <c r="A6" s="57" t="s">
        <v>330</v>
      </c>
      <c r="B6" s="58" t="s">
        <v>24</v>
      </c>
      <c r="C6" s="59">
        <f>37.08*1.18</f>
        <v>43.754399999999997</v>
      </c>
      <c r="D6" s="59">
        <f t="shared" ref="D6:D31" si="0">ROUND(C6/1.18,2)</f>
        <v>37.08</v>
      </c>
      <c r="E6" s="58" t="s">
        <v>24</v>
      </c>
      <c r="F6" s="58">
        <v>1</v>
      </c>
      <c r="G6" s="58">
        <f t="shared" ref="G6:G31" si="1">ROUND(D6/F6*(1+$B$2),2)</f>
        <v>39.82</v>
      </c>
    </row>
    <row r="7" spans="1:7" x14ac:dyDescent="0.25">
      <c r="A7" s="57" t="s">
        <v>324</v>
      </c>
      <c r="B7" s="58" t="s">
        <v>328</v>
      </c>
      <c r="C7" s="59">
        <f>ROUND(305.09*1.18,0)</f>
        <v>360</v>
      </c>
      <c r="D7" s="59">
        <f t="shared" si="0"/>
        <v>305.08</v>
      </c>
      <c r="E7" s="58" t="s">
        <v>23</v>
      </c>
      <c r="F7" s="58">
        <v>6</v>
      </c>
      <c r="G7" s="58">
        <f t="shared" si="1"/>
        <v>54.61</v>
      </c>
    </row>
    <row r="8" spans="1:7" x14ac:dyDescent="0.25">
      <c r="A8" s="57" t="s">
        <v>336</v>
      </c>
      <c r="B8" s="58" t="s">
        <v>25</v>
      </c>
      <c r="C8" s="59">
        <v>4</v>
      </c>
      <c r="D8" s="59">
        <f t="shared" si="0"/>
        <v>3.39</v>
      </c>
      <c r="E8" s="58" t="s">
        <v>25</v>
      </c>
      <c r="F8" s="58">
        <v>1</v>
      </c>
      <c r="G8" s="58">
        <f t="shared" si="1"/>
        <v>3.64</v>
      </c>
    </row>
    <row r="9" spans="1:7" ht="30" x14ac:dyDescent="0.25">
      <c r="A9" s="43" t="s">
        <v>342</v>
      </c>
      <c r="B9" s="38" t="s">
        <v>25</v>
      </c>
      <c r="C9" s="42">
        <v>34</v>
      </c>
      <c r="D9" s="42">
        <f t="shared" si="0"/>
        <v>28.81</v>
      </c>
      <c r="E9" s="38" t="s">
        <v>25</v>
      </c>
      <c r="F9" s="38">
        <v>1</v>
      </c>
      <c r="G9" s="58">
        <f t="shared" si="1"/>
        <v>30.94</v>
      </c>
    </row>
    <row r="10" spans="1:7" x14ac:dyDescent="0.25">
      <c r="A10" s="43" t="s">
        <v>380</v>
      </c>
      <c r="B10" s="38" t="s">
        <v>24</v>
      </c>
      <c r="C10" s="42">
        <f>677.96*1.18</f>
        <v>799.99279999999999</v>
      </c>
      <c r="D10" s="42">
        <f t="shared" si="0"/>
        <v>677.96</v>
      </c>
      <c r="E10" s="38" t="s">
        <v>24</v>
      </c>
      <c r="F10" s="38">
        <v>1</v>
      </c>
      <c r="G10" s="58">
        <f t="shared" si="1"/>
        <v>728.13</v>
      </c>
    </row>
    <row r="11" spans="1:7" x14ac:dyDescent="0.25">
      <c r="A11" s="43" t="s">
        <v>335</v>
      </c>
      <c r="B11" s="38" t="s">
        <v>24</v>
      </c>
      <c r="C11" s="42">
        <f>663.65*1.18</f>
        <v>783.10699999999997</v>
      </c>
      <c r="D11" s="42">
        <f t="shared" si="0"/>
        <v>663.65</v>
      </c>
      <c r="E11" s="38" t="s">
        <v>24</v>
      </c>
      <c r="F11" s="38">
        <v>1</v>
      </c>
      <c r="G11" s="58">
        <f t="shared" si="1"/>
        <v>712.76</v>
      </c>
    </row>
    <row r="12" spans="1:7" x14ac:dyDescent="0.25">
      <c r="A12" s="43" t="s">
        <v>337</v>
      </c>
      <c r="B12" s="38" t="s">
        <v>25</v>
      </c>
      <c r="C12" s="42">
        <f>11*1.18</f>
        <v>12.979999999999999</v>
      </c>
      <c r="D12" s="42">
        <f t="shared" si="0"/>
        <v>11</v>
      </c>
      <c r="E12" s="38" t="s">
        <v>25</v>
      </c>
      <c r="F12" s="38">
        <v>1</v>
      </c>
      <c r="G12" s="58">
        <f t="shared" si="1"/>
        <v>11.81</v>
      </c>
    </row>
    <row r="13" spans="1:7" x14ac:dyDescent="0.25">
      <c r="A13" s="43" t="s">
        <v>329</v>
      </c>
      <c r="B13" s="38" t="s">
        <v>24</v>
      </c>
      <c r="C13" s="42">
        <f>61.08*1.18</f>
        <v>72.074399999999997</v>
      </c>
      <c r="D13" s="42">
        <f t="shared" si="0"/>
        <v>61.08</v>
      </c>
      <c r="E13" s="38" t="s">
        <v>24</v>
      </c>
      <c r="F13" s="38">
        <v>1</v>
      </c>
      <c r="G13" s="58">
        <f t="shared" si="1"/>
        <v>65.599999999999994</v>
      </c>
    </row>
    <row r="14" spans="1:7" x14ac:dyDescent="0.25">
      <c r="A14" s="43" t="s">
        <v>352</v>
      </c>
      <c r="B14" s="38" t="s">
        <v>25</v>
      </c>
      <c r="C14" s="42">
        <f>56.43*1.18</f>
        <v>66.587400000000002</v>
      </c>
      <c r="D14" s="42">
        <f t="shared" si="0"/>
        <v>56.43</v>
      </c>
      <c r="E14" s="38" t="s">
        <v>25</v>
      </c>
      <c r="F14" s="38">
        <v>1</v>
      </c>
      <c r="G14" s="58">
        <f t="shared" si="1"/>
        <v>60.61</v>
      </c>
    </row>
    <row r="15" spans="1:7" x14ac:dyDescent="0.25">
      <c r="A15" s="48" t="s">
        <v>357</v>
      </c>
      <c r="B15" s="38" t="s">
        <v>25</v>
      </c>
      <c r="C15" s="42">
        <f>28.82*1.18</f>
        <v>34.007599999999996</v>
      </c>
      <c r="D15" s="42">
        <f t="shared" si="0"/>
        <v>28.82</v>
      </c>
      <c r="E15" s="38" t="s">
        <v>25</v>
      </c>
      <c r="F15" s="38">
        <v>1</v>
      </c>
      <c r="G15" s="58">
        <f t="shared" si="1"/>
        <v>30.95</v>
      </c>
    </row>
    <row r="16" spans="1:7" x14ac:dyDescent="0.25">
      <c r="A16" s="61" t="s">
        <v>379</v>
      </c>
      <c r="B16" s="38" t="s">
        <v>24</v>
      </c>
      <c r="C16" s="42">
        <f>634.32*1.18</f>
        <v>748.49760000000003</v>
      </c>
      <c r="D16" s="42">
        <f t="shared" si="0"/>
        <v>634.32000000000005</v>
      </c>
      <c r="E16" s="38" t="s">
        <v>24</v>
      </c>
      <c r="F16" s="38">
        <v>1</v>
      </c>
      <c r="G16" s="58">
        <f t="shared" si="1"/>
        <v>681.26</v>
      </c>
    </row>
    <row r="17" spans="1:8" x14ac:dyDescent="0.25">
      <c r="A17" s="43" t="s">
        <v>332</v>
      </c>
      <c r="B17" s="38" t="s">
        <v>25</v>
      </c>
      <c r="C17" s="42">
        <f>7.32*1.18</f>
        <v>8.6375999999999991</v>
      </c>
      <c r="D17" s="42">
        <f t="shared" si="0"/>
        <v>7.32</v>
      </c>
      <c r="E17" s="38" t="s">
        <v>25</v>
      </c>
      <c r="F17" s="38">
        <v>1</v>
      </c>
      <c r="G17" s="76">
        <f>мастерская!$P$8</f>
        <v>9.44</v>
      </c>
      <c r="H17" t="s">
        <v>364</v>
      </c>
    </row>
    <row r="18" spans="1:8" ht="30" x14ac:dyDescent="0.25">
      <c r="A18" s="60" t="s">
        <v>370</v>
      </c>
      <c r="B18" s="38" t="s">
        <v>25</v>
      </c>
      <c r="C18" s="42">
        <f>7.32*1.18</f>
        <v>8.6375999999999991</v>
      </c>
      <c r="D18" s="42">
        <f t="shared" si="0"/>
        <v>7.32</v>
      </c>
      <c r="E18" s="38" t="s">
        <v>25</v>
      </c>
      <c r="F18" s="38">
        <v>1</v>
      </c>
      <c r="G18" s="76">
        <f>мастерская!$P$8</f>
        <v>9.44</v>
      </c>
      <c r="H18" t="s">
        <v>364</v>
      </c>
    </row>
    <row r="19" spans="1:8" x14ac:dyDescent="0.25">
      <c r="A19" s="43" t="s">
        <v>334</v>
      </c>
      <c r="B19" s="62" t="s">
        <v>25</v>
      </c>
      <c r="C19" s="42">
        <f>5.72*1.18</f>
        <v>6.7495999999999992</v>
      </c>
      <c r="D19" s="42">
        <f t="shared" si="0"/>
        <v>5.72</v>
      </c>
      <c r="E19" s="38"/>
      <c r="F19" s="38">
        <v>1</v>
      </c>
      <c r="G19" s="58">
        <f>мастерская!$P$9</f>
        <v>9.629999999999999</v>
      </c>
      <c r="H19" t="s">
        <v>364</v>
      </c>
    </row>
    <row r="20" spans="1:8" x14ac:dyDescent="0.25">
      <c r="A20" s="43" t="s">
        <v>346</v>
      </c>
      <c r="B20" s="38" t="s">
        <v>25</v>
      </c>
      <c r="C20" s="42">
        <f>27.56*1.18</f>
        <v>32.520799999999994</v>
      </c>
      <c r="D20" s="42">
        <f t="shared" si="0"/>
        <v>27.56</v>
      </c>
      <c r="E20" s="38" t="s">
        <v>25</v>
      </c>
      <c r="F20" s="38">
        <v>1</v>
      </c>
      <c r="G20" s="58">
        <f>мастерская!$P$11</f>
        <v>24.810000000000002</v>
      </c>
      <c r="H20" t="s">
        <v>364</v>
      </c>
    </row>
    <row r="21" spans="1:8" ht="30" x14ac:dyDescent="0.25">
      <c r="A21" s="43" t="s">
        <v>341</v>
      </c>
      <c r="B21" s="38" t="s">
        <v>340</v>
      </c>
      <c r="C21" s="42">
        <v>49380</v>
      </c>
      <c r="D21" s="42">
        <f t="shared" si="0"/>
        <v>41847.46</v>
      </c>
      <c r="E21" s="38" t="s">
        <v>24</v>
      </c>
      <c r="F21" s="38">
        <v>1000</v>
      </c>
      <c r="G21" s="58">
        <f>ROUND(D21/F21*(1+$B$2),2)</f>
        <v>44.94</v>
      </c>
    </row>
    <row r="22" spans="1:8" x14ac:dyDescent="0.25">
      <c r="A22" s="43" t="s">
        <v>377</v>
      </c>
      <c r="B22" s="38" t="s">
        <v>25</v>
      </c>
      <c r="C22" s="42">
        <f>29.37*1.18</f>
        <v>34.656599999999997</v>
      </c>
      <c r="D22" s="42">
        <f t="shared" si="0"/>
        <v>29.37</v>
      </c>
      <c r="E22" s="38" t="s">
        <v>25</v>
      </c>
      <c r="F22" s="38">
        <v>1</v>
      </c>
      <c r="G22" s="58">
        <f t="shared" si="1"/>
        <v>31.54</v>
      </c>
    </row>
    <row r="23" spans="1:8" x14ac:dyDescent="0.25">
      <c r="A23" s="43" t="s">
        <v>369</v>
      </c>
      <c r="B23" s="38" t="s">
        <v>28</v>
      </c>
      <c r="C23" s="42">
        <f>41.33*1.18</f>
        <v>48.769399999999997</v>
      </c>
      <c r="D23" s="42">
        <f t="shared" si="0"/>
        <v>41.33</v>
      </c>
      <c r="E23" s="38" t="s">
        <v>28</v>
      </c>
      <c r="F23" s="38">
        <v>1</v>
      </c>
      <c r="G23" s="58">
        <f t="shared" si="1"/>
        <v>44.39</v>
      </c>
    </row>
    <row r="24" spans="1:8" x14ac:dyDescent="0.25">
      <c r="A24" s="43" t="s">
        <v>374</v>
      </c>
      <c r="B24" s="38" t="s">
        <v>28</v>
      </c>
      <c r="C24" s="42">
        <f>75.77*1.18</f>
        <v>89.408599999999993</v>
      </c>
      <c r="D24" s="42">
        <f t="shared" si="0"/>
        <v>75.77</v>
      </c>
      <c r="E24" s="38" t="s">
        <v>28</v>
      </c>
      <c r="F24" s="38">
        <v>1</v>
      </c>
      <c r="G24" s="58">
        <f t="shared" si="1"/>
        <v>81.38</v>
      </c>
    </row>
    <row r="25" spans="1:8" x14ac:dyDescent="0.25">
      <c r="A25" s="43" t="s">
        <v>338</v>
      </c>
      <c r="B25" s="38" t="s">
        <v>25</v>
      </c>
      <c r="C25" s="42">
        <v>33</v>
      </c>
      <c r="D25" s="42">
        <f t="shared" si="0"/>
        <v>27.97</v>
      </c>
      <c r="E25" s="38" t="s">
        <v>25</v>
      </c>
      <c r="F25" s="38">
        <v>1</v>
      </c>
      <c r="G25" s="58">
        <f t="shared" si="1"/>
        <v>30.04</v>
      </c>
    </row>
    <row r="26" spans="1:8" ht="30" x14ac:dyDescent="0.25">
      <c r="A26" s="43" t="s">
        <v>403</v>
      </c>
      <c r="B26" s="38" t="s">
        <v>25</v>
      </c>
      <c r="C26" s="42">
        <f>33</f>
        <v>33</v>
      </c>
      <c r="D26" s="42">
        <f t="shared" si="0"/>
        <v>27.97</v>
      </c>
      <c r="E26" s="38" t="s">
        <v>25</v>
      </c>
      <c r="F26" s="38">
        <v>1</v>
      </c>
      <c r="G26" s="58">
        <f t="shared" si="1"/>
        <v>30.04</v>
      </c>
    </row>
    <row r="27" spans="1:8" ht="28.5" customHeight="1" x14ac:dyDescent="0.25">
      <c r="A27" s="43" t="s">
        <v>339</v>
      </c>
      <c r="B27" s="38" t="s">
        <v>25</v>
      </c>
      <c r="C27" s="42">
        <v>15</v>
      </c>
      <c r="D27" s="42">
        <f t="shared" si="0"/>
        <v>12.71</v>
      </c>
      <c r="E27" s="38" t="s">
        <v>25</v>
      </c>
      <c r="F27" s="38">
        <v>1</v>
      </c>
      <c r="G27" s="58">
        <f t="shared" si="1"/>
        <v>13.65</v>
      </c>
    </row>
    <row r="28" spans="1:8" x14ac:dyDescent="0.25">
      <c r="A28" s="43" t="s">
        <v>333</v>
      </c>
      <c r="B28" s="38" t="s">
        <v>24</v>
      </c>
      <c r="C28" s="42">
        <f>281.57*1.18</f>
        <v>332.25259999999997</v>
      </c>
      <c r="D28" s="42">
        <f t="shared" si="0"/>
        <v>281.57</v>
      </c>
      <c r="E28" s="38" t="s">
        <v>24</v>
      </c>
      <c r="F28" s="38">
        <v>1</v>
      </c>
      <c r="G28" s="58">
        <f t="shared" si="1"/>
        <v>302.41000000000003</v>
      </c>
    </row>
    <row r="29" spans="1:8" x14ac:dyDescent="0.25">
      <c r="A29" s="44" t="s">
        <v>164</v>
      </c>
      <c r="B29" s="38" t="s">
        <v>25</v>
      </c>
      <c r="C29" s="42">
        <f>32.76*1.18</f>
        <v>38.656799999999997</v>
      </c>
      <c r="D29" s="42">
        <f t="shared" si="0"/>
        <v>32.76</v>
      </c>
      <c r="E29" s="38" t="s">
        <v>25</v>
      </c>
      <c r="F29" s="38">
        <v>1</v>
      </c>
      <c r="G29" s="58">
        <f t="shared" si="1"/>
        <v>35.18</v>
      </c>
    </row>
    <row r="30" spans="1:8" x14ac:dyDescent="0.25">
      <c r="A30" s="44" t="s">
        <v>165</v>
      </c>
      <c r="B30" s="38" t="s">
        <v>25</v>
      </c>
      <c r="C30" s="42">
        <f>54.85*1.18</f>
        <v>64.722999999999999</v>
      </c>
      <c r="D30" s="42">
        <f t="shared" si="0"/>
        <v>54.85</v>
      </c>
      <c r="E30" s="38" t="s">
        <v>25</v>
      </c>
      <c r="F30" s="38">
        <v>1</v>
      </c>
      <c r="G30" s="58">
        <f t="shared" si="1"/>
        <v>58.91</v>
      </c>
    </row>
    <row r="31" spans="1:8" x14ac:dyDescent="0.25">
      <c r="A31" s="48" t="s">
        <v>331</v>
      </c>
      <c r="B31" s="38" t="s">
        <v>24</v>
      </c>
      <c r="C31" s="42">
        <f>75.69*1.18</f>
        <v>89.3142</v>
      </c>
      <c r="D31" s="42">
        <f t="shared" si="0"/>
        <v>75.69</v>
      </c>
      <c r="E31" s="38" t="s">
        <v>24</v>
      </c>
      <c r="F31" s="38">
        <v>1</v>
      </c>
      <c r="G31" s="58">
        <f t="shared" si="1"/>
        <v>81.290000000000006</v>
      </c>
    </row>
  </sheetData>
  <sortState ref="A5:H31">
    <sortCondition ref="A5"/>
  </sortState>
  <mergeCells count="1">
    <mergeCell ref="A1:G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G14" sqref="G14"/>
    </sheetView>
  </sheetViews>
  <sheetFormatPr defaultRowHeight="15" x14ac:dyDescent="0.25"/>
  <cols>
    <col min="1" max="1" width="11" customWidth="1"/>
    <col min="5" max="5" width="11" customWidth="1"/>
    <col min="6" max="6" width="11.42578125" customWidth="1"/>
    <col min="7" max="7" width="10.7109375" customWidth="1"/>
    <col min="8" max="8" width="10" customWidth="1"/>
    <col min="10" max="10" width="11.85546875" customWidth="1"/>
    <col min="11" max="12" width="11.7109375" customWidth="1"/>
  </cols>
  <sheetData>
    <row r="1" spans="1:11" ht="21.75" customHeight="1" x14ac:dyDescent="0.25">
      <c r="A1" s="785" t="s">
        <v>381</v>
      </c>
      <c r="B1" s="785"/>
      <c r="C1" s="785"/>
      <c r="D1" s="785"/>
      <c r="E1" s="785"/>
      <c r="F1" s="785"/>
      <c r="G1" s="785"/>
      <c r="H1" s="785"/>
      <c r="I1" s="785"/>
      <c r="J1" s="785"/>
      <c r="K1" s="785"/>
    </row>
    <row r="2" spans="1:11" x14ac:dyDescent="0.25">
      <c r="A2" s="784" t="s">
        <v>382</v>
      </c>
      <c r="B2" s="786" t="s">
        <v>383</v>
      </c>
      <c r="C2" s="786"/>
      <c r="D2" s="786"/>
      <c r="E2" s="787" t="s">
        <v>384</v>
      </c>
      <c r="F2" s="787" t="s">
        <v>385</v>
      </c>
      <c r="G2" s="784" t="s">
        <v>386</v>
      </c>
      <c r="H2" s="784"/>
      <c r="I2" s="784" t="s">
        <v>387</v>
      </c>
      <c r="J2" s="784" t="s">
        <v>402</v>
      </c>
      <c r="K2" s="784" t="s">
        <v>401</v>
      </c>
    </row>
    <row r="3" spans="1:11" ht="45" x14ac:dyDescent="0.25">
      <c r="A3" s="784"/>
      <c r="B3" s="63" t="s">
        <v>388</v>
      </c>
      <c r="C3" s="63" t="s">
        <v>389</v>
      </c>
      <c r="D3" s="63" t="s">
        <v>390</v>
      </c>
      <c r="E3" s="787"/>
      <c r="F3" s="787"/>
      <c r="G3" s="63" t="s">
        <v>391</v>
      </c>
      <c r="H3" s="63" t="s">
        <v>392</v>
      </c>
      <c r="I3" s="784"/>
      <c r="J3" s="784"/>
      <c r="K3" s="784"/>
    </row>
    <row r="4" spans="1:11" x14ac:dyDescent="0.25">
      <c r="A4" s="64" t="s">
        <v>393</v>
      </c>
      <c r="B4" s="38">
        <v>51.25</v>
      </c>
      <c r="C4" s="38">
        <v>57.4</v>
      </c>
      <c r="D4" s="38">
        <f>ROUND((B4+C4)/2,2)</f>
        <v>54.33</v>
      </c>
      <c r="E4" s="38">
        <v>49</v>
      </c>
      <c r="F4" s="38">
        <f>ROUND(D4*E4/100,2)</f>
        <v>26.62</v>
      </c>
      <c r="G4" s="38">
        <f>ROUND((0.5487+0.5517+0.5523)/3,3)</f>
        <v>0.55100000000000005</v>
      </c>
      <c r="H4" s="38">
        <f>ROUND((0.535+0.54+0.538)/3,3)</f>
        <v>0.53800000000000003</v>
      </c>
      <c r="I4" s="38">
        <f>ROUND(F4*(G4+H4)/2,2)</f>
        <v>14.49</v>
      </c>
      <c r="J4" s="38">
        <f>ROUND(I4*'условия, ФОТ'!$C$9/1000,2)</f>
        <v>210.47</v>
      </c>
      <c r="K4" s="38">
        <f>ROUND(J4/$E$4,2)</f>
        <v>4.3</v>
      </c>
    </row>
    <row r="5" spans="1:11" x14ac:dyDescent="0.25">
      <c r="A5" s="64" t="s">
        <v>394</v>
      </c>
      <c r="B5" s="38">
        <v>14.9</v>
      </c>
      <c r="C5" s="38">
        <v>16.7</v>
      </c>
      <c r="D5" s="38">
        <f t="shared" ref="D5:D9" si="0">ROUND((B5+C5)/2,2)</f>
        <v>15.8</v>
      </c>
      <c r="E5" s="38">
        <v>49</v>
      </c>
      <c r="F5" s="38">
        <f t="shared" ref="F5:F9" si="1">ROUND(D5*E5/100,2)</f>
        <v>7.74</v>
      </c>
      <c r="G5" s="38">
        <f t="shared" ref="G5:G9" si="2">ROUND((0.5487+0.5517+0.5523)/3,3)</f>
        <v>0.55100000000000005</v>
      </c>
      <c r="H5" s="38">
        <f t="shared" ref="H5:H9" si="3">ROUND((0.535+0.54+0.538)/3,3)</f>
        <v>0.53800000000000003</v>
      </c>
      <c r="I5" s="38">
        <f t="shared" ref="I5:I9" si="4">ROUND(F5*(G5+H5)/2,2)</f>
        <v>4.21</v>
      </c>
      <c r="J5" s="38">
        <f>ROUND(I5*'условия, ФОТ'!$C$9/1000,2)</f>
        <v>61.15</v>
      </c>
      <c r="K5" s="38">
        <f t="shared" ref="K5:K9" si="5">ROUND(J5/$E$4,2)</f>
        <v>1.25</v>
      </c>
    </row>
    <row r="6" spans="1:11" x14ac:dyDescent="0.25">
      <c r="A6" s="64" t="s">
        <v>395</v>
      </c>
      <c r="B6" s="38">
        <v>19.600000000000001</v>
      </c>
      <c r="C6" s="38">
        <v>21.7</v>
      </c>
      <c r="D6" s="38">
        <f t="shared" si="0"/>
        <v>20.65</v>
      </c>
      <c r="E6" s="38">
        <v>49</v>
      </c>
      <c r="F6" s="38">
        <f t="shared" si="1"/>
        <v>10.119999999999999</v>
      </c>
      <c r="G6" s="38">
        <f t="shared" si="2"/>
        <v>0.55100000000000005</v>
      </c>
      <c r="H6" s="38">
        <f t="shared" si="3"/>
        <v>0.53800000000000003</v>
      </c>
      <c r="I6" s="38">
        <f t="shared" si="4"/>
        <v>5.51</v>
      </c>
      <c r="J6" s="38">
        <f>ROUND(I6*'условия, ФОТ'!$C$9/1000,2)</f>
        <v>80.03</v>
      </c>
      <c r="K6" s="38">
        <f t="shared" si="5"/>
        <v>1.63</v>
      </c>
    </row>
    <row r="7" spans="1:11" x14ac:dyDescent="0.25">
      <c r="A7" s="64" t="s">
        <v>396</v>
      </c>
      <c r="B7" s="38">
        <v>16.3</v>
      </c>
      <c r="C7" s="38">
        <v>18.3</v>
      </c>
      <c r="D7" s="38">
        <f t="shared" si="0"/>
        <v>17.3</v>
      </c>
      <c r="E7" s="38">
        <v>49</v>
      </c>
      <c r="F7" s="38">
        <f t="shared" si="1"/>
        <v>8.48</v>
      </c>
      <c r="G7" s="38">
        <f t="shared" si="2"/>
        <v>0.55100000000000005</v>
      </c>
      <c r="H7" s="38">
        <f t="shared" si="3"/>
        <v>0.53800000000000003</v>
      </c>
      <c r="I7" s="38">
        <f t="shared" si="4"/>
        <v>4.62</v>
      </c>
      <c r="J7" s="38">
        <f>ROUND(I7*'условия, ФОТ'!$C$9/1000,2)</f>
        <v>67.11</v>
      </c>
      <c r="K7" s="38">
        <f t="shared" si="5"/>
        <v>1.37</v>
      </c>
    </row>
    <row r="8" spans="1:11" x14ac:dyDescent="0.25">
      <c r="A8" s="64" t="s">
        <v>397</v>
      </c>
      <c r="B8" s="38">
        <v>28.86</v>
      </c>
      <c r="C8" s="38">
        <v>32.32</v>
      </c>
      <c r="D8" s="38">
        <f t="shared" si="0"/>
        <v>30.59</v>
      </c>
      <c r="E8" s="38">
        <v>49</v>
      </c>
      <c r="F8" s="38">
        <f t="shared" si="1"/>
        <v>14.99</v>
      </c>
      <c r="G8" s="38">
        <f t="shared" si="2"/>
        <v>0.55100000000000005</v>
      </c>
      <c r="H8" s="38">
        <f t="shared" si="3"/>
        <v>0.53800000000000003</v>
      </c>
      <c r="I8" s="38">
        <f t="shared" si="4"/>
        <v>8.16</v>
      </c>
      <c r="J8" s="38">
        <f>ROUND(I8*'условия, ФОТ'!$C$9/1000,2)</f>
        <v>118.52</v>
      </c>
      <c r="K8" s="38">
        <f t="shared" si="5"/>
        <v>2.42</v>
      </c>
    </row>
    <row r="9" spans="1:11" x14ac:dyDescent="0.25">
      <c r="A9" s="64" t="s">
        <v>398</v>
      </c>
      <c r="B9" s="38">
        <v>47.9</v>
      </c>
      <c r="C9" s="38">
        <v>53.6</v>
      </c>
      <c r="D9" s="38">
        <f t="shared" si="0"/>
        <v>50.75</v>
      </c>
      <c r="E9" s="38">
        <v>49</v>
      </c>
      <c r="F9" s="38">
        <f t="shared" si="1"/>
        <v>24.87</v>
      </c>
      <c r="G9" s="38">
        <f t="shared" si="2"/>
        <v>0.55100000000000005</v>
      </c>
      <c r="H9" s="38">
        <f t="shared" si="3"/>
        <v>0.53800000000000003</v>
      </c>
      <c r="I9" s="38">
        <f t="shared" si="4"/>
        <v>13.54</v>
      </c>
      <c r="J9" s="38">
        <f>ROUND(I9*'условия, ФОТ'!$C$9/1000,2)</f>
        <v>196.67</v>
      </c>
      <c r="K9" s="38">
        <f t="shared" si="5"/>
        <v>4.01</v>
      </c>
    </row>
  </sheetData>
  <mergeCells count="9">
    <mergeCell ref="K2:K3"/>
    <mergeCell ref="A1:K1"/>
    <mergeCell ref="A2:A3"/>
    <mergeCell ref="B2:D2"/>
    <mergeCell ref="E2:E3"/>
    <mergeCell ref="F2:F3"/>
    <mergeCell ref="G2:H2"/>
    <mergeCell ref="I2:I3"/>
    <mergeCell ref="J2:J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view="pageBreakPreview" zoomScale="80" zoomScaleSheetLayoutView="80" workbookViewId="0">
      <selection activeCell="O3" sqref="O3:O4"/>
    </sheetView>
  </sheetViews>
  <sheetFormatPr defaultRowHeight="15" x14ac:dyDescent="0.25"/>
  <cols>
    <col min="1" max="1" width="6" customWidth="1"/>
    <col min="3" max="3" width="29.28515625" customWidth="1"/>
    <col min="5" max="5" width="14.7109375" customWidth="1"/>
    <col min="7" max="7" width="12.28515625" customWidth="1"/>
    <col min="10" max="11" width="12.42578125" customWidth="1"/>
    <col min="14" max="14" width="10.7109375" customWidth="1"/>
    <col min="15" max="15" width="10.85546875" customWidth="1"/>
    <col min="16" max="16" width="11.5703125" customWidth="1"/>
    <col min="17" max="17" width="13.140625" customWidth="1"/>
    <col min="18" max="18" width="15.42578125" customWidth="1"/>
  </cols>
  <sheetData>
    <row r="1" spans="1:18" ht="75" customHeight="1" x14ac:dyDescent="0.25">
      <c r="A1" s="143"/>
      <c r="B1" s="143"/>
      <c r="C1" s="143"/>
      <c r="D1" s="143"/>
      <c r="E1" s="143"/>
      <c r="F1" s="143"/>
      <c r="G1" s="143"/>
      <c r="H1" s="143"/>
      <c r="I1" s="143"/>
      <c r="J1" s="143"/>
      <c r="K1" s="143"/>
      <c r="L1" s="143"/>
      <c r="M1" s="794" t="s">
        <v>585</v>
      </c>
      <c r="N1" s="794"/>
      <c r="O1" s="794"/>
      <c r="P1" s="794"/>
    </row>
    <row r="2" spans="1:18" ht="30" customHeight="1" x14ac:dyDescent="0.25">
      <c r="A2" s="796" t="s">
        <v>579</v>
      </c>
      <c r="B2" s="797"/>
      <c r="C2" s="797"/>
      <c r="D2" s="797"/>
      <c r="E2" s="797"/>
      <c r="F2" s="797"/>
      <c r="G2" s="797"/>
      <c r="H2" s="797"/>
      <c r="I2" s="797"/>
      <c r="J2" s="797"/>
      <c r="K2" s="797"/>
      <c r="L2" s="797"/>
      <c r="M2" s="797"/>
      <c r="N2" s="797"/>
      <c r="O2" s="797"/>
      <c r="P2" s="798"/>
    </row>
    <row r="3" spans="1:18" ht="38.25" customHeight="1" x14ac:dyDescent="0.25">
      <c r="A3" s="799" t="s">
        <v>0</v>
      </c>
      <c r="B3" s="788" t="s">
        <v>1</v>
      </c>
      <c r="C3" s="790" t="s">
        <v>2</v>
      </c>
      <c r="D3" s="790" t="s">
        <v>3</v>
      </c>
      <c r="E3" s="790" t="s">
        <v>4</v>
      </c>
      <c r="F3" s="790" t="s">
        <v>5</v>
      </c>
      <c r="G3" s="790" t="s">
        <v>6</v>
      </c>
      <c r="H3" s="790" t="s">
        <v>7</v>
      </c>
      <c r="I3" s="74" t="s">
        <v>8</v>
      </c>
      <c r="J3" s="788" t="s">
        <v>19</v>
      </c>
      <c r="K3" s="792" t="s">
        <v>9</v>
      </c>
      <c r="L3" s="792" t="s">
        <v>10</v>
      </c>
      <c r="M3" s="792" t="s">
        <v>586</v>
      </c>
      <c r="N3" s="792" t="s">
        <v>12</v>
      </c>
      <c r="O3" s="792" t="s">
        <v>13</v>
      </c>
      <c r="P3" s="788" t="s">
        <v>17</v>
      </c>
      <c r="Q3" s="788" t="s">
        <v>411</v>
      </c>
      <c r="R3" s="788" t="s">
        <v>419</v>
      </c>
    </row>
    <row r="4" spans="1:18" ht="25.5" customHeight="1" x14ac:dyDescent="0.25">
      <c r="A4" s="800"/>
      <c r="B4" s="801"/>
      <c r="C4" s="790"/>
      <c r="D4" s="795"/>
      <c r="E4" s="795"/>
      <c r="F4" s="795"/>
      <c r="G4" s="791"/>
      <c r="H4" s="791"/>
      <c r="I4" s="144">
        <v>0.30199999999999999</v>
      </c>
      <c r="J4" s="789"/>
      <c r="K4" s="793"/>
      <c r="L4" s="793"/>
      <c r="M4" s="793"/>
      <c r="N4" s="793"/>
      <c r="O4" s="793"/>
      <c r="P4" s="789"/>
      <c r="Q4" s="789"/>
      <c r="R4" s="789"/>
    </row>
    <row r="5" spans="1:18" x14ac:dyDescent="0.25">
      <c r="A5" s="1">
        <v>1</v>
      </c>
      <c r="B5" s="2">
        <v>2</v>
      </c>
      <c r="C5" s="46">
        <v>3</v>
      </c>
      <c r="D5" s="2">
        <v>4</v>
      </c>
      <c r="E5" s="2">
        <v>5</v>
      </c>
      <c r="F5" s="2">
        <v>6</v>
      </c>
      <c r="G5" s="2">
        <v>7</v>
      </c>
      <c r="H5" s="2">
        <v>8</v>
      </c>
      <c r="I5" s="2">
        <v>9</v>
      </c>
      <c r="J5" s="2">
        <v>10</v>
      </c>
      <c r="K5" s="46">
        <v>11</v>
      </c>
      <c r="L5" s="46">
        <v>12</v>
      </c>
      <c r="M5" s="46">
        <v>13</v>
      </c>
      <c r="N5" s="46">
        <v>14</v>
      </c>
      <c r="O5" s="46">
        <v>15</v>
      </c>
      <c r="P5" s="46">
        <v>16</v>
      </c>
      <c r="Q5" s="46">
        <v>17</v>
      </c>
      <c r="R5" s="46">
        <v>18</v>
      </c>
    </row>
    <row r="6" spans="1:18" ht="29.25" customHeight="1" x14ac:dyDescent="0.25">
      <c r="A6" s="142" t="s">
        <v>580</v>
      </c>
      <c r="B6" s="52" t="s">
        <v>295</v>
      </c>
      <c r="C6" s="51" t="s">
        <v>413</v>
      </c>
      <c r="D6" s="72" t="s">
        <v>114</v>
      </c>
      <c r="E6" s="72" t="s">
        <v>294</v>
      </c>
      <c r="F6" s="71">
        <f>VLOOKUP(E6,'условия, ФОТ'!$A$14:$I$32,9, FALSE)</f>
        <v>181.45</v>
      </c>
      <c r="G6" s="71">
        <v>0.12</v>
      </c>
      <c r="H6" s="71">
        <f t="shared" ref="H6:H12" si="0">ROUND(F6*G6,2)</f>
        <v>21.77</v>
      </c>
      <c r="I6" s="71">
        <f t="shared" ref="I6:I12" si="1">ROUND(H6*$I$4,2)</f>
        <v>6.57</v>
      </c>
      <c r="J6" s="71">
        <f t="shared" ref="J6:J12" si="2">H6+I6</f>
        <v>28.34</v>
      </c>
      <c r="K6" s="72" t="s">
        <v>425</v>
      </c>
      <c r="L6" s="71" t="s">
        <v>24</v>
      </c>
      <c r="M6" s="71">
        <v>39.31</v>
      </c>
      <c r="N6" s="71">
        <v>0.2</v>
      </c>
      <c r="O6" s="71">
        <f>ROUND(M6*N6,2)</f>
        <v>7.86</v>
      </c>
      <c r="P6" s="73">
        <f t="shared" ref="P6:P12" si="3">J6+O6</f>
        <v>36.200000000000003</v>
      </c>
      <c r="Q6" s="50">
        <v>32.76</v>
      </c>
      <c r="R6" s="71">
        <f>ROUND(P6/Q6*100-100,2)</f>
        <v>10.5</v>
      </c>
    </row>
    <row r="7" spans="1:18" ht="33" customHeight="1" x14ac:dyDescent="0.25">
      <c r="A7" s="142" t="s">
        <v>581</v>
      </c>
      <c r="B7" s="52" t="s">
        <v>296</v>
      </c>
      <c r="C7" s="51" t="s">
        <v>414</v>
      </c>
      <c r="D7" s="53" t="s">
        <v>114</v>
      </c>
      <c r="E7" s="53" t="s">
        <v>294</v>
      </c>
      <c r="F7" s="50">
        <f>VLOOKUP(E7,'условия, ФОТ'!$A$14:$I$32,9, FALSE)</f>
        <v>181.45</v>
      </c>
      <c r="G7" s="50">
        <v>0.2</v>
      </c>
      <c r="H7" s="71">
        <f t="shared" si="0"/>
        <v>36.29</v>
      </c>
      <c r="I7" s="71">
        <f t="shared" si="1"/>
        <v>10.96</v>
      </c>
      <c r="J7" s="71">
        <f t="shared" si="2"/>
        <v>47.25</v>
      </c>
      <c r="K7" s="72" t="s">
        <v>425</v>
      </c>
      <c r="L7" s="50" t="s">
        <v>24</v>
      </c>
      <c r="M7" s="50">
        <v>39.31</v>
      </c>
      <c r="N7" s="50">
        <v>0.34</v>
      </c>
      <c r="O7" s="50">
        <f>ROUND(M7*N7,2)</f>
        <v>13.37</v>
      </c>
      <c r="P7" s="50">
        <f t="shared" si="3"/>
        <v>60.62</v>
      </c>
      <c r="Q7" s="50">
        <v>54.85</v>
      </c>
      <c r="R7" s="71">
        <f t="shared" ref="R7:R12" si="4">ROUND(P7/Q7*100-100,2)</f>
        <v>10.52</v>
      </c>
    </row>
    <row r="8" spans="1:18" ht="32.25" customHeight="1" x14ac:dyDescent="0.25">
      <c r="A8" s="142" t="s">
        <v>582</v>
      </c>
      <c r="B8" s="52" t="s">
        <v>115</v>
      </c>
      <c r="C8" s="51" t="s">
        <v>116</v>
      </c>
      <c r="D8" s="50" t="s">
        <v>25</v>
      </c>
      <c r="E8" s="53" t="s">
        <v>162</v>
      </c>
      <c r="F8" s="50">
        <f>VLOOKUP(E8,'условия, ФОТ'!$A$14:$I$32,9, FALSE)</f>
        <v>164.09</v>
      </c>
      <c r="G8" s="50">
        <v>0.04</v>
      </c>
      <c r="H8" s="71">
        <f t="shared" si="0"/>
        <v>6.56</v>
      </c>
      <c r="I8" s="71">
        <f t="shared" si="1"/>
        <v>1.98</v>
      </c>
      <c r="J8" s="71">
        <f t="shared" si="2"/>
        <v>8.5399999999999991</v>
      </c>
      <c r="K8" s="53" t="s">
        <v>412</v>
      </c>
      <c r="L8" s="50" t="s">
        <v>24</v>
      </c>
      <c r="M8" s="73">
        <v>90</v>
      </c>
      <c r="N8" s="50">
        <v>0.01</v>
      </c>
      <c r="O8" s="50">
        <f>ROUND(M8*N8,2)</f>
        <v>0.9</v>
      </c>
      <c r="P8" s="73">
        <f t="shared" si="3"/>
        <v>9.44</v>
      </c>
      <c r="Q8" s="50">
        <v>7.32</v>
      </c>
      <c r="R8" s="71">
        <f t="shared" si="4"/>
        <v>28.96</v>
      </c>
    </row>
    <row r="9" spans="1:18" ht="45" customHeight="1" x14ac:dyDescent="0.25">
      <c r="A9" s="142" t="s">
        <v>583</v>
      </c>
      <c r="B9" s="52" t="s">
        <v>115</v>
      </c>
      <c r="C9" s="51" t="s">
        <v>117</v>
      </c>
      <c r="D9" s="50" t="s">
        <v>25</v>
      </c>
      <c r="E9" s="72" t="s">
        <v>162</v>
      </c>
      <c r="F9" s="50">
        <f>VLOOKUP(E9,'условия, ФОТ'!$A$14:$I$32,9, FALSE)</f>
        <v>164.09</v>
      </c>
      <c r="G9" s="50">
        <v>0.04</v>
      </c>
      <c r="H9" s="71">
        <f t="shared" si="0"/>
        <v>6.56</v>
      </c>
      <c r="I9" s="71">
        <f t="shared" si="1"/>
        <v>1.98</v>
      </c>
      <c r="J9" s="71">
        <f t="shared" si="2"/>
        <v>8.5399999999999991</v>
      </c>
      <c r="K9" s="70" t="s">
        <v>424</v>
      </c>
      <c r="L9" s="50" t="s">
        <v>24</v>
      </c>
      <c r="M9" s="50">
        <v>54.39</v>
      </c>
      <c r="N9" s="50">
        <v>0.02</v>
      </c>
      <c r="O9" s="50">
        <f>ROUND(M9*N9,2)</f>
        <v>1.0900000000000001</v>
      </c>
      <c r="P9" s="50">
        <f t="shared" si="3"/>
        <v>9.629999999999999</v>
      </c>
      <c r="Q9" s="50">
        <v>5.72</v>
      </c>
      <c r="R9" s="71">
        <f t="shared" si="4"/>
        <v>68.36</v>
      </c>
    </row>
    <row r="10" spans="1:18" ht="38.25" customHeight="1" x14ac:dyDescent="0.25">
      <c r="A10" s="142" t="s">
        <v>584</v>
      </c>
      <c r="B10" s="52" t="s">
        <v>118</v>
      </c>
      <c r="C10" s="51" t="s">
        <v>119</v>
      </c>
      <c r="D10" s="50" t="s">
        <v>297</v>
      </c>
      <c r="E10" s="53" t="s">
        <v>294</v>
      </c>
      <c r="F10" s="50">
        <f>VLOOKUP(E10,'условия, ФОТ'!$A$14:$I$32,9, FALSE)</f>
        <v>181.45</v>
      </c>
      <c r="G10" s="50">
        <v>0.25</v>
      </c>
      <c r="H10" s="50">
        <f t="shared" si="0"/>
        <v>45.36</v>
      </c>
      <c r="I10" s="50">
        <f t="shared" si="1"/>
        <v>13.7</v>
      </c>
      <c r="J10" s="50">
        <f t="shared" si="2"/>
        <v>59.06</v>
      </c>
      <c r="K10" s="53" t="s">
        <v>297</v>
      </c>
      <c r="L10" s="50" t="s">
        <v>24</v>
      </c>
      <c r="M10" s="50">
        <v>11</v>
      </c>
      <c r="N10" s="50">
        <v>1</v>
      </c>
      <c r="O10" s="73">
        <f>ROUND(M10*N10,2)</f>
        <v>11</v>
      </c>
      <c r="P10" s="50">
        <f t="shared" si="3"/>
        <v>70.06</v>
      </c>
      <c r="Q10" s="50">
        <v>56.43</v>
      </c>
      <c r="R10" s="71">
        <f t="shared" si="4"/>
        <v>24.15</v>
      </c>
    </row>
    <row r="11" spans="1:18" ht="38.25" customHeight="1" x14ac:dyDescent="0.25">
      <c r="A11" s="71">
        <v>7</v>
      </c>
      <c r="B11" s="75" t="s">
        <v>421</v>
      </c>
      <c r="C11" s="3" t="s">
        <v>420</v>
      </c>
      <c r="D11" s="71" t="s">
        <v>422</v>
      </c>
      <c r="E11" s="72" t="s">
        <v>294</v>
      </c>
      <c r="F11" s="71">
        <f>VLOOKUP(E11,'условия, ФОТ'!$A$14:$I$32,9, FALSE)</f>
        <v>181.45</v>
      </c>
      <c r="G11" s="71">
        <v>0.08</v>
      </c>
      <c r="H11" s="71">
        <f t="shared" si="0"/>
        <v>14.52</v>
      </c>
      <c r="I11" s="71">
        <f t="shared" si="1"/>
        <v>4.3899999999999997</v>
      </c>
      <c r="J11" s="71">
        <f t="shared" si="2"/>
        <v>18.91</v>
      </c>
      <c r="K11" s="72" t="s">
        <v>425</v>
      </c>
      <c r="L11" s="71" t="s">
        <v>24</v>
      </c>
      <c r="M11" s="71">
        <v>39.31</v>
      </c>
      <c r="N11" s="71">
        <v>0.15</v>
      </c>
      <c r="O11" s="71">
        <f t="shared" ref="O11:O12" si="5">ROUND(M11*N11,2)</f>
        <v>5.9</v>
      </c>
      <c r="P11" s="71">
        <f t="shared" si="3"/>
        <v>24.810000000000002</v>
      </c>
      <c r="Q11" s="71">
        <v>27.56</v>
      </c>
      <c r="R11" s="71">
        <f t="shared" si="4"/>
        <v>-9.98</v>
      </c>
    </row>
    <row r="12" spans="1:18" ht="44.25" customHeight="1" x14ac:dyDescent="0.25">
      <c r="A12" s="71">
        <v>8</v>
      </c>
      <c r="B12" s="75" t="s">
        <v>421</v>
      </c>
      <c r="C12" s="3" t="s">
        <v>423</v>
      </c>
      <c r="D12" s="71" t="s">
        <v>422</v>
      </c>
      <c r="E12" s="72" t="s">
        <v>294</v>
      </c>
      <c r="F12" s="71">
        <f>VLOOKUP(E12,'условия, ФОТ'!$A$14:$I$32,9, FALSE)</f>
        <v>181.45</v>
      </c>
      <c r="G12" s="71">
        <v>0.1</v>
      </c>
      <c r="H12" s="71">
        <f t="shared" si="0"/>
        <v>18.149999999999999</v>
      </c>
      <c r="I12" s="71">
        <f t="shared" si="1"/>
        <v>5.48</v>
      </c>
      <c r="J12" s="71">
        <f t="shared" si="2"/>
        <v>23.63</v>
      </c>
      <c r="K12" s="72" t="s">
        <v>425</v>
      </c>
      <c r="L12" s="71" t="s">
        <v>24</v>
      </c>
      <c r="M12" s="71">
        <v>39.31</v>
      </c>
      <c r="N12" s="71">
        <v>0.18</v>
      </c>
      <c r="O12" s="71">
        <f t="shared" si="5"/>
        <v>7.08</v>
      </c>
      <c r="P12" s="71">
        <f t="shared" si="3"/>
        <v>30.71</v>
      </c>
      <c r="Q12" s="71">
        <v>27.56</v>
      </c>
      <c r="R12" s="71">
        <f t="shared" si="4"/>
        <v>11.43</v>
      </c>
    </row>
  </sheetData>
  <mergeCells count="19">
    <mergeCell ref="M1:P1"/>
    <mergeCell ref="F3:F4"/>
    <mergeCell ref="G3:G4"/>
    <mergeCell ref="A2:P2"/>
    <mergeCell ref="A3:A4"/>
    <mergeCell ref="B3:B4"/>
    <mergeCell ref="C3:C4"/>
    <mergeCell ref="D3:D4"/>
    <mergeCell ref="E3:E4"/>
    <mergeCell ref="O3:O4"/>
    <mergeCell ref="P3:P4"/>
    <mergeCell ref="R3:R4"/>
    <mergeCell ref="Q3:Q4"/>
    <mergeCell ref="H3:H4"/>
    <mergeCell ref="J3:J4"/>
    <mergeCell ref="K3:K4"/>
    <mergeCell ref="L3:L4"/>
    <mergeCell ref="M3:M4"/>
    <mergeCell ref="N3:N4"/>
  </mergeCells>
  <pageMargins left="0.7" right="0.7" top="0.75" bottom="0.75" header="0.3" footer="0.3"/>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opLeftCell="A16" workbookViewId="0">
      <selection activeCell="I29" sqref="I29"/>
    </sheetView>
  </sheetViews>
  <sheetFormatPr defaultRowHeight="15" x14ac:dyDescent="0.25"/>
  <cols>
    <col min="1" max="1" width="26.42578125" customWidth="1"/>
    <col min="2" max="2" width="10.85546875" customWidth="1"/>
    <col min="3" max="4" width="14.42578125" customWidth="1"/>
    <col min="6" max="6" width="13.85546875" customWidth="1"/>
    <col min="7" max="7" width="10.140625" bestFit="1" customWidth="1"/>
    <col min="8" max="9" width="9.28515625" bestFit="1" customWidth="1"/>
    <col min="10" max="16" width="0" hidden="1" customWidth="1"/>
    <col min="19" max="19" width="21.7109375" customWidth="1"/>
    <col min="23" max="23" width="16.140625" customWidth="1"/>
  </cols>
  <sheetData>
    <row r="1" spans="1:23" ht="15.75" thickBot="1" x14ac:dyDescent="0.3">
      <c r="C1" s="4" t="s">
        <v>140</v>
      </c>
      <c r="D1" s="66"/>
      <c r="J1" s="223"/>
      <c r="K1" s="223"/>
      <c r="L1" s="223"/>
      <c r="M1" s="223"/>
      <c r="N1" s="223"/>
      <c r="O1" s="223"/>
      <c r="P1" s="223"/>
    </row>
    <row r="2" spans="1:23" ht="26.25" x14ac:dyDescent="0.25">
      <c r="A2" s="5" t="s">
        <v>141</v>
      </c>
      <c r="B2" s="6" t="s">
        <v>142</v>
      </c>
      <c r="C2" s="7">
        <v>7056</v>
      </c>
      <c r="D2" s="67"/>
    </row>
    <row r="3" spans="1:23" x14ac:dyDescent="0.25">
      <c r="A3" s="8" t="s">
        <v>143</v>
      </c>
      <c r="B3" s="9" t="s">
        <v>144</v>
      </c>
      <c r="C3" s="10">
        <v>0.7</v>
      </c>
      <c r="D3" s="68"/>
    </row>
    <row r="4" spans="1:23" x14ac:dyDescent="0.25">
      <c r="A4" s="8" t="s">
        <v>145</v>
      </c>
      <c r="B4" s="9" t="s">
        <v>144</v>
      </c>
      <c r="C4" s="10">
        <v>0.1</v>
      </c>
      <c r="D4" s="68"/>
    </row>
    <row r="5" spans="1:23" x14ac:dyDescent="0.25">
      <c r="A5" s="8" t="s">
        <v>146</v>
      </c>
      <c r="B5" s="9" t="s">
        <v>144</v>
      </c>
      <c r="C5" s="12">
        <v>0.14249999999999999</v>
      </c>
      <c r="D5" s="69"/>
    </row>
    <row r="6" spans="1:23" x14ac:dyDescent="0.25">
      <c r="A6" s="8" t="s">
        <v>147</v>
      </c>
      <c r="B6" s="9" t="s">
        <v>148</v>
      </c>
      <c r="C6" s="11">
        <v>164.4</v>
      </c>
      <c r="D6" s="67"/>
    </row>
    <row r="7" spans="1:23" x14ac:dyDescent="0.25">
      <c r="A7" s="8" t="s">
        <v>149</v>
      </c>
      <c r="B7" s="9" t="s">
        <v>144</v>
      </c>
      <c r="C7" s="12">
        <v>0.66500000000000004</v>
      </c>
      <c r="D7" s="69"/>
    </row>
    <row r="8" spans="1:23" x14ac:dyDescent="0.25">
      <c r="A8" s="8" t="s">
        <v>150</v>
      </c>
      <c r="B8" s="9" t="s">
        <v>144</v>
      </c>
      <c r="C8" s="10">
        <v>0.1</v>
      </c>
      <c r="D8" s="68"/>
    </row>
    <row r="9" spans="1:23" ht="15.75" thickBot="1" x14ac:dyDescent="0.3">
      <c r="A9" s="13" t="s">
        <v>400</v>
      </c>
      <c r="B9" s="14" t="s">
        <v>399</v>
      </c>
      <c r="C9" s="65">
        <v>32495</v>
      </c>
      <c r="D9" s="68"/>
    </row>
    <row r="10" spans="1:23" ht="15.75" thickBot="1" x14ac:dyDescent="0.3">
      <c r="B10" s="15"/>
      <c r="C10" s="15"/>
      <c r="D10" s="15"/>
      <c r="E10" s="15"/>
      <c r="F10" s="15"/>
      <c r="G10" s="15"/>
      <c r="H10" s="15"/>
      <c r="I10" s="15"/>
      <c r="S10" s="223"/>
      <c r="T10" s="223"/>
    </row>
    <row r="11" spans="1:23" ht="89.25" x14ac:dyDescent="0.25">
      <c r="A11" s="581" t="s">
        <v>151</v>
      </c>
      <c r="B11" s="579" t="s">
        <v>152</v>
      </c>
      <c r="C11" s="579" t="s">
        <v>153</v>
      </c>
      <c r="D11" s="207" t="s">
        <v>155</v>
      </c>
      <c r="E11" s="579" t="s">
        <v>154</v>
      </c>
      <c r="F11" s="207" t="s">
        <v>156</v>
      </c>
      <c r="G11" s="579" t="s">
        <v>157</v>
      </c>
      <c r="H11" s="579" t="s">
        <v>158</v>
      </c>
      <c r="I11" s="17" t="s">
        <v>159</v>
      </c>
    </row>
    <row r="12" spans="1:23" x14ac:dyDescent="0.25">
      <c r="A12" s="582"/>
      <c r="B12" s="580"/>
      <c r="C12" s="580"/>
      <c r="D12" s="18">
        <f>C4</f>
        <v>0.1</v>
      </c>
      <c r="E12" s="580"/>
      <c r="F12" s="18">
        <f>C3</f>
        <v>0.7</v>
      </c>
      <c r="G12" s="580"/>
      <c r="H12" s="580"/>
      <c r="I12" s="12">
        <f>C5</f>
        <v>0.14249999999999999</v>
      </c>
    </row>
    <row r="13" spans="1:23" x14ac:dyDescent="0.25">
      <c r="A13" s="28">
        <v>1</v>
      </c>
      <c r="B13" s="29">
        <v>2</v>
      </c>
      <c r="C13" s="29">
        <v>3</v>
      </c>
      <c r="D13" s="36">
        <v>4</v>
      </c>
      <c r="E13" s="29">
        <v>5</v>
      </c>
      <c r="F13" s="29">
        <v>6</v>
      </c>
      <c r="G13" s="35">
        <v>7</v>
      </c>
      <c r="H13" s="29">
        <v>8</v>
      </c>
      <c r="I13" s="30">
        <v>9</v>
      </c>
    </row>
    <row r="14" spans="1:23" x14ac:dyDescent="0.25">
      <c r="A14" s="19" t="s">
        <v>312</v>
      </c>
      <c r="B14" s="34">
        <v>1.47</v>
      </c>
      <c r="C14" s="224">
        <v>13890</v>
      </c>
      <c r="D14" s="23">
        <f t="shared" ref="D14:D32" si="0">ROUND(C14*$D$12,2)</f>
        <v>1389</v>
      </c>
      <c r="E14" s="22"/>
      <c r="F14" s="23">
        <f t="shared" ref="F14:F32" si="1">ROUND((C14+E14+D14)*$F$12,2)</f>
        <v>10695.3</v>
      </c>
      <c r="G14" s="23">
        <f t="shared" ref="G14:G32" si="2">SUM(C14:F14)</f>
        <v>25974.3</v>
      </c>
      <c r="H14" s="23">
        <f t="shared" ref="H14:H32" si="3">ROUND(G14/$C$6,2)</f>
        <v>157.99</v>
      </c>
      <c r="I14" s="24">
        <f t="shared" ref="I14:I32" si="4">ROUND(H14*(1+$I$12),2)</f>
        <v>180.5</v>
      </c>
      <c r="S14" t="s">
        <v>312</v>
      </c>
      <c r="T14">
        <v>166.34</v>
      </c>
      <c r="W14" s="225">
        <v>13617</v>
      </c>
    </row>
    <row r="15" spans="1:23" x14ac:dyDescent="0.25">
      <c r="A15" s="19" t="s">
        <v>321</v>
      </c>
      <c r="B15" s="34">
        <v>1.26</v>
      </c>
      <c r="C15" s="224">
        <v>13890</v>
      </c>
      <c r="D15" s="23">
        <f t="shared" si="0"/>
        <v>1389</v>
      </c>
      <c r="E15" s="23">
        <f>ROUND(C15*25%,2)</f>
        <v>3472.5</v>
      </c>
      <c r="F15" s="23">
        <f t="shared" si="1"/>
        <v>13126.05</v>
      </c>
      <c r="G15" s="23">
        <f t="shared" si="2"/>
        <v>31877.55</v>
      </c>
      <c r="H15" s="23">
        <f t="shared" si="3"/>
        <v>193.9</v>
      </c>
      <c r="I15" s="24">
        <f t="shared" si="4"/>
        <v>221.53</v>
      </c>
      <c r="S15" t="s">
        <v>321</v>
      </c>
      <c r="T15">
        <v>204.14</v>
      </c>
      <c r="W15" s="225">
        <v>13617</v>
      </c>
    </row>
    <row r="16" spans="1:23" x14ac:dyDescent="0.25">
      <c r="A16" s="19" t="s">
        <v>318</v>
      </c>
      <c r="B16" s="34">
        <v>1.44</v>
      </c>
      <c r="C16" s="224">
        <v>13890</v>
      </c>
      <c r="D16" s="23">
        <f t="shared" si="0"/>
        <v>1389</v>
      </c>
      <c r="E16" s="23">
        <f>ROUND(C16*25%,2)</f>
        <v>3472.5</v>
      </c>
      <c r="F16" s="23">
        <f t="shared" si="1"/>
        <v>13126.05</v>
      </c>
      <c r="G16" s="23">
        <f t="shared" si="2"/>
        <v>31877.55</v>
      </c>
      <c r="H16" s="23">
        <f t="shared" si="3"/>
        <v>193.9</v>
      </c>
      <c r="I16" s="24">
        <f t="shared" si="4"/>
        <v>221.53</v>
      </c>
      <c r="S16" t="s">
        <v>318</v>
      </c>
      <c r="T16">
        <v>204.14</v>
      </c>
      <c r="W16" s="225">
        <v>13617</v>
      </c>
    </row>
    <row r="17" spans="1:23" x14ac:dyDescent="0.25">
      <c r="A17" s="19" t="s">
        <v>349</v>
      </c>
      <c r="B17" s="21">
        <f>ROUND(9559/6638,2)</f>
        <v>1.44</v>
      </c>
      <c r="C17" s="224">
        <v>13890</v>
      </c>
      <c r="D17" s="23">
        <f t="shared" si="0"/>
        <v>1389</v>
      </c>
      <c r="E17" s="23">
        <f>ROUND(C17*(25%+4%),2)</f>
        <v>4028.1</v>
      </c>
      <c r="F17" s="23">
        <f t="shared" si="1"/>
        <v>13514.97</v>
      </c>
      <c r="G17" s="23">
        <f t="shared" si="2"/>
        <v>32822.07</v>
      </c>
      <c r="H17" s="23">
        <f t="shared" si="3"/>
        <v>199.65</v>
      </c>
      <c r="I17" s="24">
        <f t="shared" si="4"/>
        <v>228.1</v>
      </c>
      <c r="S17" t="s">
        <v>349</v>
      </c>
      <c r="T17">
        <v>210.2</v>
      </c>
      <c r="W17" s="225">
        <v>13617</v>
      </c>
    </row>
    <row r="18" spans="1:23" x14ac:dyDescent="0.25">
      <c r="A18" s="19" t="s">
        <v>320</v>
      </c>
      <c r="B18" s="34">
        <v>1.26</v>
      </c>
      <c r="C18" s="224">
        <v>13890</v>
      </c>
      <c r="D18" s="23">
        <f t="shared" si="0"/>
        <v>1389</v>
      </c>
      <c r="E18" s="23">
        <f>ROUND(C18*25%,2)</f>
        <v>3472.5</v>
      </c>
      <c r="F18" s="23">
        <f t="shared" si="1"/>
        <v>13126.05</v>
      </c>
      <c r="G18" s="23">
        <f t="shared" si="2"/>
        <v>31877.55</v>
      </c>
      <c r="H18" s="23">
        <f t="shared" si="3"/>
        <v>193.9</v>
      </c>
      <c r="I18" s="24">
        <f t="shared" si="4"/>
        <v>221.53</v>
      </c>
      <c r="S18" t="s">
        <v>320</v>
      </c>
      <c r="T18">
        <v>204.14</v>
      </c>
      <c r="W18" s="225">
        <v>13617</v>
      </c>
    </row>
    <row r="19" spans="1:23" x14ac:dyDescent="0.25">
      <c r="A19" s="19" t="s">
        <v>319</v>
      </c>
      <c r="B19" s="34">
        <v>1.44</v>
      </c>
      <c r="C19" s="224">
        <v>13890</v>
      </c>
      <c r="D19" s="23">
        <f t="shared" si="0"/>
        <v>1389</v>
      </c>
      <c r="E19" s="23">
        <f>ROUND(C19*25%,2)</f>
        <v>3472.5</v>
      </c>
      <c r="F19" s="23">
        <f t="shared" si="1"/>
        <v>13126.05</v>
      </c>
      <c r="G19" s="23">
        <f t="shared" si="2"/>
        <v>31877.55</v>
      </c>
      <c r="H19" s="23">
        <f t="shared" si="3"/>
        <v>193.9</v>
      </c>
      <c r="I19" s="24">
        <f t="shared" si="4"/>
        <v>221.53</v>
      </c>
      <c r="S19" t="s">
        <v>319</v>
      </c>
      <c r="T19">
        <v>204.14</v>
      </c>
      <c r="W19" s="225">
        <v>13617</v>
      </c>
    </row>
    <row r="20" spans="1:23" x14ac:dyDescent="0.25">
      <c r="A20" s="19" t="s">
        <v>163</v>
      </c>
      <c r="B20" s="21">
        <f>ROUND(13143/6638,2)</f>
        <v>1.98</v>
      </c>
      <c r="C20" s="224">
        <v>17357</v>
      </c>
      <c r="D20" s="23">
        <f t="shared" si="0"/>
        <v>1735.7</v>
      </c>
      <c r="E20" s="22"/>
      <c r="F20" s="23">
        <f t="shared" si="1"/>
        <v>13364.89</v>
      </c>
      <c r="G20" s="23">
        <f t="shared" si="2"/>
        <v>32457.59</v>
      </c>
      <c r="H20" s="23">
        <f t="shared" si="3"/>
        <v>197.43</v>
      </c>
      <c r="I20" s="24">
        <f t="shared" si="4"/>
        <v>225.56</v>
      </c>
      <c r="J20" t="s">
        <v>592</v>
      </c>
      <c r="S20" t="s">
        <v>163</v>
      </c>
      <c r="T20">
        <v>225.7</v>
      </c>
      <c r="W20" s="225">
        <v>17357</v>
      </c>
    </row>
    <row r="21" spans="1:23" x14ac:dyDescent="0.25">
      <c r="A21" s="145" t="s">
        <v>587</v>
      </c>
      <c r="B21" s="21">
        <v>1.66</v>
      </c>
      <c r="C21" s="23">
        <v>11713</v>
      </c>
      <c r="D21" s="23">
        <f t="shared" si="0"/>
        <v>1171.3</v>
      </c>
      <c r="E21" s="22"/>
      <c r="F21" s="23">
        <f t="shared" si="1"/>
        <v>9019.01</v>
      </c>
      <c r="G21" s="23">
        <f t="shared" si="2"/>
        <v>21903.309999999998</v>
      </c>
      <c r="H21" s="23">
        <f t="shared" si="3"/>
        <v>133.22999999999999</v>
      </c>
      <c r="I21" s="24">
        <f t="shared" si="4"/>
        <v>152.22</v>
      </c>
      <c r="S21" t="s">
        <v>587</v>
      </c>
      <c r="T21">
        <v>152.31</v>
      </c>
      <c r="W21" s="225">
        <v>11713</v>
      </c>
    </row>
    <row r="22" spans="1:23" x14ac:dyDescent="0.25">
      <c r="A22" s="19" t="s">
        <v>29</v>
      </c>
      <c r="B22" s="21">
        <f>ROUND(10600/6638,2)</f>
        <v>1.6</v>
      </c>
      <c r="C22" s="224">
        <v>13890</v>
      </c>
      <c r="D22" s="23">
        <f t="shared" si="0"/>
        <v>1389</v>
      </c>
      <c r="E22" s="32"/>
      <c r="F22" s="23">
        <f t="shared" si="1"/>
        <v>10695.3</v>
      </c>
      <c r="G22" s="23">
        <f t="shared" si="2"/>
        <v>25974.3</v>
      </c>
      <c r="H22" s="23">
        <f t="shared" si="3"/>
        <v>157.99</v>
      </c>
      <c r="I22" s="24">
        <f t="shared" si="4"/>
        <v>180.5</v>
      </c>
      <c r="S22" t="s">
        <v>29</v>
      </c>
      <c r="T22">
        <v>166.34</v>
      </c>
      <c r="W22" s="225">
        <v>13617</v>
      </c>
    </row>
    <row r="23" spans="1:23" x14ac:dyDescent="0.25">
      <c r="A23" s="19" t="s">
        <v>363</v>
      </c>
      <c r="B23" s="49">
        <v>1</v>
      </c>
      <c r="C23" s="224">
        <v>13890</v>
      </c>
      <c r="D23" s="23">
        <f t="shared" si="0"/>
        <v>1389</v>
      </c>
      <c r="E23" s="32"/>
      <c r="F23" s="23">
        <f t="shared" si="1"/>
        <v>10695.3</v>
      </c>
      <c r="G23" s="23">
        <f t="shared" si="2"/>
        <v>25974.3</v>
      </c>
      <c r="H23" s="23">
        <f t="shared" si="3"/>
        <v>157.99</v>
      </c>
      <c r="I23" s="24">
        <f t="shared" si="4"/>
        <v>180.5</v>
      </c>
      <c r="S23" t="s">
        <v>363</v>
      </c>
      <c r="T23">
        <v>166.34</v>
      </c>
      <c r="W23" s="225">
        <v>13617</v>
      </c>
    </row>
    <row r="24" spans="1:23" x14ac:dyDescent="0.25">
      <c r="A24" s="19" t="s">
        <v>315</v>
      </c>
      <c r="B24" s="31">
        <v>1.2</v>
      </c>
      <c r="C24" s="224">
        <v>13890</v>
      </c>
      <c r="D24" s="23">
        <f t="shared" si="0"/>
        <v>1389</v>
      </c>
      <c r="E24" s="32"/>
      <c r="F24" s="23">
        <f t="shared" si="1"/>
        <v>10695.3</v>
      </c>
      <c r="G24" s="23">
        <f t="shared" si="2"/>
        <v>25974.3</v>
      </c>
      <c r="H24" s="23">
        <f t="shared" si="3"/>
        <v>157.99</v>
      </c>
      <c r="I24" s="24">
        <f t="shared" si="4"/>
        <v>180.5</v>
      </c>
      <c r="S24" t="s">
        <v>315</v>
      </c>
      <c r="T24">
        <v>166.34</v>
      </c>
      <c r="W24" s="225">
        <v>13617</v>
      </c>
    </row>
    <row r="25" spans="1:23" x14ac:dyDescent="0.25">
      <c r="A25" s="19" t="s">
        <v>168</v>
      </c>
      <c r="B25" s="33">
        <f>ROUND(($B$29+$B$28)/2,2)</f>
        <v>1.3</v>
      </c>
      <c r="C25" s="224">
        <v>13890</v>
      </c>
      <c r="D25" s="23">
        <f t="shared" si="0"/>
        <v>1389</v>
      </c>
      <c r="E25" s="32"/>
      <c r="F25" s="23">
        <f t="shared" si="1"/>
        <v>10695.3</v>
      </c>
      <c r="G25" s="23">
        <f t="shared" si="2"/>
        <v>25974.3</v>
      </c>
      <c r="H25" s="23">
        <f t="shared" si="3"/>
        <v>157.99</v>
      </c>
      <c r="I25" s="24">
        <f t="shared" si="4"/>
        <v>180.5</v>
      </c>
      <c r="S25" t="s">
        <v>168</v>
      </c>
      <c r="T25">
        <v>166.34</v>
      </c>
      <c r="W25" s="225">
        <v>13617</v>
      </c>
    </row>
    <row r="26" spans="1:23" x14ac:dyDescent="0.25">
      <c r="A26" s="19" t="s">
        <v>350</v>
      </c>
      <c r="B26" s="21">
        <f>ROUND(8746/6638,2)</f>
        <v>1.32</v>
      </c>
      <c r="C26" s="224">
        <v>13890</v>
      </c>
      <c r="D26" s="23">
        <f t="shared" si="0"/>
        <v>1389</v>
      </c>
      <c r="E26" s="23"/>
      <c r="F26" s="23">
        <f t="shared" si="1"/>
        <v>10695.3</v>
      </c>
      <c r="G26" s="23">
        <f t="shared" si="2"/>
        <v>25974.3</v>
      </c>
      <c r="H26" s="23">
        <f t="shared" si="3"/>
        <v>157.99</v>
      </c>
      <c r="I26" s="24">
        <f t="shared" si="4"/>
        <v>180.5</v>
      </c>
      <c r="K26" s="47" t="s">
        <v>360</v>
      </c>
      <c r="S26" t="s">
        <v>350</v>
      </c>
      <c r="T26">
        <v>172.39</v>
      </c>
      <c r="W26" s="225">
        <v>13617</v>
      </c>
    </row>
    <row r="27" spans="1:23" x14ac:dyDescent="0.25">
      <c r="A27" s="19" t="s">
        <v>160</v>
      </c>
      <c r="B27" s="21">
        <v>1.1000000000000001</v>
      </c>
      <c r="C27" s="224">
        <v>13890</v>
      </c>
      <c r="D27" s="23">
        <f t="shared" si="0"/>
        <v>1389</v>
      </c>
      <c r="E27" s="32"/>
      <c r="F27" s="23">
        <f t="shared" si="1"/>
        <v>10695.3</v>
      </c>
      <c r="G27" s="23">
        <f t="shared" si="2"/>
        <v>25974.3</v>
      </c>
      <c r="H27" s="23">
        <f t="shared" si="3"/>
        <v>157.99</v>
      </c>
      <c r="I27" s="24">
        <f t="shared" si="4"/>
        <v>180.5</v>
      </c>
      <c r="S27" t="s">
        <v>160</v>
      </c>
      <c r="T27">
        <v>166.34</v>
      </c>
      <c r="W27" s="225">
        <v>13617</v>
      </c>
    </row>
    <row r="28" spans="1:23" x14ac:dyDescent="0.25">
      <c r="A28" s="19" t="s">
        <v>161</v>
      </c>
      <c r="B28" s="31">
        <v>1.22</v>
      </c>
      <c r="C28" s="224">
        <v>13890</v>
      </c>
      <c r="D28" s="23">
        <f t="shared" si="0"/>
        <v>1389</v>
      </c>
      <c r="E28" s="32"/>
      <c r="F28" s="23">
        <f t="shared" si="1"/>
        <v>10695.3</v>
      </c>
      <c r="G28" s="23">
        <f t="shared" si="2"/>
        <v>25974.3</v>
      </c>
      <c r="H28" s="23">
        <f t="shared" si="3"/>
        <v>157.99</v>
      </c>
      <c r="I28" s="24">
        <f t="shared" si="4"/>
        <v>180.5</v>
      </c>
      <c r="S28" t="s">
        <v>161</v>
      </c>
      <c r="T28">
        <v>166.34</v>
      </c>
      <c r="W28" s="225">
        <v>13617</v>
      </c>
    </row>
    <row r="29" spans="1:23" x14ac:dyDescent="0.25">
      <c r="A29" s="19" t="s">
        <v>162</v>
      </c>
      <c r="B29" s="31">
        <v>1.38</v>
      </c>
      <c r="C29" s="224">
        <v>13890</v>
      </c>
      <c r="D29" s="23">
        <f t="shared" si="0"/>
        <v>1389</v>
      </c>
      <c r="E29" s="32"/>
      <c r="F29" s="23">
        <f t="shared" si="1"/>
        <v>10695.3</v>
      </c>
      <c r="G29" s="23">
        <f t="shared" si="2"/>
        <v>25974.3</v>
      </c>
      <c r="H29" s="23">
        <f t="shared" si="3"/>
        <v>157.99</v>
      </c>
      <c r="I29" s="24">
        <f t="shared" si="4"/>
        <v>180.5</v>
      </c>
      <c r="S29" t="s">
        <v>162</v>
      </c>
      <c r="T29">
        <v>166.34</v>
      </c>
      <c r="W29" s="225">
        <v>13617</v>
      </c>
    </row>
    <row r="30" spans="1:23" x14ac:dyDescent="0.25">
      <c r="A30" s="19" t="s">
        <v>283</v>
      </c>
      <c r="B30" s="33">
        <v>1.56</v>
      </c>
      <c r="C30" s="224">
        <v>13890</v>
      </c>
      <c r="D30" s="23">
        <f t="shared" si="0"/>
        <v>1389</v>
      </c>
      <c r="E30" s="32"/>
      <c r="F30" s="23">
        <f t="shared" si="1"/>
        <v>10695.3</v>
      </c>
      <c r="G30" s="23">
        <f t="shared" si="2"/>
        <v>25974.3</v>
      </c>
      <c r="H30" s="23">
        <f t="shared" si="3"/>
        <v>157.99</v>
      </c>
      <c r="I30" s="24">
        <f t="shared" si="4"/>
        <v>180.5</v>
      </c>
      <c r="S30" t="s">
        <v>283</v>
      </c>
      <c r="T30">
        <v>166.34</v>
      </c>
      <c r="W30" s="225">
        <v>13617</v>
      </c>
    </row>
    <row r="31" spans="1:23" x14ac:dyDescent="0.25">
      <c r="A31" s="19" t="s">
        <v>294</v>
      </c>
      <c r="B31" s="31">
        <f>ROUND(13530/6638,2)</f>
        <v>2.04</v>
      </c>
      <c r="C31" s="224">
        <v>14394</v>
      </c>
      <c r="D31" s="23">
        <f>ROUND(C31*$D$12,2)</f>
        <v>1439.4</v>
      </c>
      <c r="E31" s="32"/>
      <c r="F31" s="23">
        <f>ROUND((C31+E31+D31)*65%,2)</f>
        <v>10291.709999999999</v>
      </c>
      <c r="G31" s="23">
        <f>SUM(C31:F31)</f>
        <v>26125.11</v>
      </c>
      <c r="H31" s="23">
        <f>ROUND(G31/$C$6,2)</f>
        <v>158.91</v>
      </c>
      <c r="I31" s="24">
        <f>ROUND(H31*(1+$I$12),2)</f>
        <v>181.55</v>
      </c>
      <c r="J31" t="s">
        <v>415</v>
      </c>
      <c r="S31" t="s">
        <v>294</v>
      </c>
      <c r="T31">
        <v>181.67</v>
      </c>
      <c r="W31" s="225">
        <v>14394</v>
      </c>
    </row>
    <row r="32" spans="1:23" ht="15.75" thickBot="1" x14ac:dyDescent="0.3">
      <c r="A32" s="20" t="s">
        <v>166</v>
      </c>
      <c r="B32" s="25">
        <f>ROUND(12526/6638,2)</f>
        <v>1.89</v>
      </c>
      <c r="C32" s="226">
        <v>13890</v>
      </c>
      <c r="D32" s="26">
        <f t="shared" si="0"/>
        <v>1389</v>
      </c>
      <c r="E32" s="26">
        <f>ROUND(C32*8%,2)</f>
        <v>1111.2</v>
      </c>
      <c r="F32" s="26">
        <f t="shared" si="1"/>
        <v>11473.14</v>
      </c>
      <c r="G32" s="26">
        <f t="shared" si="2"/>
        <v>27863.34</v>
      </c>
      <c r="H32" s="26">
        <f t="shared" si="3"/>
        <v>169.49</v>
      </c>
      <c r="I32" s="27">
        <f t="shared" si="4"/>
        <v>193.64</v>
      </c>
      <c r="J32" t="s">
        <v>593</v>
      </c>
      <c r="S32" t="s">
        <v>166</v>
      </c>
      <c r="T32">
        <v>193.19</v>
      </c>
      <c r="W32" s="225">
        <v>13849</v>
      </c>
    </row>
    <row r="35" spans="2:9" x14ac:dyDescent="0.25">
      <c r="B35" s="140">
        <f>SUM(B14:B32)</f>
        <v>27.559999999999995</v>
      </c>
      <c r="C35" s="140">
        <f>SUM(C14:C32)</f>
        <v>265704</v>
      </c>
      <c r="D35" s="140">
        <f t="shared" ref="D35:I35" si="5">SUM(D14:D32)</f>
        <v>26570.400000000001</v>
      </c>
      <c r="E35" s="140">
        <f t="shared" si="5"/>
        <v>19029.3</v>
      </c>
      <c r="F35" s="140">
        <f t="shared" si="5"/>
        <v>217120.91999999993</v>
      </c>
      <c r="G35" s="140">
        <f t="shared" si="5"/>
        <v>528424.61999999988</v>
      </c>
      <c r="H35" s="140">
        <f t="shared" si="5"/>
        <v>3214.2099999999991</v>
      </c>
      <c r="I35" s="140">
        <f t="shared" si="5"/>
        <v>3672.19</v>
      </c>
    </row>
  </sheetData>
  <mergeCells count="6">
    <mergeCell ref="H11:H12"/>
    <mergeCell ref="A11:A12"/>
    <mergeCell ref="B11:B12"/>
    <mergeCell ref="C11:C12"/>
    <mergeCell ref="E11:E12"/>
    <mergeCell ref="G11:G12"/>
  </mergeCells>
  <pageMargins left="0.7" right="0.7" top="0.75" bottom="0.75" header="0.3" footer="0.3"/>
  <pageSetup paperSize="9" orientation="portrait" horizontalDpi="180" verticalDpi="18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84"/>
  <sheetViews>
    <sheetView view="pageBreakPreview" topLeftCell="A91" zoomScale="90" zoomScaleSheetLayoutView="90" workbookViewId="0">
      <selection activeCell="D105" sqref="D105"/>
    </sheetView>
  </sheetViews>
  <sheetFormatPr defaultRowHeight="18.75" outlineLevelRow="1" outlineLevelCol="1" x14ac:dyDescent="0.3"/>
  <cols>
    <col min="1" max="1" width="8.42578125" style="47" customWidth="1"/>
    <col min="2" max="2" width="8.7109375" customWidth="1"/>
    <col min="3" max="3" width="37.5703125" style="45" customWidth="1"/>
    <col min="4" max="4" width="11.28515625" customWidth="1"/>
    <col min="5" max="5" width="12.28515625" customWidth="1"/>
    <col min="6" max="6" width="9.140625" customWidth="1" outlineLevel="1"/>
    <col min="7" max="7" width="9.7109375" customWidth="1" outlineLevel="1"/>
    <col min="8" max="9" width="9.140625" customWidth="1" outlineLevel="1"/>
    <col min="10" max="10" width="10.5703125" customWidth="1" outlineLevel="1"/>
    <col min="11" max="11" width="15.7109375" style="45" customWidth="1" outlineLevel="1"/>
    <col min="12" max="13" width="9.140625" style="37" customWidth="1" outlineLevel="1"/>
    <col min="14" max="14" width="11" style="37" customWidth="1" outlineLevel="1"/>
    <col min="15" max="15" width="10.140625" style="37" customWidth="1" outlineLevel="1"/>
    <col min="16" max="16" width="9.140625" customWidth="1" outlineLevel="1"/>
    <col min="17" max="17" width="10" customWidth="1" outlineLevel="1"/>
    <col min="18" max="18" width="10.28515625" style="140" customWidth="1"/>
    <col min="19" max="19" width="11.28515625" style="432" customWidth="1"/>
    <col min="20" max="20" width="9.85546875" style="432" bestFit="1" customWidth="1"/>
    <col min="21" max="21" width="9.140625" style="223" hidden="1" customWidth="1"/>
    <col min="22" max="22" width="0" style="223" hidden="1" customWidth="1"/>
    <col min="23" max="23" width="9.85546875" style="56" bestFit="1" customWidth="1"/>
    <col min="24" max="24" width="9.140625" style="56"/>
    <col min="25" max="25" width="9.140625" style="231" hidden="1" customWidth="1"/>
    <col min="26" max="26" width="9.140625" style="232"/>
    <col min="27" max="27" width="10.7109375" style="233" customWidth="1"/>
    <col min="28" max="28" width="11.28515625" style="56" customWidth="1"/>
    <col min="29" max="29" width="10.7109375" style="234" bestFit="1" customWidth="1"/>
    <col min="30" max="30" width="13.42578125" style="235" customWidth="1"/>
    <col min="31" max="31" width="19.85546875" style="278" customWidth="1"/>
    <col min="32" max="32" width="2.5703125" style="235" hidden="1" customWidth="1"/>
    <col min="33" max="33" width="12.7109375" style="403" customWidth="1"/>
    <col min="34" max="34" width="12.7109375" style="235" customWidth="1"/>
    <col min="35" max="35" width="15" style="236" customWidth="1"/>
    <col min="36" max="38" width="12.7109375" customWidth="1"/>
    <col min="39" max="40" width="9.140625" style="37" hidden="1" customWidth="1"/>
    <col min="41" max="42" width="0" hidden="1" customWidth="1"/>
    <col min="43" max="44" width="0" style="37" hidden="1" customWidth="1"/>
    <col min="45" max="45" width="11.85546875" style="37" hidden="1" customWidth="1"/>
    <col min="46" max="46" width="9.42578125" style="37" hidden="1" customWidth="1"/>
    <col min="47" max="47" width="0" style="37" hidden="1" customWidth="1"/>
    <col min="48" max="48" width="0" hidden="1" customWidth="1"/>
    <col min="49" max="49" width="12.140625" style="404" hidden="1" customWidth="1"/>
    <col min="50" max="50" width="13.42578125" style="77" hidden="1" customWidth="1"/>
    <col min="51" max="51" width="16" style="127" hidden="1" customWidth="1"/>
    <col min="52" max="55" width="0" hidden="1" customWidth="1"/>
  </cols>
  <sheetData>
    <row r="1" spans="1:55" ht="68.25" customHeight="1" x14ac:dyDescent="0.3">
      <c r="A1" s="227"/>
      <c r="B1" s="228"/>
      <c r="C1" s="229"/>
      <c r="D1" s="228"/>
      <c r="E1" s="228"/>
      <c r="F1" s="228"/>
      <c r="G1" s="228"/>
      <c r="H1" s="228"/>
      <c r="I1" s="228"/>
      <c r="J1" s="228"/>
      <c r="K1" s="229"/>
      <c r="L1" s="230"/>
      <c r="M1" s="230"/>
      <c r="N1" s="230"/>
      <c r="O1" s="230"/>
      <c r="P1" s="622" t="s">
        <v>594</v>
      </c>
      <c r="Q1" s="622"/>
      <c r="R1" s="622"/>
      <c r="S1" s="622"/>
      <c r="T1" s="622"/>
      <c r="AD1" s="623" t="s">
        <v>595</v>
      </c>
      <c r="AE1" s="626" t="s">
        <v>596</v>
      </c>
      <c r="AG1" s="629" t="s">
        <v>597</v>
      </c>
      <c r="AH1" s="623" t="s">
        <v>598</v>
      </c>
      <c r="AM1" s="237"/>
      <c r="AN1" s="237"/>
      <c r="AO1" s="223"/>
      <c r="AP1" s="223"/>
      <c r="AQ1" s="237"/>
      <c r="AR1" s="237"/>
      <c r="AS1" s="237"/>
      <c r="AT1" s="237"/>
      <c r="AU1" s="237"/>
      <c r="AW1" s="632" t="s">
        <v>599</v>
      </c>
    </row>
    <row r="2" spans="1:55" ht="38.25" customHeight="1" x14ac:dyDescent="0.3">
      <c r="A2" s="633" t="s">
        <v>600</v>
      </c>
      <c r="B2" s="634"/>
      <c r="C2" s="634"/>
      <c r="D2" s="634"/>
      <c r="E2" s="634"/>
      <c r="F2" s="634"/>
      <c r="G2" s="634"/>
      <c r="H2" s="634"/>
      <c r="I2" s="634"/>
      <c r="J2" s="634"/>
      <c r="K2" s="634"/>
      <c r="L2" s="634"/>
      <c r="M2" s="634"/>
      <c r="N2" s="634"/>
      <c r="O2" s="634"/>
      <c r="P2" s="634"/>
      <c r="Q2" s="634"/>
      <c r="R2" s="634"/>
      <c r="S2" s="634"/>
      <c r="T2" s="634"/>
      <c r="Z2" s="802" t="s">
        <v>601</v>
      </c>
      <c r="AD2" s="624"/>
      <c r="AE2" s="627"/>
      <c r="AG2" s="630"/>
      <c r="AH2" s="624"/>
      <c r="AI2" s="805" t="s">
        <v>602</v>
      </c>
      <c r="AJ2" s="808" t="s">
        <v>603</v>
      </c>
      <c r="AK2" s="635"/>
      <c r="AM2" s="237"/>
      <c r="AN2" s="237"/>
      <c r="AO2" s="636"/>
      <c r="AP2" s="223"/>
      <c r="AQ2" s="237"/>
      <c r="AR2" s="237"/>
      <c r="AS2" s="638"/>
      <c r="AT2" s="640" t="s">
        <v>604</v>
      </c>
      <c r="AU2" s="237"/>
      <c r="AW2" s="632"/>
      <c r="AX2" s="643" t="s">
        <v>605</v>
      </c>
    </row>
    <row r="3" spans="1:55" ht="12" customHeight="1" x14ac:dyDescent="0.3">
      <c r="A3" s="227"/>
      <c r="B3" s="228"/>
      <c r="C3" s="229"/>
      <c r="D3" s="228"/>
      <c r="E3" s="228"/>
      <c r="F3" s="228"/>
      <c r="G3" s="228"/>
      <c r="H3" s="228"/>
      <c r="I3" s="228"/>
      <c r="J3" s="228"/>
      <c r="K3" s="229"/>
      <c r="L3" s="230"/>
      <c r="M3" s="230"/>
      <c r="N3" s="230"/>
      <c r="O3" s="230"/>
      <c r="P3" s="228"/>
      <c r="Q3" s="228"/>
      <c r="R3" s="238"/>
      <c r="S3" s="238"/>
      <c r="T3" s="238"/>
      <c r="Z3" s="803"/>
      <c r="AD3" s="624"/>
      <c r="AE3" s="627"/>
      <c r="AG3" s="630"/>
      <c r="AH3" s="624"/>
      <c r="AI3" s="806"/>
      <c r="AJ3" s="809"/>
      <c r="AK3" s="635"/>
      <c r="AM3" s="237"/>
      <c r="AN3" s="237"/>
      <c r="AO3" s="636"/>
      <c r="AP3" s="223"/>
      <c r="AQ3" s="237"/>
      <c r="AR3" s="237"/>
      <c r="AS3" s="638"/>
      <c r="AT3" s="641"/>
      <c r="AU3" s="237"/>
      <c r="AW3" s="632"/>
      <c r="AX3" s="644"/>
    </row>
    <row r="4" spans="1:55" s="82" customFormat="1" ht="39.75" customHeight="1" x14ac:dyDescent="0.3">
      <c r="A4" s="646" t="s">
        <v>0</v>
      </c>
      <c r="B4" s="648" t="s">
        <v>1</v>
      </c>
      <c r="C4" s="649" t="s">
        <v>2</v>
      </c>
      <c r="D4" s="649" t="s">
        <v>3</v>
      </c>
      <c r="E4" s="649" t="s">
        <v>4</v>
      </c>
      <c r="F4" s="649" t="s">
        <v>5</v>
      </c>
      <c r="G4" s="649" t="s">
        <v>6</v>
      </c>
      <c r="H4" s="649" t="s">
        <v>7</v>
      </c>
      <c r="I4" s="239" t="s">
        <v>589</v>
      </c>
      <c r="J4" s="648" t="s">
        <v>19</v>
      </c>
      <c r="K4" s="648" t="s">
        <v>9</v>
      </c>
      <c r="L4" s="648" t="s">
        <v>10</v>
      </c>
      <c r="M4" s="648" t="s">
        <v>11</v>
      </c>
      <c r="N4" s="648" t="s">
        <v>12</v>
      </c>
      <c r="O4" s="648" t="s">
        <v>13</v>
      </c>
      <c r="P4" s="648" t="s">
        <v>17</v>
      </c>
      <c r="Q4" s="240" t="s">
        <v>14</v>
      </c>
      <c r="R4" s="241" t="s">
        <v>16</v>
      </c>
      <c r="S4" s="241" t="s">
        <v>20</v>
      </c>
      <c r="T4" s="663" t="s">
        <v>15</v>
      </c>
      <c r="U4" s="654" t="s">
        <v>606</v>
      </c>
      <c r="V4" s="654" t="s">
        <v>322</v>
      </c>
      <c r="W4" s="656" t="s">
        <v>607</v>
      </c>
      <c r="X4" s="659" t="s">
        <v>608</v>
      </c>
      <c r="Y4" s="231"/>
      <c r="Z4" s="803"/>
      <c r="AA4" s="233"/>
      <c r="AB4" s="56"/>
      <c r="AC4" s="811" t="s">
        <v>609</v>
      </c>
      <c r="AD4" s="624"/>
      <c r="AE4" s="627"/>
      <c r="AF4" s="235"/>
      <c r="AG4" s="630"/>
      <c r="AH4" s="624"/>
      <c r="AI4" s="806"/>
      <c r="AJ4" s="809"/>
      <c r="AK4" s="635"/>
      <c r="AM4" s="242"/>
      <c r="AN4" s="242"/>
      <c r="AO4" s="636"/>
      <c r="AP4" s="243"/>
      <c r="AQ4" s="242"/>
      <c r="AR4" s="242"/>
      <c r="AS4" s="638"/>
      <c r="AT4" s="641"/>
      <c r="AU4" s="242"/>
      <c r="AW4" s="632"/>
      <c r="AX4" s="644"/>
      <c r="AY4" s="127"/>
    </row>
    <row r="5" spans="1:55" s="82" customFormat="1" ht="13.7" customHeight="1" x14ac:dyDescent="0.3">
      <c r="A5" s="647"/>
      <c r="B5" s="617"/>
      <c r="C5" s="649"/>
      <c r="D5" s="619"/>
      <c r="E5" s="619"/>
      <c r="F5" s="619"/>
      <c r="G5" s="619"/>
      <c r="H5" s="619"/>
      <c r="I5" s="244">
        <f>'[1]Исходные данные'!$C$6</f>
        <v>0.30199999999999999</v>
      </c>
      <c r="J5" s="662"/>
      <c r="K5" s="662"/>
      <c r="L5" s="662"/>
      <c r="M5" s="662"/>
      <c r="N5" s="662"/>
      <c r="O5" s="662"/>
      <c r="P5" s="662"/>
      <c r="Q5" s="245">
        <f>'[6]условия, ФОТ'!$C$7</f>
        <v>0.66500000000000004</v>
      </c>
      <c r="R5" s="246">
        <v>0.13500000000000001</v>
      </c>
      <c r="S5" s="246">
        <v>0.2</v>
      </c>
      <c r="T5" s="664"/>
      <c r="U5" s="655"/>
      <c r="V5" s="655"/>
      <c r="W5" s="657"/>
      <c r="X5" s="659"/>
      <c r="Y5" s="231"/>
      <c r="Z5" s="803"/>
      <c r="AA5" s="233"/>
      <c r="AB5" s="56"/>
      <c r="AC5" s="812"/>
      <c r="AD5" s="624"/>
      <c r="AE5" s="627"/>
      <c r="AF5" s="235"/>
      <c r="AG5" s="630"/>
      <c r="AH5" s="624"/>
      <c r="AI5" s="806"/>
      <c r="AJ5" s="809"/>
      <c r="AK5" s="635"/>
      <c r="AM5" s="242"/>
      <c r="AN5" s="242"/>
      <c r="AO5" s="636"/>
      <c r="AP5" s="243"/>
      <c r="AQ5" s="242"/>
      <c r="AR5" s="242"/>
      <c r="AS5" s="638"/>
      <c r="AT5" s="641"/>
      <c r="AU5" s="242"/>
      <c r="AW5" s="632"/>
      <c r="AX5" s="644"/>
      <c r="AY5" s="127"/>
    </row>
    <row r="6" spans="1:55" s="256" customFormat="1" ht="11.25" customHeight="1" x14ac:dyDescent="0.3">
      <c r="A6" s="247">
        <v>1</v>
      </c>
      <c r="B6" s="248">
        <v>2</v>
      </c>
      <c r="C6" s="249">
        <v>3</v>
      </c>
      <c r="D6" s="248">
        <v>4</v>
      </c>
      <c r="E6" s="248">
        <v>5</v>
      </c>
      <c r="F6" s="248">
        <v>6</v>
      </c>
      <c r="G6" s="248">
        <v>7</v>
      </c>
      <c r="H6" s="248">
        <v>8</v>
      </c>
      <c r="I6" s="248">
        <v>9</v>
      </c>
      <c r="J6" s="248">
        <v>10</v>
      </c>
      <c r="K6" s="249">
        <v>11</v>
      </c>
      <c r="L6" s="249">
        <v>12</v>
      </c>
      <c r="M6" s="249">
        <v>13</v>
      </c>
      <c r="N6" s="249">
        <v>14</v>
      </c>
      <c r="O6" s="249">
        <v>15</v>
      </c>
      <c r="P6" s="248">
        <v>16</v>
      </c>
      <c r="Q6" s="248">
        <v>17</v>
      </c>
      <c r="R6" s="250">
        <v>18</v>
      </c>
      <c r="S6" s="250">
        <v>19</v>
      </c>
      <c r="T6" s="250">
        <v>20</v>
      </c>
      <c r="U6" s="251"/>
      <c r="V6" s="251"/>
      <c r="W6" s="657"/>
      <c r="X6" s="659"/>
      <c r="Y6" s="252"/>
      <c r="Z6" s="803"/>
      <c r="AA6" s="253"/>
      <c r="AB6" s="254"/>
      <c r="AC6" s="812"/>
      <c r="AD6" s="624"/>
      <c r="AE6" s="627"/>
      <c r="AF6" s="255"/>
      <c r="AG6" s="630"/>
      <c r="AH6" s="624"/>
      <c r="AI6" s="806"/>
      <c r="AJ6" s="809"/>
      <c r="AK6" s="635"/>
      <c r="AM6" s="257"/>
      <c r="AN6" s="257"/>
      <c r="AO6" s="636"/>
      <c r="AP6" s="258"/>
      <c r="AQ6" s="257"/>
      <c r="AR6" s="257"/>
      <c r="AS6" s="638"/>
      <c r="AT6" s="641"/>
      <c r="AU6" s="257"/>
      <c r="AW6" s="632"/>
      <c r="AX6" s="644"/>
      <c r="AY6" s="259"/>
    </row>
    <row r="7" spans="1:55" s="86" customFormat="1" ht="20.25" customHeight="1" x14ac:dyDescent="0.3">
      <c r="A7" s="651" t="s">
        <v>610</v>
      </c>
      <c r="B7" s="652"/>
      <c r="C7" s="652"/>
      <c r="D7" s="652"/>
      <c r="E7" s="652"/>
      <c r="F7" s="652"/>
      <c r="G7" s="652"/>
      <c r="H7" s="652"/>
      <c r="I7" s="652"/>
      <c r="J7" s="652"/>
      <c r="K7" s="652"/>
      <c r="L7" s="652"/>
      <c r="M7" s="652"/>
      <c r="N7" s="652"/>
      <c r="O7" s="652"/>
      <c r="P7" s="652"/>
      <c r="Q7" s="652"/>
      <c r="R7" s="652"/>
      <c r="S7" s="652"/>
      <c r="T7" s="653"/>
      <c r="U7" s="260"/>
      <c r="V7" s="261"/>
      <c r="W7" s="658"/>
      <c r="X7" s="659"/>
      <c r="Y7" s="231"/>
      <c r="Z7" s="804"/>
      <c r="AA7" s="233"/>
      <c r="AB7" s="56"/>
      <c r="AC7" s="813"/>
      <c r="AD7" s="625"/>
      <c r="AE7" s="628"/>
      <c r="AF7" s="235"/>
      <c r="AG7" s="631"/>
      <c r="AH7" s="625"/>
      <c r="AI7" s="807"/>
      <c r="AJ7" s="810"/>
      <c r="AK7" s="635"/>
      <c r="AM7" s="262"/>
      <c r="AN7" s="262"/>
      <c r="AO7" s="637"/>
      <c r="AP7" s="263"/>
      <c r="AQ7" s="262"/>
      <c r="AR7" s="262"/>
      <c r="AS7" s="639"/>
      <c r="AT7" s="642"/>
      <c r="AU7" s="262"/>
      <c r="AW7" s="632"/>
      <c r="AX7" s="645"/>
      <c r="AY7" s="127"/>
    </row>
    <row r="8" spans="1:55" s="82" customFormat="1" ht="45.95" customHeight="1" x14ac:dyDescent="0.3">
      <c r="A8" s="264" t="s">
        <v>611</v>
      </c>
      <c r="B8" s="264" t="s">
        <v>612</v>
      </c>
      <c r="C8" s="265" t="s">
        <v>613</v>
      </c>
      <c r="D8" s="239" t="s">
        <v>18</v>
      </c>
      <c r="E8" s="239" t="s">
        <v>163</v>
      </c>
      <c r="F8" s="168">
        <f>VLOOKUP(E8,'[6]условия, ФОТ'!$A$14:$I$32,9, FALSE)</f>
        <v>225.56</v>
      </c>
      <c r="G8" s="266">
        <v>2</v>
      </c>
      <c r="H8" s="168">
        <f>ROUND(F8*G8,2)</f>
        <v>451.12</v>
      </c>
      <c r="I8" s="168">
        <f>ROUND(H8*$I$5,2)</f>
        <v>136.24</v>
      </c>
      <c r="J8" s="168">
        <f>H8+I8</f>
        <v>587.36</v>
      </c>
      <c r="K8" s="267"/>
      <c r="L8" s="168"/>
      <c r="M8" s="168"/>
      <c r="N8" s="168"/>
      <c r="O8" s="168"/>
      <c r="P8" s="168">
        <f>J8+O8</f>
        <v>587.36</v>
      </c>
      <c r="Q8" s="168">
        <f>ROUND(P8*$Q$5,2)</f>
        <v>390.59</v>
      </c>
      <c r="R8" s="268">
        <f>ROUND(T8/1.2,2)</f>
        <v>1117.5</v>
      </c>
      <c r="S8" s="268">
        <f>ROUND(R8*$S$5,2)</f>
        <v>223.5</v>
      </c>
      <c r="T8" s="268">
        <f>ROUND((P8+Q8)*(1+AC8)*1.2,0)</f>
        <v>1341</v>
      </c>
      <c r="U8" s="269">
        <v>1206</v>
      </c>
      <c r="V8" s="270">
        <f>T8/U8*100-100</f>
        <v>11.194029850746261</v>
      </c>
      <c r="W8" s="271">
        <v>1287</v>
      </c>
      <c r="X8" s="272">
        <f>T8/W8*100-100</f>
        <v>4.1958041958041861</v>
      </c>
      <c r="Y8" s="231">
        <v>1245</v>
      </c>
      <c r="Z8" s="273">
        <v>1.042</v>
      </c>
      <c r="AA8" s="274">
        <f>ROUND(W8*Z8,2)</f>
        <v>1341.05</v>
      </c>
      <c r="AB8" s="275">
        <f>ROUND((P8+Q8)*1.2,2)</f>
        <v>1173.54</v>
      </c>
      <c r="AC8" s="276">
        <f>ROUND((AA8/AB8)*100%-100%,4)</f>
        <v>0.14269999999999999</v>
      </c>
      <c r="AD8" s="277">
        <f>AB8*AC8</f>
        <v>167.464158</v>
      </c>
      <c r="AE8" s="278"/>
      <c r="AF8" s="279">
        <v>1287.33</v>
      </c>
      <c r="AG8" s="280">
        <v>1287</v>
      </c>
      <c r="AH8" s="281">
        <f>T8-AG8</f>
        <v>54</v>
      </c>
      <c r="AI8" s="282">
        <v>2.5999999999999999E-2</v>
      </c>
      <c r="AJ8" s="283">
        <f>AB8*AC8</f>
        <v>167.464158</v>
      </c>
      <c r="AK8" s="284"/>
      <c r="AM8" s="285">
        <v>2.5999999999999999E-2</v>
      </c>
      <c r="AN8" s="285">
        <f>IF(AM8&lt;0,-AM8+1,AM8)</f>
        <v>2.5999999999999999E-2</v>
      </c>
      <c r="AO8" s="285">
        <v>0</v>
      </c>
      <c r="AQ8" s="286"/>
      <c r="AR8" s="287"/>
      <c r="AS8" s="285">
        <v>1.034</v>
      </c>
      <c r="AT8" s="288">
        <v>2.5999999999999999E-2</v>
      </c>
      <c r="AU8" s="285">
        <f>Z8-AS8</f>
        <v>8.0000000000000071E-3</v>
      </c>
      <c r="AW8" s="288">
        <f>AC8-AT8</f>
        <v>0.1167</v>
      </c>
      <c r="AX8" s="280">
        <v>1287</v>
      </c>
      <c r="AY8" s="127" t="b">
        <f>W8=AX8</f>
        <v>1</v>
      </c>
      <c r="AZ8" s="289">
        <f>ROUND(W8/T8*100-100,2)+Z8</f>
        <v>-2.9880000000000004</v>
      </c>
      <c r="BA8"/>
      <c r="BB8"/>
      <c r="BC8">
        <f>ROUND(T8/W8,3)</f>
        <v>1.042</v>
      </c>
    </row>
    <row r="9" spans="1:55" s="82" customFormat="1" ht="48.75" customHeight="1" x14ac:dyDescent="0.3">
      <c r="A9" s="264" t="s">
        <v>614</v>
      </c>
      <c r="B9" s="264" t="s">
        <v>615</v>
      </c>
      <c r="C9" s="265" t="s">
        <v>616</v>
      </c>
      <c r="D9" s="239" t="s">
        <v>18</v>
      </c>
      <c r="E9" s="239" t="s">
        <v>163</v>
      </c>
      <c r="F9" s="168">
        <f>VLOOKUP(E9,'[6]условия, ФОТ'!$A$14:$I$32,9, FALSE)</f>
        <v>225.56</v>
      </c>
      <c r="G9" s="266">
        <v>2</v>
      </c>
      <c r="H9" s="168">
        <f>ROUND(F9*G9,2)</f>
        <v>451.12</v>
      </c>
      <c r="I9" s="168">
        <f>ROUND(H9*$I$5,2)</f>
        <v>136.24</v>
      </c>
      <c r="J9" s="168">
        <f>H9+I9</f>
        <v>587.36</v>
      </c>
      <c r="K9" s="267"/>
      <c r="L9" s="168"/>
      <c r="M9" s="168"/>
      <c r="N9" s="168"/>
      <c r="O9" s="168"/>
      <c r="P9" s="168">
        <f>J9+O9</f>
        <v>587.36</v>
      </c>
      <c r="Q9" s="168">
        <f>ROUND(P9*$Q$5,2)</f>
        <v>390.59</v>
      </c>
      <c r="R9" s="268">
        <f>ROUND(T9/1.2,2)</f>
        <v>1117.5</v>
      </c>
      <c r="S9" s="268">
        <f>ROUND(R9*$S$5,2)</f>
        <v>223.5</v>
      </c>
      <c r="T9" s="268">
        <f>ROUND((P9+Q9)*(1+AC9)*1.2,0)</f>
        <v>1341</v>
      </c>
      <c r="U9" s="269">
        <v>1206</v>
      </c>
      <c r="V9" s="270">
        <f>T9/U9*100-100</f>
        <v>11.194029850746261</v>
      </c>
      <c r="W9" s="271">
        <v>1287</v>
      </c>
      <c r="X9" s="272">
        <f t="shared" ref="X9:X69" si="0">T9/W9*100-100</f>
        <v>4.1958041958041861</v>
      </c>
      <c r="Y9" s="231">
        <v>1245</v>
      </c>
      <c r="Z9" s="273">
        <v>1.042</v>
      </c>
      <c r="AA9" s="274">
        <f>ROUND(W9*Z9,2)</f>
        <v>1341.05</v>
      </c>
      <c r="AB9" s="275">
        <f>ROUND((P9+Q9)*1.2,2)</f>
        <v>1173.54</v>
      </c>
      <c r="AC9" s="276">
        <f>ROUND((AA9/AB9)*100%-100%,4)</f>
        <v>0.14269999999999999</v>
      </c>
      <c r="AD9" s="277">
        <f t="shared" ref="AD9:AD69" si="1">AB9*AC9</f>
        <v>167.464158</v>
      </c>
      <c r="AE9" s="278"/>
      <c r="AF9" s="235">
        <v>1287.33</v>
      </c>
      <c r="AG9" s="280">
        <v>1287</v>
      </c>
      <c r="AH9" s="281">
        <f t="shared" ref="AH9:AH69" si="2">T9-AG9</f>
        <v>54</v>
      </c>
      <c r="AI9" s="282">
        <v>2.5999999999999999E-2</v>
      </c>
      <c r="AJ9" s="283">
        <f t="shared" ref="AJ9:AJ69" si="3">AB9*AC9</f>
        <v>167.464158</v>
      </c>
      <c r="AK9" s="284"/>
      <c r="AM9" s="285">
        <v>2.5999999999999999E-2</v>
      </c>
      <c r="AN9" s="285">
        <f t="shared" ref="AN9:AN69" si="4">IF(AM9&lt;0,-AM9+1,AM9)</f>
        <v>2.5999999999999999E-2</v>
      </c>
      <c r="AO9" s="285">
        <v>0</v>
      </c>
      <c r="AQ9" s="286"/>
      <c r="AR9" s="287"/>
      <c r="AS9" s="285">
        <v>1.034</v>
      </c>
      <c r="AT9" s="288">
        <v>2.5999999999999999E-2</v>
      </c>
      <c r="AU9" s="285">
        <f t="shared" ref="AU9:AU69" si="5">Z9-AS9</f>
        <v>8.0000000000000071E-3</v>
      </c>
      <c r="AW9" s="288">
        <f t="shared" ref="AW9:AW69" si="6">AC9-AT9</f>
        <v>0.1167</v>
      </c>
      <c r="AX9" s="280">
        <v>1287</v>
      </c>
      <c r="AY9" s="127" t="b">
        <f t="shared" ref="AY9:AY69" si="7">W9=AX9</f>
        <v>1</v>
      </c>
      <c r="AZ9" s="289">
        <f t="shared" ref="AZ9:AZ69" si="8">ROUND(W9/T9*100-100,2)+Z9</f>
        <v>-2.9880000000000004</v>
      </c>
      <c r="BA9"/>
      <c r="BB9"/>
      <c r="BC9">
        <f t="shared" ref="BC9:BC69" si="9">ROUND(T9/W9,3)</f>
        <v>1.042</v>
      </c>
    </row>
    <row r="10" spans="1:55" s="86" customFormat="1" ht="23.25" customHeight="1" x14ac:dyDescent="0.3">
      <c r="A10" s="651" t="s">
        <v>617</v>
      </c>
      <c r="B10" s="652"/>
      <c r="C10" s="652"/>
      <c r="D10" s="652"/>
      <c r="E10" s="652"/>
      <c r="F10" s="652"/>
      <c r="G10" s="652"/>
      <c r="H10" s="652"/>
      <c r="I10" s="652"/>
      <c r="J10" s="652"/>
      <c r="K10" s="652"/>
      <c r="L10" s="652"/>
      <c r="M10" s="652"/>
      <c r="N10" s="652"/>
      <c r="O10" s="652"/>
      <c r="P10" s="652"/>
      <c r="Q10" s="652"/>
      <c r="R10" s="652"/>
      <c r="S10" s="652"/>
      <c r="T10" s="653"/>
      <c r="U10" s="290"/>
      <c r="V10" s="261"/>
      <c r="W10" s="271"/>
      <c r="X10" s="272"/>
      <c r="Y10" s="231"/>
      <c r="Z10" s="273"/>
      <c r="AA10" s="58"/>
      <c r="AB10" s="275"/>
      <c r="AC10" s="276"/>
      <c r="AD10" s="277"/>
      <c r="AE10" s="278"/>
      <c r="AF10" s="235"/>
      <c r="AG10" s="291"/>
      <c r="AH10" s="281"/>
      <c r="AI10" s="282"/>
      <c r="AJ10" s="283"/>
      <c r="AK10" s="284"/>
      <c r="AM10" s="292"/>
      <c r="AN10" s="285"/>
      <c r="AO10" s="285"/>
      <c r="AQ10" s="286"/>
      <c r="AR10" s="293"/>
      <c r="AS10" s="292"/>
      <c r="AT10" s="294"/>
      <c r="AU10" s="285"/>
      <c r="AW10" s="288"/>
      <c r="AX10" s="85"/>
      <c r="AY10" s="127"/>
      <c r="AZ10" s="289"/>
      <c r="BA10"/>
      <c r="BB10"/>
      <c r="BC10"/>
    </row>
    <row r="11" spans="1:55" s="82" customFormat="1" ht="20.25" customHeight="1" x14ac:dyDescent="0.25">
      <c r="A11" s="647" t="s">
        <v>618</v>
      </c>
      <c r="B11" s="647" t="s">
        <v>169</v>
      </c>
      <c r="C11" s="660" t="s">
        <v>21</v>
      </c>
      <c r="D11" s="649" t="s">
        <v>22</v>
      </c>
      <c r="E11" s="239" t="s">
        <v>166</v>
      </c>
      <c r="F11" s="266">
        <f>VLOOKUP(E11,'[6]условия, ФОТ'!$A$14:$I$32,9, FALSE)</f>
        <v>193.64</v>
      </c>
      <c r="G11" s="266">
        <v>0.68</v>
      </c>
      <c r="H11" s="661">
        <f>ROUND((F11*G11+F12*G12),2)</f>
        <v>254.42</v>
      </c>
      <c r="I11" s="661">
        <f>ROUND(H11*$I$5,2)</f>
        <v>76.83</v>
      </c>
      <c r="J11" s="661">
        <f>H11+I11</f>
        <v>331.25</v>
      </c>
      <c r="K11" s="669"/>
      <c r="L11" s="661"/>
      <c r="M11" s="661"/>
      <c r="N11" s="661"/>
      <c r="O11" s="661">
        <f>SUM(O13:O19)</f>
        <v>117.25</v>
      </c>
      <c r="P11" s="661">
        <f>J11+O11</f>
        <v>448.5</v>
      </c>
      <c r="Q11" s="661">
        <f>ROUND(P11*$Q$5,2)</f>
        <v>298.25</v>
      </c>
      <c r="R11" s="665">
        <f>ROUND(T11/1.2,2)</f>
        <v>840.83</v>
      </c>
      <c r="S11" s="665">
        <f>ROUND(R11*$S$5,2)</f>
        <v>168.17</v>
      </c>
      <c r="T11" s="665">
        <f>ROUND((P11+Q11)*(1+AC11)*1.2,0)</f>
        <v>1009</v>
      </c>
      <c r="U11" s="666">
        <v>907</v>
      </c>
      <c r="V11" s="821">
        <f>T11/U11*100-100</f>
        <v>11.245865490628447</v>
      </c>
      <c r="W11" s="822">
        <v>968</v>
      </c>
      <c r="X11" s="679">
        <f t="shared" si="0"/>
        <v>4.2355371900826526</v>
      </c>
      <c r="Y11" s="231">
        <v>936</v>
      </c>
      <c r="Z11" s="823">
        <v>1.042</v>
      </c>
      <c r="AA11" s="825">
        <f>ROUND(W11*Z11,2)</f>
        <v>1008.66</v>
      </c>
      <c r="AB11" s="826">
        <f>ROUND((P11+Q11)*1.2,2)</f>
        <v>896.1</v>
      </c>
      <c r="AC11" s="814">
        <f>ROUND((AA11/AB11)*100%-100%,4)</f>
        <v>0.12559999999999999</v>
      </c>
      <c r="AD11" s="681">
        <f t="shared" si="1"/>
        <v>112.55015999999999</v>
      </c>
      <c r="AE11" s="278"/>
      <c r="AF11" s="235">
        <v>967.82400000000007</v>
      </c>
      <c r="AG11" s="674">
        <v>968</v>
      </c>
      <c r="AH11" s="816">
        <f t="shared" si="2"/>
        <v>41</v>
      </c>
      <c r="AI11" s="817">
        <v>0.1414</v>
      </c>
      <c r="AJ11" s="819">
        <f t="shared" si="3"/>
        <v>112.55015999999999</v>
      </c>
      <c r="AK11" s="284"/>
      <c r="AM11" s="670">
        <v>0.1414</v>
      </c>
      <c r="AN11" s="670">
        <f t="shared" si="4"/>
        <v>0.1414</v>
      </c>
      <c r="AO11" s="670">
        <v>0</v>
      </c>
      <c r="AQ11" s="676"/>
      <c r="AR11" s="287"/>
      <c r="AS11" s="670">
        <v>1.034</v>
      </c>
      <c r="AT11" s="672">
        <v>0.1414</v>
      </c>
      <c r="AU11" s="670">
        <f t="shared" si="5"/>
        <v>8.0000000000000071E-3</v>
      </c>
      <c r="AW11" s="672">
        <f t="shared" si="6"/>
        <v>-1.5800000000000008E-2</v>
      </c>
      <c r="AX11" s="674">
        <v>968</v>
      </c>
      <c r="AY11" s="675" t="b">
        <f t="shared" si="7"/>
        <v>1</v>
      </c>
      <c r="AZ11" s="289">
        <f t="shared" si="8"/>
        <v>-3.0179999999999998</v>
      </c>
      <c r="BA11"/>
      <c r="BB11"/>
      <c r="BC11">
        <f t="shared" si="9"/>
        <v>1.042</v>
      </c>
    </row>
    <row r="12" spans="1:55" s="82" customFormat="1" ht="21" customHeight="1" x14ac:dyDescent="0.25">
      <c r="A12" s="647"/>
      <c r="B12" s="647"/>
      <c r="C12" s="660"/>
      <c r="D12" s="649"/>
      <c r="E12" s="239" t="s">
        <v>162</v>
      </c>
      <c r="F12" s="168">
        <f>VLOOKUP(E12,'[6]условия, ФОТ'!$A$14:$I$32,9, FALSE)</f>
        <v>180.5</v>
      </c>
      <c r="G12" s="266">
        <v>0.68</v>
      </c>
      <c r="H12" s="661"/>
      <c r="I12" s="661"/>
      <c r="J12" s="661"/>
      <c r="K12" s="669"/>
      <c r="L12" s="661"/>
      <c r="M12" s="661"/>
      <c r="N12" s="661"/>
      <c r="O12" s="661"/>
      <c r="P12" s="661"/>
      <c r="Q12" s="661">
        <f>ROUND(P12*$Q$5,2)</f>
        <v>0</v>
      </c>
      <c r="R12" s="665">
        <f>ROUND(T12/1.18,2)</f>
        <v>0</v>
      </c>
      <c r="S12" s="665">
        <f>ROUND(R12*$S$5,2)</f>
        <v>0</v>
      </c>
      <c r="T12" s="665">
        <f>ROUND((P12+Q12)*(1+$R$5)*1.18,0)</f>
        <v>0</v>
      </c>
      <c r="U12" s="827"/>
      <c r="V12" s="821"/>
      <c r="W12" s="822"/>
      <c r="X12" s="679"/>
      <c r="Y12" s="231">
        <v>0</v>
      </c>
      <c r="Z12" s="824"/>
      <c r="AA12" s="825"/>
      <c r="AB12" s="826"/>
      <c r="AC12" s="815"/>
      <c r="AD12" s="682"/>
      <c r="AE12" s="278"/>
      <c r="AF12" s="235"/>
      <c r="AG12" s="674"/>
      <c r="AH12" s="816"/>
      <c r="AI12" s="818"/>
      <c r="AJ12" s="820"/>
      <c r="AK12" s="284"/>
      <c r="AM12" s="671"/>
      <c r="AN12" s="671"/>
      <c r="AO12" s="671"/>
      <c r="AQ12" s="677"/>
      <c r="AR12" s="287"/>
      <c r="AS12" s="671"/>
      <c r="AT12" s="673"/>
      <c r="AU12" s="671"/>
      <c r="AW12" s="673"/>
      <c r="AX12" s="674"/>
      <c r="AY12" s="675"/>
      <c r="AZ12" s="289"/>
      <c r="BA12"/>
      <c r="BB12"/>
      <c r="BC12"/>
    </row>
    <row r="13" spans="1:55" s="82" customFormat="1" outlineLevel="1" x14ac:dyDescent="0.3">
      <c r="A13" s="264"/>
      <c r="B13" s="214"/>
      <c r="C13" s="267"/>
      <c r="D13" s="214"/>
      <c r="E13" s="214"/>
      <c r="F13" s="214"/>
      <c r="G13" s="214"/>
      <c r="H13" s="214"/>
      <c r="I13" s="214"/>
      <c r="J13" s="295" t="s">
        <v>366</v>
      </c>
      <c r="K13" s="296" t="s">
        <v>323</v>
      </c>
      <c r="L13" s="266" t="str">
        <f>VLOOKUP(K13,[6]материалы!$A$5:$G$31,5, FALSE)</f>
        <v>м3</v>
      </c>
      <c r="M13" s="168">
        <f>VLOOKUP(K13,[6]материалы!$A$5:$G$34,7, FALSE)</f>
        <v>486.11</v>
      </c>
      <c r="N13" s="266">
        <v>8.7499999999999994E-2</v>
      </c>
      <c r="O13" s="297">
        <f>ROUND(M13*N13,2)</f>
        <v>42.53</v>
      </c>
      <c r="P13" s="214"/>
      <c r="Q13" s="214"/>
      <c r="R13" s="298"/>
      <c r="S13" s="298"/>
      <c r="T13" s="298"/>
      <c r="U13" s="299"/>
      <c r="V13" s="300"/>
      <c r="W13" s="271"/>
      <c r="X13" s="272"/>
      <c r="Y13" s="231"/>
      <c r="Z13" s="273"/>
      <c r="AA13" s="58"/>
      <c r="AB13" s="275"/>
      <c r="AC13" s="276"/>
      <c r="AD13" s="277"/>
      <c r="AE13" s="278"/>
      <c r="AF13" s="235"/>
      <c r="AG13" s="106"/>
      <c r="AH13" s="281"/>
      <c r="AI13" s="282"/>
      <c r="AJ13" s="283"/>
      <c r="AK13" s="284"/>
      <c r="AM13" s="285"/>
      <c r="AN13" s="285"/>
      <c r="AO13" s="285"/>
      <c r="AQ13" s="286"/>
      <c r="AR13" s="287"/>
      <c r="AS13" s="285"/>
      <c r="AT13" s="288"/>
      <c r="AU13" s="285"/>
      <c r="AW13" s="288"/>
      <c r="AX13" s="106"/>
      <c r="AY13" s="127"/>
      <c r="AZ13" s="289"/>
      <c r="BA13"/>
      <c r="BB13"/>
      <c r="BC13"/>
    </row>
    <row r="14" spans="1:55" s="82" customFormat="1" outlineLevel="1" x14ac:dyDescent="0.3">
      <c r="A14" s="264"/>
      <c r="B14" s="214"/>
      <c r="C14" s="267"/>
      <c r="D14" s="214"/>
      <c r="E14" s="214"/>
      <c r="F14" s="214"/>
      <c r="G14" s="214"/>
      <c r="H14" s="214"/>
      <c r="I14" s="214"/>
      <c r="J14" s="214"/>
      <c r="K14" s="296" t="s">
        <v>324</v>
      </c>
      <c r="L14" s="266" t="str">
        <f>VLOOKUP(K14,[6]материалы!$A$5:$G$31,5, FALSE)</f>
        <v>м3</v>
      </c>
      <c r="M14" s="168">
        <f>VLOOKUP(K14,[6]материалы!$A$5:$G$34,7, FALSE)</f>
        <v>152.78</v>
      </c>
      <c r="N14" s="266">
        <v>0.15</v>
      </c>
      <c r="O14" s="297">
        <f>ROUND(M14*N14,2)</f>
        <v>22.92</v>
      </c>
      <c r="P14" s="214"/>
      <c r="Q14" s="214"/>
      <c r="R14" s="298"/>
      <c r="S14" s="298"/>
      <c r="T14" s="298"/>
      <c r="U14" s="299"/>
      <c r="V14" s="300"/>
      <c r="W14" s="271"/>
      <c r="X14" s="272"/>
      <c r="Y14" s="231"/>
      <c r="Z14" s="273"/>
      <c r="AA14" s="58"/>
      <c r="AB14" s="275"/>
      <c r="AC14" s="276"/>
      <c r="AD14" s="277"/>
      <c r="AE14" s="278"/>
      <c r="AF14" s="235"/>
      <c r="AG14" s="106"/>
      <c r="AH14" s="281"/>
      <c r="AI14" s="282"/>
      <c r="AJ14" s="283"/>
      <c r="AK14" s="284"/>
      <c r="AM14" s="285"/>
      <c r="AN14" s="285"/>
      <c r="AO14" s="285"/>
      <c r="AQ14" s="286"/>
      <c r="AR14" s="287"/>
      <c r="AS14" s="285"/>
      <c r="AT14" s="288"/>
      <c r="AU14" s="285"/>
      <c r="AW14" s="288"/>
      <c r="AX14" s="106"/>
      <c r="AY14" s="127"/>
      <c r="AZ14" s="289"/>
      <c r="BA14"/>
      <c r="BB14"/>
      <c r="BC14"/>
    </row>
    <row r="15" spans="1:55" s="82" customFormat="1" ht="38.25" outlineLevel="1" x14ac:dyDescent="0.3">
      <c r="A15" s="264"/>
      <c r="B15" s="214"/>
      <c r="C15" s="267"/>
      <c r="D15" s="214"/>
      <c r="E15" s="214"/>
      <c r="F15" s="214"/>
      <c r="G15" s="214"/>
      <c r="H15" s="214"/>
      <c r="I15" s="214"/>
      <c r="J15" s="214"/>
      <c r="K15" s="296" t="s">
        <v>341</v>
      </c>
      <c r="L15" s="266" t="str">
        <f>VLOOKUP(K15,[6]материалы!$A$5:$G$31,5, FALSE)</f>
        <v>кг</v>
      </c>
      <c r="M15" s="168">
        <f>VLOOKUP(K15,[6]материалы!$A$5:$G$34,7, FALSE)</f>
        <v>125</v>
      </c>
      <c r="N15" s="266">
        <v>0.1</v>
      </c>
      <c r="O15" s="297">
        <f t="shared" ref="O15:O19" si="10">ROUND(M15*N15,2)</f>
        <v>12.5</v>
      </c>
      <c r="P15" s="214"/>
      <c r="Q15" s="214"/>
      <c r="R15" s="298"/>
      <c r="S15" s="298"/>
      <c r="T15" s="298"/>
      <c r="U15" s="299"/>
      <c r="V15" s="300"/>
      <c r="W15" s="271"/>
      <c r="X15" s="272"/>
      <c r="Y15" s="231"/>
      <c r="Z15" s="273"/>
      <c r="AA15" s="58"/>
      <c r="AB15" s="275"/>
      <c r="AC15" s="276"/>
      <c r="AD15" s="277"/>
      <c r="AE15" s="278"/>
      <c r="AF15" s="235"/>
      <c r="AG15" s="106"/>
      <c r="AH15" s="281"/>
      <c r="AI15" s="282"/>
      <c r="AJ15" s="283"/>
      <c r="AK15" s="284"/>
      <c r="AM15" s="285"/>
      <c r="AN15" s="285"/>
      <c r="AO15" s="285"/>
      <c r="AQ15" s="286"/>
      <c r="AR15" s="287"/>
      <c r="AS15" s="285"/>
      <c r="AT15" s="288"/>
      <c r="AU15" s="285"/>
      <c r="AW15" s="288"/>
      <c r="AX15" s="106"/>
      <c r="AY15" s="127"/>
      <c r="AZ15" s="289"/>
      <c r="BA15"/>
      <c r="BB15"/>
      <c r="BC15"/>
    </row>
    <row r="16" spans="1:55" s="82" customFormat="1" ht="30" customHeight="1" outlineLevel="1" x14ac:dyDescent="0.3">
      <c r="A16" s="264"/>
      <c r="B16" s="214"/>
      <c r="C16" s="267"/>
      <c r="D16" s="214"/>
      <c r="E16" s="214"/>
      <c r="F16" s="214"/>
      <c r="G16" s="214"/>
      <c r="H16" s="214"/>
      <c r="I16" s="214"/>
      <c r="J16" s="214"/>
      <c r="K16" s="296" t="s">
        <v>346</v>
      </c>
      <c r="L16" s="266" t="str">
        <f>VLOOKUP(K16,[6]материалы!$A$5:$G$31,5, FALSE)</f>
        <v>шт.</v>
      </c>
      <c r="M16" s="168">
        <f>VLOOKUP(K16,[6]материалы!$A$5:$G$34,7, FALSE)</f>
        <v>29.17</v>
      </c>
      <c r="N16" s="266">
        <v>1</v>
      </c>
      <c r="O16" s="297">
        <f t="shared" si="10"/>
        <v>29.17</v>
      </c>
      <c r="P16" s="214"/>
      <c r="Q16" s="214"/>
      <c r="R16" s="298"/>
      <c r="S16" s="298"/>
      <c r="T16" s="298"/>
      <c r="U16" s="299"/>
      <c r="V16" s="300"/>
      <c r="W16" s="271"/>
      <c r="X16" s="272"/>
      <c r="Y16" s="231"/>
      <c r="Z16" s="273"/>
      <c r="AA16" s="58"/>
      <c r="AB16" s="275"/>
      <c r="AC16" s="276"/>
      <c r="AD16" s="277"/>
      <c r="AE16" s="278"/>
      <c r="AF16" s="235"/>
      <c r="AG16" s="106"/>
      <c r="AH16" s="281"/>
      <c r="AI16" s="282"/>
      <c r="AJ16" s="283"/>
      <c r="AK16" s="284"/>
      <c r="AM16" s="285"/>
      <c r="AN16" s="285"/>
      <c r="AO16" s="285"/>
      <c r="AQ16" s="286"/>
      <c r="AR16" s="287"/>
      <c r="AS16" s="285"/>
      <c r="AT16" s="288"/>
      <c r="AU16" s="285"/>
      <c r="AW16" s="288"/>
      <c r="AX16" s="106"/>
      <c r="AY16" s="127"/>
      <c r="AZ16" s="289"/>
      <c r="BA16"/>
      <c r="BB16"/>
      <c r="BC16"/>
    </row>
    <row r="17" spans="1:55" s="82" customFormat="1" ht="28.5" customHeight="1" outlineLevel="1" x14ac:dyDescent="0.3">
      <c r="A17" s="264"/>
      <c r="B17" s="214"/>
      <c r="C17" s="267"/>
      <c r="D17" s="214"/>
      <c r="E17" s="214"/>
      <c r="F17" s="214"/>
      <c r="G17" s="214"/>
      <c r="H17" s="214"/>
      <c r="I17" s="214"/>
      <c r="J17" s="214"/>
      <c r="K17" s="296" t="s">
        <v>342</v>
      </c>
      <c r="L17" s="266" t="str">
        <f>VLOOKUP(K17,[6]материалы!$A$5:$G$31,5, FALSE)</f>
        <v>шт.</v>
      </c>
      <c r="M17" s="168">
        <f>VLOOKUP(K17,[6]материалы!$A$5:$G$34,7, FALSE)</f>
        <v>37.5</v>
      </c>
      <c r="N17" s="266">
        <v>0.25</v>
      </c>
      <c r="O17" s="297">
        <f t="shared" si="10"/>
        <v>9.3800000000000008</v>
      </c>
      <c r="P17" s="214"/>
      <c r="Q17" s="214"/>
      <c r="R17" s="298"/>
      <c r="S17" s="298"/>
      <c r="T17" s="298"/>
      <c r="U17" s="299"/>
      <c r="V17" s="300"/>
      <c r="W17" s="271"/>
      <c r="X17" s="272"/>
      <c r="Y17" s="231"/>
      <c r="Z17" s="273"/>
      <c r="AA17" s="58"/>
      <c r="AB17" s="275"/>
      <c r="AC17" s="276"/>
      <c r="AD17" s="277"/>
      <c r="AE17" s="278"/>
      <c r="AF17" s="235"/>
      <c r="AG17" s="106"/>
      <c r="AH17" s="281"/>
      <c r="AI17" s="282"/>
      <c r="AJ17" s="283"/>
      <c r="AK17" s="284"/>
      <c r="AM17" s="285"/>
      <c r="AN17" s="285"/>
      <c r="AO17" s="285"/>
      <c r="AQ17" s="286"/>
      <c r="AR17" s="287"/>
      <c r="AS17" s="285"/>
      <c r="AT17" s="288"/>
      <c r="AU17" s="285"/>
      <c r="AW17" s="288"/>
      <c r="AX17" s="106"/>
      <c r="AY17" s="127"/>
      <c r="AZ17" s="289"/>
      <c r="BA17"/>
      <c r="BB17"/>
      <c r="BC17"/>
    </row>
    <row r="18" spans="1:55" s="82" customFormat="1" outlineLevel="1" x14ac:dyDescent="0.3">
      <c r="A18" s="264"/>
      <c r="B18" s="214"/>
      <c r="C18" s="267"/>
      <c r="D18" s="214"/>
      <c r="E18" s="214"/>
      <c r="F18" s="214"/>
      <c r="G18" s="214"/>
      <c r="H18" s="214"/>
      <c r="I18" s="214"/>
      <c r="J18" s="214"/>
      <c r="K18" s="296" t="s">
        <v>329</v>
      </c>
      <c r="L18" s="266" t="str">
        <f>VLOOKUP(K18,[6]материалы!$A$5:$G$31,5, FALSE)</f>
        <v>кг</v>
      </c>
      <c r="M18" s="168">
        <f>VLOOKUP(K18,[6]материалы!$A$5:$G$34,7, FALSE)</f>
        <v>79.17</v>
      </c>
      <c r="N18" s="301">
        <v>1E-3</v>
      </c>
      <c r="O18" s="297">
        <f t="shared" si="10"/>
        <v>0.08</v>
      </c>
      <c r="P18" s="214"/>
      <c r="Q18" s="214"/>
      <c r="R18" s="298"/>
      <c r="S18" s="298"/>
      <c r="T18" s="298"/>
      <c r="U18" s="299"/>
      <c r="V18" s="300"/>
      <c r="W18" s="271"/>
      <c r="X18" s="272"/>
      <c r="Y18" s="231"/>
      <c r="Z18" s="273"/>
      <c r="AA18" s="58"/>
      <c r="AB18" s="275"/>
      <c r="AC18" s="276"/>
      <c r="AD18" s="277"/>
      <c r="AE18" s="278"/>
      <c r="AF18" s="235"/>
      <c r="AG18" s="106"/>
      <c r="AH18" s="281"/>
      <c r="AI18" s="282"/>
      <c r="AJ18" s="283"/>
      <c r="AK18" s="284"/>
      <c r="AM18" s="285"/>
      <c r="AN18" s="285"/>
      <c r="AO18" s="285"/>
      <c r="AQ18" s="286"/>
      <c r="AR18" s="287"/>
      <c r="AS18" s="285"/>
      <c r="AT18" s="288"/>
      <c r="AU18" s="285"/>
      <c r="AW18" s="288"/>
      <c r="AX18" s="106"/>
      <c r="AY18" s="127"/>
      <c r="AZ18" s="289"/>
      <c r="BA18"/>
      <c r="BB18"/>
      <c r="BC18"/>
    </row>
    <row r="19" spans="1:55" s="82" customFormat="1" outlineLevel="1" x14ac:dyDescent="0.3">
      <c r="A19" s="264"/>
      <c r="B19" s="214"/>
      <c r="C19" s="267"/>
      <c r="D19" s="214"/>
      <c r="E19" s="214"/>
      <c r="F19" s="214"/>
      <c r="G19" s="214"/>
      <c r="H19" s="214"/>
      <c r="I19" s="214"/>
      <c r="J19" s="214"/>
      <c r="K19" s="296" t="s">
        <v>330</v>
      </c>
      <c r="L19" s="266" t="str">
        <f>VLOOKUP(K19,[6]материалы!$A$5:$G$31,5, FALSE)</f>
        <v>кг</v>
      </c>
      <c r="M19" s="168">
        <f>VLOOKUP(K19,[6]материалы!$A$5:$G$34,7, FALSE)</f>
        <v>66.67</v>
      </c>
      <c r="N19" s="266">
        <v>0.01</v>
      </c>
      <c r="O19" s="297">
        <f t="shared" si="10"/>
        <v>0.67</v>
      </c>
      <c r="P19" s="214"/>
      <c r="Q19" s="214"/>
      <c r="R19" s="298"/>
      <c r="S19" s="298"/>
      <c r="T19" s="298"/>
      <c r="U19" s="299"/>
      <c r="V19" s="300"/>
      <c r="W19" s="271"/>
      <c r="X19" s="272"/>
      <c r="Y19" s="231"/>
      <c r="Z19" s="273"/>
      <c r="AA19" s="58"/>
      <c r="AB19" s="275"/>
      <c r="AC19" s="276"/>
      <c r="AD19" s="277"/>
      <c r="AE19" s="278"/>
      <c r="AF19" s="235"/>
      <c r="AG19" s="106"/>
      <c r="AH19" s="281"/>
      <c r="AI19" s="282"/>
      <c r="AJ19" s="283"/>
      <c r="AK19" s="284"/>
      <c r="AM19" s="285"/>
      <c r="AN19" s="285"/>
      <c r="AO19" s="285"/>
      <c r="AQ19" s="286"/>
      <c r="AR19" s="287"/>
      <c r="AS19" s="285"/>
      <c r="AT19" s="288"/>
      <c r="AU19" s="285"/>
      <c r="AW19" s="288"/>
      <c r="AX19" s="106"/>
      <c r="AY19" s="127"/>
      <c r="AZ19" s="289"/>
      <c r="BA19"/>
      <c r="BB19"/>
      <c r="BC19"/>
    </row>
    <row r="20" spans="1:55" s="82" customFormat="1" ht="42.75" customHeight="1" x14ac:dyDescent="0.3">
      <c r="A20" s="264" t="s">
        <v>619</v>
      </c>
      <c r="B20" s="264" t="s">
        <v>169</v>
      </c>
      <c r="C20" s="265" t="s">
        <v>365</v>
      </c>
      <c r="D20" s="168" t="s">
        <v>22</v>
      </c>
      <c r="E20" s="168" t="s">
        <v>162</v>
      </c>
      <c r="F20" s="168">
        <f>VLOOKUP(E20,'[6]условия, ФОТ'!$A$14:$I$32,9, FALSE)</f>
        <v>180.5</v>
      </c>
      <c r="G20" s="168">
        <f>G12*0.7</f>
        <v>0.47599999999999998</v>
      </c>
      <c r="H20" s="168">
        <f>ROUND(F20*G20,2)</f>
        <v>85.92</v>
      </c>
      <c r="I20" s="168">
        <f>ROUND(H20*$I$5,2)</f>
        <v>25.95</v>
      </c>
      <c r="J20" s="168">
        <f>H20+I20</f>
        <v>111.87</v>
      </c>
      <c r="K20" s="296"/>
      <c r="L20" s="266"/>
      <c r="M20" s="168"/>
      <c r="N20" s="266"/>
      <c r="O20" s="168">
        <f>O21</f>
        <v>9.3800000000000008</v>
      </c>
      <c r="P20" s="168">
        <f>J20+O20</f>
        <v>121.25</v>
      </c>
      <c r="Q20" s="168">
        <f>ROUND(P20*$Q$5,2)</f>
        <v>80.63</v>
      </c>
      <c r="R20" s="268">
        <f>ROUND(T20/1.2,2)</f>
        <v>215</v>
      </c>
      <c r="S20" s="268">
        <f>ROUND(R20*$S$5,2)</f>
        <v>43</v>
      </c>
      <c r="T20" s="268">
        <f>ROUND((P20+Q20)*(1+AC20)*1.2,0)</f>
        <v>258</v>
      </c>
      <c r="U20" s="269">
        <v>220</v>
      </c>
      <c r="V20" s="270">
        <f>T20/U20*100-100</f>
        <v>17.272727272727266</v>
      </c>
      <c r="W20" s="271">
        <v>248</v>
      </c>
      <c r="X20" s="272">
        <f t="shared" si="0"/>
        <v>4.0322580645161281</v>
      </c>
      <c r="Y20" s="231">
        <v>227</v>
      </c>
      <c r="Z20" s="273">
        <v>1.042</v>
      </c>
      <c r="AA20" s="274">
        <f>ROUND(W20*Z20,2)</f>
        <v>258.42</v>
      </c>
      <c r="AB20" s="275">
        <f>ROUND((P20+Q20)*1.2,2)</f>
        <v>242.26</v>
      </c>
      <c r="AC20" s="276">
        <f>ROUND((AA20/AB20)*100%-100%,4)</f>
        <v>6.6699999999999995E-2</v>
      </c>
      <c r="AD20" s="277">
        <f t="shared" si="1"/>
        <v>16.158741999999997</v>
      </c>
      <c r="AE20" s="278"/>
      <c r="AF20" s="235">
        <v>234.71800000000002</v>
      </c>
      <c r="AG20" s="106">
        <v>248</v>
      </c>
      <c r="AH20" s="281">
        <f t="shared" si="2"/>
        <v>10</v>
      </c>
      <c r="AI20" s="282">
        <v>4.9599999999999998E-2</v>
      </c>
      <c r="AJ20" s="283">
        <f t="shared" si="3"/>
        <v>16.158741999999997</v>
      </c>
      <c r="AK20" s="284"/>
      <c r="AM20" s="285">
        <v>-7.9000000000000008E-3</v>
      </c>
      <c r="AN20" s="285">
        <f t="shared" si="4"/>
        <v>1.0079</v>
      </c>
      <c r="AO20" s="285">
        <v>1.042</v>
      </c>
      <c r="AP20" s="286"/>
      <c r="AQ20" s="286">
        <f>ROUND(W20*AO20,2)</f>
        <v>258.42</v>
      </c>
      <c r="AR20" s="287"/>
      <c r="AS20" s="285">
        <v>1.034</v>
      </c>
      <c r="AT20" s="288">
        <v>-7.9000000000000008E-3</v>
      </c>
      <c r="AU20" s="285">
        <f t="shared" si="5"/>
        <v>8.0000000000000071E-3</v>
      </c>
      <c r="AW20" s="288">
        <f t="shared" si="6"/>
        <v>7.46E-2</v>
      </c>
      <c r="AX20" s="106">
        <v>248</v>
      </c>
      <c r="AY20" s="127" t="b">
        <f t="shared" si="7"/>
        <v>1</v>
      </c>
      <c r="AZ20" s="289">
        <f t="shared" si="8"/>
        <v>-2.8380000000000001</v>
      </c>
      <c r="BA20"/>
      <c r="BB20"/>
      <c r="BC20">
        <f t="shared" si="9"/>
        <v>1.04</v>
      </c>
    </row>
    <row r="21" spans="1:55" s="82" customFormat="1" ht="33" customHeight="1" outlineLevel="1" x14ac:dyDescent="0.3">
      <c r="A21" s="264"/>
      <c r="B21" s="214"/>
      <c r="C21" s="267"/>
      <c r="D21" s="214"/>
      <c r="E21" s="214"/>
      <c r="F21" s="214"/>
      <c r="G21" s="214"/>
      <c r="H21" s="214"/>
      <c r="I21" s="214"/>
      <c r="J21" s="295" t="s">
        <v>366</v>
      </c>
      <c r="K21" s="296" t="s">
        <v>342</v>
      </c>
      <c r="L21" s="266" t="str">
        <f>VLOOKUP(K21,[6]материалы!$A$5:$G$31,5, FALSE)</f>
        <v>шт.</v>
      </c>
      <c r="M21" s="168">
        <f>VLOOKUP(K21,[6]материалы!$A$5:$G$34,7, FALSE)</f>
        <v>37.5</v>
      </c>
      <c r="N21" s="266">
        <v>0.25</v>
      </c>
      <c r="O21" s="168">
        <f t="shared" ref="O21" si="11">ROUND(M21*N21,2)</f>
        <v>9.3800000000000008</v>
      </c>
      <c r="P21" s="214"/>
      <c r="Q21" s="214"/>
      <c r="R21" s="298"/>
      <c r="S21" s="298"/>
      <c r="T21" s="298"/>
      <c r="U21" s="269"/>
      <c r="V21" s="300"/>
      <c r="W21" s="271"/>
      <c r="X21" s="272"/>
      <c r="Y21" s="231"/>
      <c r="Z21" s="273"/>
      <c r="AA21" s="58"/>
      <c r="AB21" s="275"/>
      <c r="AC21" s="276"/>
      <c r="AD21" s="277"/>
      <c r="AE21" s="278"/>
      <c r="AF21" s="235"/>
      <c r="AG21" s="106"/>
      <c r="AH21" s="281"/>
      <c r="AI21" s="282"/>
      <c r="AJ21" s="283"/>
      <c r="AK21" s="284"/>
      <c r="AM21" s="285"/>
      <c r="AN21" s="285"/>
      <c r="AO21" s="285"/>
      <c r="AQ21" s="286"/>
      <c r="AR21" s="287"/>
      <c r="AS21" s="285"/>
      <c r="AT21" s="288"/>
      <c r="AU21" s="285"/>
      <c r="AW21" s="288"/>
      <c r="AX21" s="106"/>
      <c r="AY21" s="127"/>
      <c r="AZ21" s="289"/>
      <c r="BA21"/>
      <c r="BB21"/>
      <c r="BC21"/>
    </row>
    <row r="22" spans="1:55" s="82" customFormat="1" ht="15" customHeight="1" x14ac:dyDescent="0.25">
      <c r="A22" s="647" t="s">
        <v>620</v>
      </c>
      <c r="B22" s="647" t="s">
        <v>621</v>
      </c>
      <c r="C22" s="660" t="s">
        <v>622</v>
      </c>
      <c r="D22" s="649" t="s">
        <v>623</v>
      </c>
      <c r="E22" s="239" t="s">
        <v>166</v>
      </c>
      <c r="F22" s="168">
        <f>VLOOKUP(E22,'[6]условия, ФОТ'!$A$14:$I$32,9, FALSE)</f>
        <v>193.64</v>
      </c>
      <c r="G22" s="266">
        <v>0.49</v>
      </c>
      <c r="H22" s="661">
        <f>ROUND((F22*G22+F23*G23),2)</f>
        <v>183.33</v>
      </c>
      <c r="I22" s="661">
        <f>ROUND(H22*$I$5,2)</f>
        <v>55.37</v>
      </c>
      <c r="J22" s="661">
        <f>H22+I22</f>
        <v>238.70000000000002</v>
      </c>
      <c r="K22" s="660"/>
      <c r="L22" s="649"/>
      <c r="M22" s="649"/>
      <c r="N22" s="649"/>
      <c r="O22" s="661">
        <f>SUM(O24)</f>
        <v>7.5</v>
      </c>
      <c r="P22" s="661">
        <f>J22+O22</f>
        <v>246.20000000000002</v>
      </c>
      <c r="Q22" s="661">
        <f>ROUND(P22*$Q$5,2)</f>
        <v>163.72</v>
      </c>
      <c r="R22" s="665">
        <f>ROUND(T22/1.2,2)</f>
        <v>477.5</v>
      </c>
      <c r="S22" s="665">
        <f>ROUND(R22*$S$5,2)</f>
        <v>95.5</v>
      </c>
      <c r="T22" s="665">
        <f>ROUND((P22+Q22)*(1+AC22)*1.2,0)</f>
        <v>573</v>
      </c>
      <c r="U22" s="666">
        <v>515</v>
      </c>
      <c r="V22" s="821">
        <f>T22/U22*100-100</f>
        <v>11.262135922330103</v>
      </c>
      <c r="W22" s="749">
        <v>550</v>
      </c>
      <c r="X22" s="679">
        <f t="shared" si="0"/>
        <v>4.1818181818181728</v>
      </c>
      <c r="Y22" s="231">
        <v>532</v>
      </c>
      <c r="Z22" s="823">
        <v>1.042</v>
      </c>
      <c r="AA22" s="828">
        <f>ROUND(W22*Z22,2)</f>
        <v>573.1</v>
      </c>
      <c r="AB22" s="826">
        <f>ROUND((P22+Q22)*1.2,2)</f>
        <v>491.9</v>
      </c>
      <c r="AC22" s="814">
        <f>ROUND((AA22/AB22)*100%-100%,4)</f>
        <v>0.1651</v>
      </c>
      <c r="AD22" s="681">
        <f t="shared" si="1"/>
        <v>81.212689999999995</v>
      </c>
      <c r="AE22" s="278"/>
      <c r="AF22" s="235">
        <v>550.08799999999997</v>
      </c>
      <c r="AG22" s="674">
        <v>550</v>
      </c>
      <c r="AH22" s="816">
        <f t="shared" si="2"/>
        <v>23</v>
      </c>
      <c r="AI22" s="817">
        <v>0.1104</v>
      </c>
      <c r="AJ22" s="819">
        <f t="shared" si="3"/>
        <v>81.212689999999995</v>
      </c>
      <c r="AK22" s="284"/>
      <c r="AM22" s="670">
        <v>0.1104</v>
      </c>
      <c r="AN22" s="670">
        <f t="shared" si="4"/>
        <v>0.1104</v>
      </c>
      <c r="AO22" s="670">
        <v>0</v>
      </c>
      <c r="AQ22" s="676"/>
      <c r="AR22" s="287"/>
      <c r="AS22" s="670">
        <v>1.034</v>
      </c>
      <c r="AT22" s="672">
        <v>0.1104</v>
      </c>
      <c r="AU22" s="670">
        <f t="shared" si="5"/>
        <v>8.0000000000000071E-3</v>
      </c>
      <c r="AW22" s="672">
        <f t="shared" si="6"/>
        <v>5.4699999999999999E-2</v>
      </c>
      <c r="AX22" s="674">
        <v>550</v>
      </c>
      <c r="AY22" s="675" t="b">
        <f t="shared" si="7"/>
        <v>1</v>
      </c>
      <c r="AZ22" s="289">
        <f t="shared" si="8"/>
        <v>-2.968</v>
      </c>
      <c r="BA22"/>
      <c r="BB22"/>
      <c r="BC22">
        <f t="shared" si="9"/>
        <v>1.042</v>
      </c>
    </row>
    <row r="23" spans="1:55" s="82" customFormat="1" ht="15" customHeight="1" x14ac:dyDescent="0.25">
      <c r="A23" s="647"/>
      <c r="B23" s="647"/>
      <c r="C23" s="660"/>
      <c r="D23" s="649"/>
      <c r="E23" s="239" t="s">
        <v>162</v>
      </c>
      <c r="F23" s="168">
        <f>VLOOKUP(E23,'[6]условия, ФОТ'!$A$14:$I$32,9, FALSE)</f>
        <v>180.5</v>
      </c>
      <c r="G23" s="266">
        <v>0.49</v>
      </c>
      <c r="H23" s="661"/>
      <c r="I23" s="661"/>
      <c r="J23" s="661"/>
      <c r="K23" s="660"/>
      <c r="L23" s="649"/>
      <c r="M23" s="649"/>
      <c r="N23" s="649"/>
      <c r="O23" s="661"/>
      <c r="P23" s="661"/>
      <c r="Q23" s="661"/>
      <c r="R23" s="665"/>
      <c r="S23" s="665"/>
      <c r="T23" s="665">
        <f>ROUND((P23+Q23)*(1+$R$5)*1.18,0)</f>
        <v>0</v>
      </c>
      <c r="U23" s="827"/>
      <c r="V23" s="821"/>
      <c r="W23" s="750"/>
      <c r="X23" s="679"/>
      <c r="Y23" s="231"/>
      <c r="Z23" s="824"/>
      <c r="AA23" s="829"/>
      <c r="AB23" s="826"/>
      <c r="AC23" s="815"/>
      <c r="AD23" s="682"/>
      <c r="AE23" s="278"/>
      <c r="AF23" s="235"/>
      <c r="AG23" s="674"/>
      <c r="AH23" s="816"/>
      <c r="AI23" s="818"/>
      <c r="AJ23" s="820"/>
      <c r="AK23" s="284"/>
      <c r="AM23" s="671"/>
      <c r="AN23" s="671"/>
      <c r="AO23" s="671"/>
      <c r="AQ23" s="677"/>
      <c r="AR23" s="287"/>
      <c r="AS23" s="671"/>
      <c r="AT23" s="673"/>
      <c r="AU23" s="671"/>
      <c r="AW23" s="673"/>
      <c r="AX23" s="674"/>
      <c r="AY23" s="675"/>
      <c r="AZ23" s="289"/>
      <c r="BA23"/>
      <c r="BB23"/>
      <c r="BC23"/>
    </row>
    <row r="24" spans="1:55" s="82" customFormat="1" ht="38.25" outlineLevel="1" x14ac:dyDescent="0.3">
      <c r="A24" s="264"/>
      <c r="B24" s="214"/>
      <c r="C24" s="267"/>
      <c r="D24" s="214"/>
      <c r="E24" s="214"/>
      <c r="F24" s="214"/>
      <c r="G24" s="214"/>
      <c r="H24" s="214"/>
      <c r="I24" s="214"/>
      <c r="J24" s="295" t="s">
        <v>366</v>
      </c>
      <c r="K24" s="296" t="s">
        <v>341</v>
      </c>
      <c r="L24" s="266" t="str">
        <f>VLOOKUP(K24,[6]материалы!$A$5:$G$31,5, FALSE)</f>
        <v>кг</v>
      </c>
      <c r="M24" s="168">
        <f>VLOOKUP(K24,[6]материалы!$A$5:$G$34,7, FALSE)</f>
        <v>125</v>
      </c>
      <c r="N24" s="266">
        <v>0.06</v>
      </c>
      <c r="O24" s="168">
        <f>ROUND(M24*N24,2)</f>
        <v>7.5</v>
      </c>
      <c r="P24" s="214"/>
      <c r="Q24" s="214"/>
      <c r="R24" s="298"/>
      <c r="S24" s="298"/>
      <c r="T24" s="298"/>
      <c r="U24" s="299"/>
      <c r="V24" s="300"/>
      <c r="W24" s="271"/>
      <c r="X24" s="272"/>
      <c r="Y24" s="231"/>
      <c r="Z24" s="273"/>
      <c r="AA24" s="58"/>
      <c r="AB24" s="275"/>
      <c r="AC24" s="276"/>
      <c r="AD24" s="277"/>
      <c r="AE24" s="278"/>
      <c r="AF24" s="235"/>
      <c r="AG24" s="106"/>
      <c r="AH24" s="281"/>
      <c r="AI24" s="282"/>
      <c r="AJ24" s="283"/>
      <c r="AK24" s="284"/>
      <c r="AM24" s="285"/>
      <c r="AN24" s="285"/>
      <c r="AO24" s="285"/>
      <c r="AQ24" s="286"/>
      <c r="AR24" s="287"/>
      <c r="AS24" s="285"/>
      <c r="AT24" s="288"/>
      <c r="AU24" s="285"/>
      <c r="AW24" s="288"/>
      <c r="AX24" s="106"/>
      <c r="AY24" s="127"/>
      <c r="AZ24" s="289"/>
      <c r="BA24"/>
      <c r="BB24"/>
      <c r="BC24"/>
    </row>
    <row r="25" spans="1:55" s="305" customFormat="1" ht="23.25" customHeight="1" x14ac:dyDescent="0.25">
      <c r="A25" s="647" t="s">
        <v>624</v>
      </c>
      <c r="B25" s="647" t="s">
        <v>344</v>
      </c>
      <c r="C25" s="660" t="s">
        <v>345</v>
      </c>
      <c r="D25" s="661" t="s">
        <v>28</v>
      </c>
      <c r="E25" s="239" t="s">
        <v>166</v>
      </c>
      <c r="F25" s="168">
        <f>VLOOKUP(E25,'[6]условия, ФОТ'!$A$14:$I$32,9, FALSE)</f>
        <v>193.64</v>
      </c>
      <c r="G25" s="168">
        <v>0.2</v>
      </c>
      <c r="H25" s="661">
        <f>ROUND((F25*G25+F26*G26),2)</f>
        <v>74.83</v>
      </c>
      <c r="I25" s="661">
        <f>ROUND(H25*$I$5,2)</f>
        <v>22.6</v>
      </c>
      <c r="J25" s="661">
        <f>H25+I25</f>
        <v>97.43</v>
      </c>
      <c r="K25" s="687"/>
      <c r="L25" s="688"/>
      <c r="M25" s="688"/>
      <c r="N25" s="688"/>
      <c r="O25" s="688">
        <f>O27</f>
        <v>110.83</v>
      </c>
      <c r="P25" s="661">
        <f>J25+O25</f>
        <v>208.26</v>
      </c>
      <c r="Q25" s="661">
        <f>ROUND(P25*$Q$5,2)</f>
        <v>138.49</v>
      </c>
      <c r="R25" s="665">
        <f>ROUND(T25/1.2,2)</f>
        <v>361.67</v>
      </c>
      <c r="S25" s="665">
        <f>ROUND(R25*$S$5,2)</f>
        <v>72.33</v>
      </c>
      <c r="T25" s="665">
        <f>ROUND((P25+Q25)*(1+AC25)*1.2,0)</f>
        <v>434</v>
      </c>
      <c r="U25" s="705">
        <v>321</v>
      </c>
      <c r="V25" s="836">
        <f>T25/U25*100-100</f>
        <v>35.202492211838006</v>
      </c>
      <c r="W25" s="689">
        <v>342</v>
      </c>
      <c r="X25" s="691">
        <f t="shared" si="0"/>
        <v>26.900584795321649</v>
      </c>
      <c r="Y25" s="302">
        <v>331</v>
      </c>
      <c r="Z25" s="837">
        <v>1.268</v>
      </c>
      <c r="AA25" s="839">
        <f>ROUND(W25*Z25,2)</f>
        <v>433.66</v>
      </c>
      <c r="AB25" s="840">
        <f>ROUND((P25+Q25)*1.2,2)</f>
        <v>416.1</v>
      </c>
      <c r="AC25" s="831">
        <f>ROUND((AA25/AB25)*100%-100%,4)</f>
        <v>4.2200000000000001E-2</v>
      </c>
      <c r="AD25" s="693">
        <f t="shared" si="1"/>
        <v>17.559420000000003</v>
      </c>
      <c r="AE25" s="703">
        <v>-0.14360000000000001</v>
      </c>
      <c r="AF25" s="303">
        <v>342.25400000000002</v>
      </c>
      <c r="AG25" s="702">
        <v>342</v>
      </c>
      <c r="AH25" s="833">
        <f t="shared" si="2"/>
        <v>92</v>
      </c>
      <c r="AI25" s="834">
        <v>0.1615</v>
      </c>
      <c r="AJ25" s="819">
        <f t="shared" si="3"/>
        <v>17.559420000000003</v>
      </c>
      <c r="AK25" s="304"/>
      <c r="AM25" s="698">
        <v>0.1615</v>
      </c>
      <c r="AN25" s="698">
        <f t="shared" si="4"/>
        <v>0.1615</v>
      </c>
      <c r="AO25" s="698">
        <v>0</v>
      </c>
      <c r="AQ25" s="696"/>
      <c r="AR25" s="306"/>
      <c r="AS25" s="698">
        <v>1.034</v>
      </c>
      <c r="AT25" s="700">
        <v>0.1615</v>
      </c>
      <c r="AU25" s="698">
        <f t="shared" si="5"/>
        <v>0.23399999999999999</v>
      </c>
      <c r="AW25" s="700">
        <f t="shared" si="6"/>
        <v>-0.1193</v>
      </c>
      <c r="AX25" s="702">
        <v>342</v>
      </c>
      <c r="AY25" s="695" t="b">
        <f t="shared" si="7"/>
        <v>1</v>
      </c>
      <c r="AZ25" s="307">
        <f t="shared" si="8"/>
        <v>-19.931999999999999</v>
      </c>
      <c r="BA25" s="308"/>
      <c r="BB25" s="308"/>
      <c r="BC25" s="308">
        <f t="shared" si="9"/>
        <v>1.2689999999999999</v>
      </c>
    </row>
    <row r="26" spans="1:55" s="305" customFormat="1" ht="21.75" customHeight="1" x14ac:dyDescent="0.25">
      <c r="A26" s="647"/>
      <c r="B26" s="647"/>
      <c r="C26" s="660"/>
      <c r="D26" s="661"/>
      <c r="E26" s="239" t="s">
        <v>162</v>
      </c>
      <c r="F26" s="168">
        <f>VLOOKUP(E26,'[6]условия, ФОТ'!$A$14:$I$32,9, FALSE)</f>
        <v>180.5</v>
      </c>
      <c r="G26" s="168">
        <v>0.2</v>
      </c>
      <c r="H26" s="661"/>
      <c r="I26" s="661"/>
      <c r="J26" s="661"/>
      <c r="K26" s="687"/>
      <c r="L26" s="688"/>
      <c r="M26" s="688"/>
      <c r="N26" s="688"/>
      <c r="O26" s="688"/>
      <c r="P26" s="661"/>
      <c r="Q26" s="661"/>
      <c r="R26" s="665"/>
      <c r="S26" s="665"/>
      <c r="T26" s="665">
        <f>ROUND((P26+Q26)*(1+$R$5)*1.18,0)</f>
        <v>0</v>
      </c>
      <c r="U26" s="830"/>
      <c r="V26" s="836"/>
      <c r="W26" s="690"/>
      <c r="X26" s="691"/>
      <c r="Y26" s="302"/>
      <c r="Z26" s="838"/>
      <c r="AA26" s="839"/>
      <c r="AB26" s="840"/>
      <c r="AC26" s="832"/>
      <c r="AD26" s="694"/>
      <c r="AE26" s="704"/>
      <c r="AF26" s="303"/>
      <c r="AG26" s="702"/>
      <c r="AH26" s="833"/>
      <c r="AI26" s="835"/>
      <c r="AJ26" s="820"/>
      <c r="AK26" s="304"/>
      <c r="AM26" s="699"/>
      <c r="AN26" s="699"/>
      <c r="AO26" s="699"/>
      <c r="AQ26" s="697"/>
      <c r="AR26" s="306"/>
      <c r="AS26" s="699"/>
      <c r="AT26" s="701"/>
      <c r="AU26" s="699"/>
      <c r="AW26" s="701"/>
      <c r="AX26" s="702"/>
      <c r="AY26" s="695"/>
      <c r="AZ26" s="307"/>
      <c r="BA26" s="308"/>
      <c r="BB26" s="308"/>
      <c r="BC26" s="308"/>
    </row>
    <row r="27" spans="1:55" s="305" customFormat="1" ht="28.5" customHeight="1" outlineLevel="1" x14ac:dyDescent="0.3">
      <c r="A27" s="264"/>
      <c r="B27" s="264"/>
      <c r="C27" s="265"/>
      <c r="D27" s="168"/>
      <c r="E27" s="239"/>
      <c r="F27" s="168"/>
      <c r="G27" s="168"/>
      <c r="H27" s="168"/>
      <c r="I27" s="168"/>
      <c r="J27" s="295" t="s">
        <v>366</v>
      </c>
      <c r="K27" s="296" t="s">
        <v>369</v>
      </c>
      <c r="L27" s="266" t="str">
        <f>VLOOKUP(K27,[6]материалы!$A$5:$G$31,5, FALSE)</f>
        <v>м</v>
      </c>
      <c r="M27" s="168">
        <f>VLOOKUP(K27,[6]материалы!$A$5:$G$34,7, FALSE)</f>
        <v>110.83</v>
      </c>
      <c r="N27" s="266">
        <v>1</v>
      </c>
      <c r="O27" s="168">
        <f t="shared" ref="O27" si="12">ROUND(M27*N27,2)</f>
        <v>110.83</v>
      </c>
      <c r="P27" s="168"/>
      <c r="Q27" s="168"/>
      <c r="R27" s="268"/>
      <c r="S27" s="268"/>
      <c r="T27" s="268"/>
      <c r="U27" s="309"/>
      <c r="V27" s="310"/>
      <c r="W27" s="311"/>
      <c r="X27" s="312"/>
      <c r="Y27" s="302"/>
      <c r="Z27" s="313"/>
      <c r="AA27" s="314"/>
      <c r="AB27" s="315"/>
      <c r="AC27" s="316"/>
      <c r="AD27" s="317"/>
      <c r="AE27" s="318"/>
      <c r="AF27" s="303"/>
      <c r="AG27" s="319"/>
      <c r="AH27" s="320"/>
      <c r="AI27" s="321"/>
      <c r="AJ27" s="283"/>
      <c r="AK27" s="304"/>
      <c r="AM27" s="322"/>
      <c r="AN27" s="322"/>
      <c r="AO27" s="322"/>
      <c r="AQ27" s="323"/>
      <c r="AR27" s="306"/>
      <c r="AS27" s="322"/>
      <c r="AT27" s="324"/>
      <c r="AU27" s="322"/>
      <c r="AW27" s="324"/>
      <c r="AX27" s="319"/>
      <c r="AY27" s="325"/>
      <c r="AZ27" s="307"/>
      <c r="BA27" s="308"/>
      <c r="BB27" s="308"/>
      <c r="BC27" s="308"/>
    </row>
    <row r="28" spans="1:55" s="82" customFormat="1" ht="31.7" customHeight="1" x14ac:dyDescent="0.3">
      <c r="A28" s="264" t="s">
        <v>625</v>
      </c>
      <c r="B28" s="264" t="s">
        <v>626</v>
      </c>
      <c r="C28" s="265" t="s">
        <v>627</v>
      </c>
      <c r="D28" s="239" t="s">
        <v>628</v>
      </c>
      <c r="E28" s="239" t="s">
        <v>162</v>
      </c>
      <c r="F28" s="168">
        <f>VLOOKUP(E28,'[6]условия, ФОТ'!$A$14:$I$32,9, FALSE)</f>
        <v>180.5</v>
      </c>
      <c r="G28" s="266">
        <v>0.25</v>
      </c>
      <c r="H28" s="168">
        <f>ROUND(F28*G28,2)</f>
        <v>45.13</v>
      </c>
      <c r="I28" s="168">
        <f>ROUND(H28*$I$5,2)</f>
        <v>13.63</v>
      </c>
      <c r="J28" s="168">
        <f>H28+I28</f>
        <v>58.760000000000005</v>
      </c>
      <c r="K28" s="267"/>
      <c r="L28" s="168"/>
      <c r="M28" s="168"/>
      <c r="N28" s="168"/>
      <c r="O28" s="168">
        <f>O29</f>
        <v>16.670000000000002</v>
      </c>
      <c r="P28" s="168">
        <f>J28+O28</f>
        <v>75.430000000000007</v>
      </c>
      <c r="Q28" s="168">
        <f>ROUND(P28*$Q$5,2)</f>
        <v>50.16</v>
      </c>
      <c r="R28" s="268">
        <f>ROUND(T28/1.2,2)</f>
        <v>168.33</v>
      </c>
      <c r="S28" s="268">
        <f>ROUND(R28*$S$5,2)</f>
        <v>33.67</v>
      </c>
      <c r="T28" s="268">
        <f>ROUND((P28+Q28)*(1+AC28)*1.2,0)</f>
        <v>202</v>
      </c>
      <c r="U28" s="269">
        <v>182</v>
      </c>
      <c r="V28" s="326">
        <f>T28/U28*100-100</f>
        <v>10.989010989010993</v>
      </c>
      <c r="W28" s="271">
        <v>194</v>
      </c>
      <c r="X28" s="272">
        <f t="shared" si="0"/>
        <v>4.1237113402061993</v>
      </c>
      <c r="Y28" s="231">
        <v>188</v>
      </c>
      <c r="Z28" s="273">
        <v>1.042</v>
      </c>
      <c r="AA28" s="274">
        <f>ROUND(W28*Z28,2)</f>
        <v>202.15</v>
      </c>
      <c r="AB28" s="275">
        <f>ROUND((P28+Q28)*1.2,2)</f>
        <v>150.71</v>
      </c>
      <c r="AC28" s="276">
        <f>ROUND((AA28/AB28)*100%-100%,4)</f>
        <v>0.34129999999999999</v>
      </c>
      <c r="AD28" s="277">
        <f t="shared" si="1"/>
        <v>51.437322999999999</v>
      </c>
      <c r="AE28" s="278"/>
      <c r="AF28" s="235">
        <v>194.392</v>
      </c>
      <c r="AG28" s="106">
        <v>194</v>
      </c>
      <c r="AH28" s="281">
        <f t="shared" si="2"/>
        <v>8</v>
      </c>
      <c r="AI28" s="282">
        <v>8.1600000000000006E-2</v>
      </c>
      <c r="AJ28" s="283">
        <f t="shared" si="3"/>
        <v>51.437322999999999</v>
      </c>
      <c r="AK28" s="284"/>
      <c r="AM28" s="285">
        <v>8.1600000000000006E-2</v>
      </c>
      <c r="AN28" s="285">
        <f t="shared" si="4"/>
        <v>8.1600000000000006E-2</v>
      </c>
      <c r="AO28" s="285">
        <v>0</v>
      </c>
      <c r="AQ28" s="286"/>
      <c r="AR28" s="287"/>
      <c r="AS28" s="285">
        <v>1.034</v>
      </c>
      <c r="AT28" s="288">
        <v>8.1600000000000006E-2</v>
      </c>
      <c r="AU28" s="285">
        <f t="shared" si="5"/>
        <v>8.0000000000000071E-3</v>
      </c>
      <c r="AW28" s="288">
        <f t="shared" si="6"/>
        <v>0.25969999999999999</v>
      </c>
      <c r="AX28" s="106">
        <v>194</v>
      </c>
      <c r="AY28" s="127" t="b">
        <f t="shared" si="7"/>
        <v>1</v>
      </c>
      <c r="AZ28" s="289">
        <f t="shared" si="8"/>
        <v>-2.9180000000000001</v>
      </c>
      <c r="BA28"/>
      <c r="BB28"/>
      <c r="BC28">
        <f t="shared" si="9"/>
        <v>1.0409999999999999</v>
      </c>
    </row>
    <row r="29" spans="1:55" s="82" customFormat="1" ht="40.5" customHeight="1" outlineLevel="1" x14ac:dyDescent="0.3">
      <c r="A29" s="264"/>
      <c r="B29" s="264"/>
      <c r="C29" s="265"/>
      <c r="D29" s="239"/>
      <c r="E29" s="239"/>
      <c r="F29" s="168"/>
      <c r="G29" s="266"/>
      <c r="H29" s="168"/>
      <c r="I29" s="168"/>
      <c r="J29" s="168"/>
      <c r="K29" s="296" t="s">
        <v>403</v>
      </c>
      <c r="L29" s="266" t="str">
        <f>VLOOKUP(K29,[6]материалы!$A$5:$G$31,5, FALSE)</f>
        <v>шт.</v>
      </c>
      <c r="M29" s="168">
        <f>VLOOKUP(K29,[6]материалы!$A$5:$G$34,7, FALSE)</f>
        <v>16.670000000000002</v>
      </c>
      <c r="N29" s="266">
        <v>1</v>
      </c>
      <c r="O29" s="168">
        <f t="shared" ref="O29" si="13">ROUND(M29*N29,2)</f>
        <v>16.670000000000002</v>
      </c>
      <c r="P29" s="168"/>
      <c r="Q29" s="168"/>
      <c r="R29" s="268"/>
      <c r="S29" s="268"/>
      <c r="T29" s="268"/>
      <c r="U29" s="269"/>
      <c r="V29" s="326"/>
      <c r="W29" s="271"/>
      <c r="X29" s="272"/>
      <c r="Y29" s="231"/>
      <c r="Z29" s="273"/>
      <c r="AA29" s="58"/>
      <c r="AB29" s="275"/>
      <c r="AC29" s="276"/>
      <c r="AD29" s="277"/>
      <c r="AE29" s="278"/>
      <c r="AF29" s="235"/>
      <c r="AG29" s="106"/>
      <c r="AH29" s="281"/>
      <c r="AI29" s="282"/>
      <c r="AJ29" s="283"/>
      <c r="AK29" s="284"/>
      <c r="AM29" s="285"/>
      <c r="AN29" s="285"/>
      <c r="AO29" s="285"/>
      <c r="AQ29" s="286"/>
      <c r="AR29" s="287"/>
      <c r="AS29" s="285"/>
      <c r="AT29" s="288"/>
      <c r="AU29" s="285"/>
      <c r="AW29" s="288"/>
      <c r="AX29" s="106"/>
      <c r="AY29" s="127"/>
      <c r="AZ29" s="289"/>
      <c r="BA29"/>
      <c r="BB29"/>
      <c r="BC29"/>
    </row>
    <row r="30" spans="1:55" s="82" customFormat="1" ht="40.700000000000003" customHeight="1" x14ac:dyDescent="0.3">
      <c r="A30" s="264" t="s">
        <v>629</v>
      </c>
      <c r="B30" s="264" t="s">
        <v>630</v>
      </c>
      <c r="C30" s="265" t="s">
        <v>631</v>
      </c>
      <c r="D30" s="239" t="s">
        <v>632</v>
      </c>
      <c r="E30" s="239" t="s">
        <v>161</v>
      </c>
      <c r="F30" s="168">
        <f>VLOOKUP(E30,'[6]условия, ФОТ'!$A$14:$I$32,9, FALSE)</f>
        <v>180.5</v>
      </c>
      <c r="G30" s="266">
        <v>0.5</v>
      </c>
      <c r="H30" s="168">
        <f>ROUND(F30*G30,2)</f>
        <v>90.25</v>
      </c>
      <c r="I30" s="168">
        <f>ROUND(H30*$I$5,2)</f>
        <v>27.26</v>
      </c>
      <c r="J30" s="168">
        <f>H30+I30</f>
        <v>117.51</v>
      </c>
      <c r="K30" s="267"/>
      <c r="L30" s="168"/>
      <c r="M30" s="168"/>
      <c r="N30" s="168"/>
      <c r="O30" s="168"/>
      <c r="P30" s="168">
        <f>J30+O30</f>
        <v>117.51</v>
      </c>
      <c r="Q30" s="168">
        <f>ROUND(P30*$Q$5,2)</f>
        <v>78.14</v>
      </c>
      <c r="R30" s="268">
        <f>ROUND(T30/1.2,2)</f>
        <v>210.83</v>
      </c>
      <c r="S30" s="268">
        <f>ROUND(R30*$S$5,2)</f>
        <v>42.17</v>
      </c>
      <c r="T30" s="268">
        <f>ROUND((P30+Q30)*(1+AC30)*1.2,0)</f>
        <v>253</v>
      </c>
      <c r="U30" s="269">
        <v>186</v>
      </c>
      <c r="V30" s="270">
        <f>T30/U30*100-100</f>
        <v>36.021505376344066</v>
      </c>
      <c r="W30" s="271">
        <v>243</v>
      </c>
      <c r="X30" s="272">
        <f t="shared" si="0"/>
        <v>4.1152263374485614</v>
      </c>
      <c r="Y30" s="231">
        <v>192</v>
      </c>
      <c r="Z30" s="273">
        <v>1.042</v>
      </c>
      <c r="AA30" s="274">
        <f>ROUND(W30*Z30,2)</f>
        <v>253.21</v>
      </c>
      <c r="AB30" s="275">
        <f>ROUND((P30+Q30)*1.2,2)</f>
        <v>234.78</v>
      </c>
      <c r="AC30" s="276">
        <f>ROUND((AA30/AB30)*100%-100%,4)</f>
        <v>7.85E-2</v>
      </c>
      <c r="AD30" s="277">
        <f t="shared" si="1"/>
        <v>18.430230000000002</v>
      </c>
      <c r="AE30" s="278"/>
      <c r="AF30" s="235">
        <v>198.52800000000002</v>
      </c>
      <c r="AG30" s="106">
        <v>243</v>
      </c>
      <c r="AH30" s="281">
        <f t="shared" si="2"/>
        <v>10</v>
      </c>
      <c r="AI30" s="282">
        <v>4.9799999999999997E-2</v>
      </c>
      <c r="AJ30" s="283">
        <f t="shared" si="3"/>
        <v>18.430230000000002</v>
      </c>
      <c r="AK30" s="284"/>
      <c r="AM30" s="285">
        <v>-0.14119999999999999</v>
      </c>
      <c r="AN30" s="285">
        <f t="shared" si="4"/>
        <v>1.1412</v>
      </c>
      <c r="AO30" s="285">
        <v>1.18</v>
      </c>
      <c r="AQ30" s="286">
        <f t="shared" ref="AQ30:AQ68" si="14">ROUND(W30*AO30,2)</f>
        <v>286.74</v>
      </c>
      <c r="AR30" s="287"/>
      <c r="AS30" s="285">
        <v>1.034</v>
      </c>
      <c r="AT30" s="288">
        <v>-0.14119999999999999</v>
      </c>
      <c r="AU30" s="285">
        <f t="shared" si="5"/>
        <v>8.0000000000000071E-3</v>
      </c>
      <c r="AW30" s="288">
        <f t="shared" si="6"/>
        <v>0.21970000000000001</v>
      </c>
      <c r="AX30" s="106">
        <v>243</v>
      </c>
      <c r="AY30" s="127" t="b">
        <f t="shared" si="7"/>
        <v>1</v>
      </c>
      <c r="AZ30" s="289">
        <f t="shared" si="8"/>
        <v>-2.9080000000000004</v>
      </c>
      <c r="BA30"/>
      <c r="BB30"/>
      <c r="BC30">
        <f t="shared" si="9"/>
        <v>1.0409999999999999</v>
      </c>
    </row>
    <row r="31" spans="1:55" s="82" customFormat="1" ht="39.75" customHeight="1" x14ac:dyDescent="0.3">
      <c r="A31" s="264" t="s">
        <v>633</v>
      </c>
      <c r="B31" s="264" t="s">
        <v>170</v>
      </c>
      <c r="C31" s="265" t="s">
        <v>559</v>
      </c>
      <c r="D31" s="168" t="s">
        <v>26</v>
      </c>
      <c r="E31" s="239" t="s">
        <v>162</v>
      </c>
      <c r="F31" s="168">
        <f>VLOOKUP(E31,'[6]условия, ФОТ'!$A$14:$I$32,9, FALSE)</f>
        <v>180.5</v>
      </c>
      <c r="G31" s="266">
        <v>0.25</v>
      </c>
      <c r="H31" s="168">
        <f>ROUND(F31*G31,2)</f>
        <v>45.13</v>
      </c>
      <c r="I31" s="168">
        <f>ROUND(H31*$I$5,2)</f>
        <v>13.63</v>
      </c>
      <c r="J31" s="168">
        <f>H31+I31</f>
        <v>58.760000000000005</v>
      </c>
      <c r="K31" s="267"/>
      <c r="L31" s="168"/>
      <c r="M31" s="168"/>
      <c r="N31" s="168"/>
      <c r="O31" s="168">
        <f>SUM(O32:O34)</f>
        <v>4.3500000000000005</v>
      </c>
      <c r="P31" s="168">
        <f t="shared" ref="P31:P56" si="15">J31+O31</f>
        <v>63.110000000000007</v>
      </c>
      <c r="Q31" s="168">
        <f>ROUND(P31*$Q$5,2)</f>
        <v>41.97</v>
      </c>
      <c r="R31" s="268">
        <f>ROUND(T31/1.2,2)</f>
        <v>112.5</v>
      </c>
      <c r="S31" s="268">
        <f>ROUND(R31*$S$5,2)</f>
        <v>22.5</v>
      </c>
      <c r="T31" s="268">
        <f>ROUND((P31+Q31)*(1+AC31)*1.2,0)</f>
        <v>135</v>
      </c>
      <c r="U31" s="269">
        <v>115</v>
      </c>
      <c r="V31" s="270">
        <f t="shared" ref="V31:V35" si="16">T31/U31*100-100</f>
        <v>17.391304347826093</v>
      </c>
      <c r="W31" s="271">
        <v>130</v>
      </c>
      <c r="X31" s="272">
        <f t="shared" si="0"/>
        <v>3.8461538461538538</v>
      </c>
      <c r="Y31" s="231">
        <v>119</v>
      </c>
      <c r="Z31" s="273">
        <v>1.042</v>
      </c>
      <c r="AA31" s="274">
        <f>ROUND(W31*Z31,2)</f>
        <v>135.46</v>
      </c>
      <c r="AB31" s="275">
        <f>ROUND((P31+Q31)*1.2,2)</f>
        <v>126.1</v>
      </c>
      <c r="AC31" s="276">
        <f>ROUND((AA31/AB31)*100%-100%,4)</f>
        <v>7.4200000000000002E-2</v>
      </c>
      <c r="AD31" s="277">
        <f t="shared" si="1"/>
        <v>9.3566199999999995</v>
      </c>
      <c r="AE31" s="278"/>
      <c r="AF31" s="235">
        <v>123.04600000000001</v>
      </c>
      <c r="AG31" s="106">
        <v>130</v>
      </c>
      <c r="AH31" s="281">
        <f t="shared" si="2"/>
        <v>5</v>
      </c>
      <c r="AI31" s="282">
        <v>4.9200000000000001E-2</v>
      </c>
      <c r="AJ31" s="283">
        <f t="shared" si="3"/>
        <v>9.3566199999999995</v>
      </c>
      <c r="AK31" s="284"/>
      <c r="AM31" s="285">
        <v>-9.2999999999999992E-3</v>
      </c>
      <c r="AN31" s="285">
        <f t="shared" si="4"/>
        <v>1.0093000000000001</v>
      </c>
      <c r="AO31" s="285">
        <v>1.044</v>
      </c>
      <c r="AQ31" s="286">
        <f t="shared" si="14"/>
        <v>135.72</v>
      </c>
      <c r="AR31" s="287"/>
      <c r="AS31" s="285">
        <v>1.034</v>
      </c>
      <c r="AT31" s="288">
        <v>-9.2999999999999992E-3</v>
      </c>
      <c r="AU31" s="285">
        <f t="shared" si="5"/>
        <v>8.0000000000000071E-3</v>
      </c>
      <c r="AW31" s="288">
        <f t="shared" si="6"/>
        <v>8.3500000000000005E-2</v>
      </c>
      <c r="AX31" s="106">
        <v>130</v>
      </c>
      <c r="AY31" s="127" t="b">
        <f t="shared" si="7"/>
        <v>1</v>
      </c>
      <c r="AZ31" s="289">
        <f t="shared" si="8"/>
        <v>-2.6580000000000004</v>
      </c>
      <c r="BA31"/>
      <c r="BB31"/>
      <c r="BC31">
        <f t="shared" si="9"/>
        <v>1.038</v>
      </c>
    </row>
    <row r="32" spans="1:55" s="82" customFormat="1" ht="24.75" customHeight="1" outlineLevel="1" x14ac:dyDescent="0.3">
      <c r="A32" s="264"/>
      <c r="B32" s="264"/>
      <c r="C32" s="265"/>
      <c r="D32" s="168"/>
      <c r="E32" s="239"/>
      <c r="F32" s="168"/>
      <c r="G32" s="266"/>
      <c r="H32" s="168"/>
      <c r="I32" s="168"/>
      <c r="J32" s="295" t="s">
        <v>366</v>
      </c>
      <c r="K32" s="121" t="s">
        <v>335</v>
      </c>
      <c r="L32" s="266" t="str">
        <f>VLOOKUP(K32,[6]материалы!$A$5:$G$31,5, FALSE)</f>
        <v>кг</v>
      </c>
      <c r="M32" s="168">
        <f>VLOOKUP(K32,[6]материалы!$A$5:$G$34,7, FALSE)</f>
        <v>720.83</v>
      </c>
      <c r="N32" s="168">
        <v>5.0000000000000001E-3</v>
      </c>
      <c r="O32" s="168">
        <f>ROUND(M32*N32,2)</f>
        <v>3.6</v>
      </c>
      <c r="P32" s="168"/>
      <c r="Q32" s="168"/>
      <c r="R32" s="268"/>
      <c r="S32" s="268"/>
      <c r="T32" s="268"/>
      <c r="U32" s="269"/>
      <c r="V32" s="270"/>
      <c r="W32" s="271"/>
      <c r="X32" s="272"/>
      <c r="Y32" s="231"/>
      <c r="Z32" s="273"/>
      <c r="AA32" s="58"/>
      <c r="AB32" s="275"/>
      <c r="AC32" s="276"/>
      <c r="AD32" s="277"/>
      <c r="AE32" s="278"/>
      <c r="AF32" s="235"/>
      <c r="AG32" s="106"/>
      <c r="AH32" s="281"/>
      <c r="AI32" s="282"/>
      <c r="AJ32" s="283"/>
      <c r="AK32" s="284"/>
      <c r="AM32" s="285"/>
      <c r="AN32" s="285"/>
      <c r="AO32" s="285"/>
      <c r="AQ32" s="286"/>
      <c r="AR32" s="287"/>
      <c r="AS32" s="285"/>
      <c r="AT32" s="288"/>
      <c r="AU32" s="285"/>
      <c r="AW32" s="288"/>
      <c r="AX32" s="106"/>
      <c r="AY32" s="127"/>
      <c r="AZ32" s="289"/>
      <c r="BA32"/>
      <c r="BB32"/>
      <c r="BC32"/>
    </row>
    <row r="33" spans="1:55" s="82" customFormat="1" ht="18" customHeight="1" outlineLevel="1" x14ac:dyDescent="0.3">
      <c r="A33" s="264"/>
      <c r="B33" s="264"/>
      <c r="C33" s="265"/>
      <c r="D33" s="168"/>
      <c r="E33" s="239"/>
      <c r="F33" s="168"/>
      <c r="G33" s="266"/>
      <c r="H33" s="168"/>
      <c r="I33" s="168"/>
      <c r="J33" s="168"/>
      <c r="K33" s="296" t="s">
        <v>329</v>
      </c>
      <c r="L33" s="266" t="str">
        <f>VLOOKUP(K33,[6]материалы!$A$5:$G$31,5, FALSE)</f>
        <v>кг</v>
      </c>
      <c r="M33" s="168">
        <f>VLOOKUP(K33,[6]материалы!$A$5:$G$34,7, FALSE)</f>
        <v>79.17</v>
      </c>
      <c r="N33" s="301">
        <v>1E-3</v>
      </c>
      <c r="O33" s="168">
        <f>ROUND(M33*N33,2)</f>
        <v>0.08</v>
      </c>
      <c r="P33" s="168"/>
      <c r="Q33" s="168"/>
      <c r="R33" s="268"/>
      <c r="S33" s="268"/>
      <c r="T33" s="268"/>
      <c r="U33" s="269"/>
      <c r="V33" s="270"/>
      <c r="W33" s="271"/>
      <c r="X33" s="272"/>
      <c r="Y33" s="231"/>
      <c r="Z33" s="273"/>
      <c r="AA33" s="58"/>
      <c r="AB33" s="275"/>
      <c r="AC33" s="276"/>
      <c r="AD33" s="277"/>
      <c r="AE33" s="278"/>
      <c r="AF33" s="235"/>
      <c r="AG33" s="106"/>
      <c r="AH33" s="281"/>
      <c r="AI33" s="282"/>
      <c r="AJ33" s="283"/>
      <c r="AK33" s="284"/>
      <c r="AM33" s="285"/>
      <c r="AN33" s="285"/>
      <c r="AO33" s="285"/>
      <c r="AQ33" s="286"/>
      <c r="AR33" s="287"/>
      <c r="AS33" s="285"/>
      <c r="AT33" s="288"/>
      <c r="AU33" s="285"/>
      <c r="AW33" s="288"/>
      <c r="AX33" s="106"/>
      <c r="AY33" s="127"/>
      <c r="AZ33" s="289"/>
      <c r="BA33"/>
      <c r="BB33"/>
      <c r="BC33"/>
    </row>
    <row r="34" spans="1:55" s="82" customFormat="1" ht="17.25" customHeight="1" outlineLevel="1" x14ac:dyDescent="0.3">
      <c r="A34" s="264"/>
      <c r="B34" s="264"/>
      <c r="C34" s="265"/>
      <c r="D34" s="168"/>
      <c r="E34" s="239"/>
      <c r="F34" s="168"/>
      <c r="G34" s="266"/>
      <c r="H34" s="168"/>
      <c r="I34" s="168"/>
      <c r="J34" s="168"/>
      <c r="K34" s="296" t="s">
        <v>330</v>
      </c>
      <c r="L34" s="266" t="str">
        <f>VLOOKUP(K34,[6]материалы!$A$5:$G$31,5, FALSE)</f>
        <v>кг</v>
      </c>
      <c r="M34" s="168">
        <f>VLOOKUP(K34,[6]материалы!$A$5:$G$34,7, FALSE)</f>
        <v>66.67</v>
      </c>
      <c r="N34" s="266">
        <v>0.01</v>
      </c>
      <c r="O34" s="168">
        <f>ROUND(M34*N34,2)</f>
        <v>0.67</v>
      </c>
      <c r="P34" s="168"/>
      <c r="Q34" s="168"/>
      <c r="R34" s="268"/>
      <c r="S34" s="268"/>
      <c r="T34" s="268"/>
      <c r="U34" s="269"/>
      <c r="V34" s="270"/>
      <c r="W34" s="271"/>
      <c r="X34" s="272"/>
      <c r="Y34" s="231"/>
      <c r="Z34" s="273"/>
      <c r="AA34" s="58"/>
      <c r="AB34" s="275"/>
      <c r="AC34" s="276"/>
      <c r="AD34" s="277"/>
      <c r="AE34" s="278"/>
      <c r="AF34" s="235"/>
      <c r="AG34" s="106"/>
      <c r="AH34" s="281"/>
      <c r="AI34" s="282"/>
      <c r="AJ34" s="283"/>
      <c r="AK34" s="284"/>
      <c r="AM34" s="285"/>
      <c r="AN34" s="285"/>
      <c r="AO34" s="285"/>
      <c r="AQ34" s="286"/>
      <c r="AR34" s="287"/>
      <c r="AS34" s="285"/>
      <c r="AT34" s="288"/>
      <c r="AU34" s="285"/>
      <c r="AW34" s="288"/>
      <c r="AX34" s="106"/>
      <c r="AY34" s="127"/>
      <c r="AZ34" s="289"/>
      <c r="BA34"/>
      <c r="BB34"/>
      <c r="BC34"/>
    </row>
    <row r="35" spans="1:55" s="82" customFormat="1" ht="51" customHeight="1" x14ac:dyDescent="0.3">
      <c r="A35" s="264" t="s">
        <v>634</v>
      </c>
      <c r="B35" s="264" t="s">
        <v>170</v>
      </c>
      <c r="C35" s="265" t="s">
        <v>635</v>
      </c>
      <c r="D35" s="168" t="s">
        <v>26</v>
      </c>
      <c r="E35" s="239" t="s">
        <v>162</v>
      </c>
      <c r="F35" s="168">
        <f>VLOOKUP(E35,'[6]условия, ФОТ'!$A$14:$I$32,9, FALSE)</f>
        <v>180.5</v>
      </c>
      <c r="G35" s="266">
        <v>0.35</v>
      </c>
      <c r="H35" s="168">
        <f t="shared" ref="H35" si="17">ROUND(F35*G35,2)</f>
        <v>63.18</v>
      </c>
      <c r="I35" s="168">
        <f t="shared" ref="I35" si="18">ROUND(H35*$I$5,2)</f>
        <v>19.079999999999998</v>
      </c>
      <c r="J35" s="168">
        <f t="shared" ref="J35" si="19">H35+I35</f>
        <v>82.259999999999991</v>
      </c>
      <c r="K35" s="267"/>
      <c r="L35" s="168"/>
      <c r="M35" s="168"/>
      <c r="N35" s="168"/>
      <c r="O35" s="168">
        <f>SUM(O36:O38)</f>
        <v>4.3500000000000005</v>
      </c>
      <c r="P35" s="168">
        <f t="shared" si="15"/>
        <v>86.609999999999985</v>
      </c>
      <c r="Q35" s="168">
        <f t="shared" ref="Q35:Q234" si="20">ROUND(P35*$Q$5,2)</f>
        <v>57.6</v>
      </c>
      <c r="R35" s="268">
        <f>ROUND(T35/1.2,2)</f>
        <v>155.83000000000001</v>
      </c>
      <c r="S35" s="268">
        <f t="shared" ref="S35:S235" si="21">ROUND(R35*$S$5,2)</f>
        <v>31.17</v>
      </c>
      <c r="T35" s="268">
        <f>ROUND((P35+Q35)*(1+AC35)*1.2,0)</f>
        <v>187</v>
      </c>
      <c r="U35" s="269">
        <v>157</v>
      </c>
      <c r="V35" s="270">
        <f t="shared" si="16"/>
        <v>19.108280254777071</v>
      </c>
      <c r="W35" s="271">
        <v>179</v>
      </c>
      <c r="X35" s="272">
        <f t="shared" si="0"/>
        <v>4.4692737430167568</v>
      </c>
      <c r="Y35" s="231">
        <v>162</v>
      </c>
      <c r="Z35" s="273">
        <v>1.042</v>
      </c>
      <c r="AA35" s="274">
        <f>ROUND(W35*Z35,2)</f>
        <v>186.52</v>
      </c>
      <c r="AB35" s="275">
        <f>ROUND((P35+Q35)*1.2,2)</f>
        <v>173.05</v>
      </c>
      <c r="AC35" s="276">
        <f>ROUND((AA35/AB35)*100%-100%,4)</f>
        <v>7.7799999999999994E-2</v>
      </c>
      <c r="AD35" s="277">
        <f t="shared" si="1"/>
        <v>13.463290000000001</v>
      </c>
      <c r="AE35" s="278"/>
      <c r="AF35" s="235">
        <v>167.50800000000001</v>
      </c>
      <c r="AG35" s="106">
        <v>179</v>
      </c>
      <c r="AH35" s="281">
        <f t="shared" si="2"/>
        <v>8</v>
      </c>
      <c r="AI35" s="282">
        <v>4.9500000000000002E-2</v>
      </c>
      <c r="AJ35" s="283">
        <f t="shared" si="3"/>
        <v>13.463290000000001</v>
      </c>
      <c r="AK35" s="284"/>
      <c r="AM35" s="285">
        <v>-1.7100000000000001E-2</v>
      </c>
      <c r="AN35" s="285">
        <f t="shared" si="4"/>
        <v>1.0170999999999999</v>
      </c>
      <c r="AO35" s="285">
        <v>1.052</v>
      </c>
      <c r="AQ35" s="286">
        <f t="shared" si="14"/>
        <v>188.31</v>
      </c>
      <c r="AR35" s="287"/>
      <c r="AS35" s="285">
        <v>1.034</v>
      </c>
      <c r="AT35" s="288">
        <v>-1.7100000000000001E-2</v>
      </c>
      <c r="AU35" s="285">
        <f t="shared" si="5"/>
        <v>8.0000000000000071E-3</v>
      </c>
      <c r="AW35" s="288">
        <f t="shared" si="6"/>
        <v>9.4899999999999998E-2</v>
      </c>
      <c r="AX35" s="106">
        <v>179</v>
      </c>
      <c r="AY35" s="127" t="b">
        <f t="shared" si="7"/>
        <v>1</v>
      </c>
      <c r="AZ35" s="289">
        <f t="shared" si="8"/>
        <v>-3.2380000000000004</v>
      </c>
      <c r="BA35"/>
      <c r="BB35"/>
      <c r="BC35">
        <f t="shared" si="9"/>
        <v>1.0449999999999999</v>
      </c>
    </row>
    <row r="36" spans="1:55" s="82" customFormat="1" ht="24" customHeight="1" outlineLevel="1" x14ac:dyDescent="0.3">
      <c r="A36" s="264"/>
      <c r="B36" s="264"/>
      <c r="C36" s="265"/>
      <c r="D36" s="168"/>
      <c r="E36" s="239"/>
      <c r="F36" s="168"/>
      <c r="G36" s="266"/>
      <c r="H36" s="168"/>
      <c r="I36" s="168"/>
      <c r="J36" s="295" t="s">
        <v>366</v>
      </c>
      <c r="K36" s="121" t="s">
        <v>335</v>
      </c>
      <c r="L36" s="266" t="str">
        <f>VLOOKUP(K36,[6]материалы!$A$5:$G$31,5, FALSE)</f>
        <v>кг</v>
      </c>
      <c r="M36" s="168">
        <f>VLOOKUP(K36,[6]материалы!$A$5:$G$34,7, FALSE)</f>
        <v>720.83</v>
      </c>
      <c r="N36" s="168">
        <v>5.0000000000000001E-3</v>
      </c>
      <c r="O36" s="168">
        <f>ROUND(M36*N36,2)</f>
        <v>3.6</v>
      </c>
      <c r="P36" s="168"/>
      <c r="Q36" s="168"/>
      <c r="R36" s="268"/>
      <c r="S36" s="268"/>
      <c r="T36" s="268"/>
      <c r="U36" s="269"/>
      <c r="V36" s="270"/>
      <c r="W36" s="271"/>
      <c r="X36" s="272"/>
      <c r="Y36" s="231"/>
      <c r="Z36" s="273"/>
      <c r="AA36" s="58"/>
      <c r="AB36" s="275"/>
      <c r="AC36" s="276"/>
      <c r="AD36" s="277"/>
      <c r="AE36" s="278"/>
      <c r="AF36" s="235"/>
      <c r="AG36" s="106"/>
      <c r="AH36" s="281"/>
      <c r="AI36" s="282"/>
      <c r="AJ36" s="283"/>
      <c r="AK36" s="284"/>
      <c r="AM36" s="285"/>
      <c r="AN36" s="285"/>
      <c r="AO36" s="285"/>
      <c r="AQ36" s="286"/>
      <c r="AR36" s="287"/>
      <c r="AS36" s="285"/>
      <c r="AT36" s="288"/>
      <c r="AU36" s="285"/>
      <c r="AW36" s="288"/>
      <c r="AX36" s="106"/>
      <c r="AY36" s="127"/>
      <c r="AZ36" s="289"/>
      <c r="BA36"/>
      <c r="BB36"/>
      <c r="BC36"/>
    </row>
    <row r="37" spans="1:55" s="82" customFormat="1" ht="15.75" customHeight="1" outlineLevel="1" x14ac:dyDescent="0.3">
      <c r="A37" s="264"/>
      <c r="B37" s="264"/>
      <c r="C37" s="265"/>
      <c r="D37" s="168"/>
      <c r="E37" s="239"/>
      <c r="F37" s="168"/>
      <c r="G37" s="266"/>
      <c r="H37" s="168"/>
      <c r="I37" s="168"/>
      <c r="J37" s="168"/>
      <c r="K37" s="296" t="s">
        <v>329</v>
      </c>
      <c r="L37" s="266" t="str">
        <f>VLOOKUP(K37,[6]материалы!$A$5:$G$31,5, FALSE)</f>
        <v>кг</v>
      </c>
      <c r="M37" s="168">
        <f>VLOOKUP(K37,[6]материалы!$A$5:$G$34,7, FALSE)</f>
        <v>79.17</v>
      </c>
      <c r="N37" s="301">
        <v>1E-3</v>
      </c>
      <c r="O37" s="168">
        <f t="shared" ref="O37:O38" si="22">ROUND(M37*N37,2)</f>
        <v>0.08</v>
      </c>
      <c r="P37" s="168"/>
      <c r="Q37" s="168"/>
      <c r="R37" s="268"/>
      <c r="S37" s="268"/>
      <c r="T37" s="268"/>
      <c r="U37" s="269"/>
      <c r="V37" s="270"/>
      <c r="W37" s="271"/>
      <c r="X37" s="272"/>
      <c r="Y37" s="231"/>
      <c r="Z37" s="273"/>
      <c r="AA37" s="58"/>
      <c r="AB37" s="275"/>
      <c r="AC37" s="276"/>
      <c r="AD37" s="277"/>
      <c r="AE37" s="278"/>
      <c r="AF37" s="235"/>
      <c r="AG37" s="106"/>
      <c r="AH37" s="281"/>
      <c r="AI37" s="282"/>
      <c r="AJ37" s="283"/>
      <c r="AK37" s="284"/>
      <c r="AM37" s="285"/>
      <c r="AN37" s="285"/>
      <c r="AO37" s="285"/>
      <c r="AQ37" s="286"/>
      <c r="AR37" s="287"/>
      <c r="AS37" s="285"/>
      <c r="AT37" s="288"/>
      <c r="AU37" s="285"/>
      <c r="AW37" s="288"/>
      <c r="AX37" s="106"/>
      <c r="AY37" s="127"/>
      <c r="AZ37" s="289"/>
      <c r="BA37"/>
      <c r="BB37"/>
      <c r="BC37"/>
    </row>
    <row r="38" spans="1:55" s="82" customFormat="1" ht="18.95" customHeight="1" outlineLevel="1" x14ac:dyDescent="0.3">
      <c r="A38" s="264"/>
      <c r="B38" s="264"/>
      <c r="C38" s="265"/>
      <c r="D38" s="168"/>
      <c r="E38" s="239"/>
      <c r="F38" s="168"/>
      <c r="G38" s="266"/>
      <c r="H38" s="168"/>
      <c r="I38" s="168"/>
      <c r="J38" s="168"/>
      <c r="K38" s="296" t="s">
        <v>330</v>
      </c>
      <c r="L38" s="266" t="str">
        <f>VLOOKUP(K38,[6]материалы!$A$5:$G$31,5, FALSE)</f>
        <v>кг</v>
      </c>
      <c r="M38" s="168">
        <f>VLOOKUP(K38,[6]материалы!$A$5:$G$34,7, FALSE)</f>
        <v>66.67</v>
      </c>
      <c r="N38" s="266">
        <v>0.01</v>
      </c>
      <c r="O38" s="168">
        <f t="shared" si="22"/>
        <v>0.67</v>
      </c>
      <c r="P38" s="168"/>
      <c r="Q38" s="168"/>
      <c r="R38" s="268"/>
      <c r="S38" s="268"/>
      <c r="T38" s="268"/>
      <c r="U38" s="269"/>
      <c r="V38" s="270"/>
      <c r="W38" s="271"/>
      <c r="X38" s="272"/>
      <c r="Y38" s="231"/>
      <c r="Z38" s="273"/>
      <c r="AA38" s="58"/>
      <c r="AB38" s="275"/>
      <c r="AC38" s="276"/>
      <c r="AD38" s="277"/>
      <c r="AE38" s="278"/>
      <c r="AF38" s="235"/>
      <c r="AG38" s="106"/>
      <c r="AH38" s="281"/>
      <c r="AI38" s="282"/>
      <c r="AJ38" s="283"/>
      <c r="AK38" s="284"/>
      <c r="AM38" s="285"/>
      <c r="AN38" s="285"/>
      <c r="AO38" s="285"/>
      <c r="AQ38" s="286"/>
      <c r="AR38" s="287"/>
      <c r="AS38" s="285"/>
      <c r="AT38" s="288"/>
      <c r="AU38" s="285"/>
      <c r="AW38" s="288"/>
      <c r="AX38" s="106"/>
      <c r="AY38" s="127"/>
      <c r="AZ38" s="289"/>
      <c r="BA38"/>
      <c r="BB38"/>
      <c r="BC38"/>
    </row>
    <row r="39" spans="1:55" s="82" customFormat="1" ht="31.7" customHeight="1" x14ac:dyDescent="0.3">
      <c r="A39" s="264" t="s">
        <v>636</v>
      </c>
      <c r="B39" s="660" t="s">
        <v>637</v>
      </c>
      <c r="C39" s="660"/>
      <c r="D39" s="168"/>
      <c r="E39" s="239"/>
      <c r="F39" s="168"/>
      <c r="G39" s="266"/>
      <c r="H39" s="168"/>
      <c r="I39" s="168"/>
      <c r="J39" s="168"/>
      <c r="K39" s="267"/>
      <c r="L39" s="168"/>
      <c r="M39" s="168"/>
      <c r="N39" s="168"/>
      <c r="O39" s="168"/>
      <c r="P39" s="168"/>
      <c r="Q39" s="168"/>
      <c r="R39" s="268"/>
      <c r="S39" s="268"/>
      <c r="T39" s="268"/>
      <c r="U39" s="269"/>
      <c r="V39" s="270"/>
      <c r="W39" s="271"/>
      <c r="X39" s="272"/>
      <c r="Y39" s="231"/>
      <c r="Z39" s="273"/>
      <c r="AA39" s="58"/>
      <c r="AB39" s="275"/>
      <c r="AC39" s="276"/>
      <c r="AD39" s="277"/>
      <c r="AE39" s="278"/>
      <c r="AF39" s="235"/>
      <c r="AG39" s="106"/>
      <c r="AH39" s="281"/>
      <c r="AI39" s="282"/>
      <c r="AJ39" s="283"/>
      <c r="AK39" s="284"/>
      <c r="AM39" s="285"/>
      <c r="AN39" s="285"/>
      <c r="AO39" s="285"/>
      <c r="AQ39" s="286"/>
      <c r="AR39" s="287"/>
      <c r="AS39" s="285"/>
      <c r="AT39" s="288"/>
      <c r="AU39" s="285"/>
      <c r="AW39" s="288"/>
      <c r="AX39" s="106"/>
      <c r="AY39" s="127"/>
      <c r="AZ39" s="289"/>
      <c r="BA39"/>
      <c r="BB39"/>
      <c r="BC39"/>
    </row>
    <row r="40" spans="1:55" s="305" customFormat="1" ht="23.25" customHeight="1" x14ac:dyDescent="0.25">
      <c r="A40" s="647" t="s">
        <v>351</v>
      </c>
      <c r="B40" s="647" t="s">
        <v>344</v>
      </c>
      <c r="C40" s="660" t="s">
        <v>345</v>
      </c>
      <c r="D40" s="661" t="s">
        <v>28</v>
      </c>
      <c r="E40" s="239" t="s">
        <v>166</v>
      </c>
      <c r="F40" s="168">
        <f>VLOOKUP(E40,'[6]условия, ФОТ'!$A$14:$I$32,9, FALSE)</f>
        <v>193.64</v>
      </c>
      <c r="G40" s="168">
        <v>0.2</v>
      </c>
      <c r="H40" s="661">
        <f>ROUND(F40*G40+F41*G41,2)</f>
        <v>74.83</v>
      </c>
      <c r="I40" s="661">
        <f>ROUND(H40*$I$5,2)</f>
        <v>22.6</v>
      </c>
      <c r="J40" s="661">
        <f>H40+I40</f>
        <v>97.43</v>
      </c>
      <c r="K40" s="669"/>
      <c r="L40" s="661"/>
      <c r="M40" s="661"/>
      <c r="N40" s="661"/>
      <c r="O40" s="661">
        <f>O42</f>
        <v>110.83</v>
      </c>
      <c r="P40" s="661">
        <f>J40+O40</f>
        <v>208.26</v>
      </c>
      <c r="Q40" s="661">
        <f>ROUND(P40*$Q$5,2)</f>
        <v>138.49</v>
      </c>
      <c r="R40" s="665">
        <f>ROUND(T40/1.2,2)</f>
        <v>361.67</v>
      </c>
      <c r="S40" s="665">
        <f>ROUND(R40*$S$5,2)</f>
        <v>72.33</v>
      </c>
      <c r="T40" s="665">
        <f>ROUND((P40+Q40)*(1+AC40)*1.2,0)</f>
        <v>434</v>
      </c>
      <c r="U40" s="705">
        <v>321</v>
      </c>
      <c r="V40" s="327">
        <f>T40/U40*100-100</f>
        <v>35.202492211838006</v>
      </c>
      <c r="W40" s="721">
        <v>342</v>
      </c>
      <c r="X40" s="691">
        <f t="shared" si="0"/>
        <v>26.900584795321649</v>
      </c>
      <c r="Y40" s="302">
        <v>331</v>
      </c>
      <c r="Z40" s="837">
        <v>1.268</v>
      </c>
      <c r="AA40" s="839">
        <f>ROUND(W40*Z40,2)</f>
        <v>433.66</v>
      </c>
      <c r="AB40" s="840">
        <f>ROUND((P40+Q40)*1.2,2)</f>
        <v>416.1</v>
      </c>
      <c r="AC40" s="831">
        <f>ROUND((AA40/AB40)*100%-100%,4)</f>
        <v>4.2200000000000001E-2</v>
      </c>
      <c r="AD40" s="693">
        <f t="shared" si="1"/>
        <v>17.559420000000003</v>
      </c>
      <c r="AE40" s="703">
        <v>-0.14360000000000001</v>
      </c>
      <c r="AF40" s="303">
        <v>342.25400000000002</v>
      </c>
      <c r="AG40" s="702">
        <v>342</v>
      </c>
      <c r="AH40" s="833">
        <f t="shared" si="2"/>
        <v>92</v>
      </c>
      <c r="AI40" s="834">
        <v>0.1615</v>
      </c>
      <c r="AJ40" s="819">
        <f t="shared" si="3"/>
        <v>17.559420000000003</v>
      </c>
      <c r="AK40" s="304"/>
      <c r="AM40" s="698">
        <v>0.1615</v>
      </c>
      <c r="AN40" s="698">
        <f t="shared" si="4"/>
        <v>0.1615</v>
      </c>
      <c r="AO40" s="698">
        <v>0</v>
      </c>
      <c r="AQ40" s="696"/>
      <c r="AR40" s="306"/>
      <c r="AS40" s="698">
        <v>1.034</v>
      </c>
      <c r="AT40" s="700">
        <v>0.1615</v>
      </c>
      <c r="AU40" s="698">
        <f t="shared" si="5"/>
        <v>0.23399999999999999</v>
      </c>
      <c r="AW40" s="700">
        <f t="shared" si="6"/>
        <v>-0.1193</v>
      </c>
      <c r="AX40" s="702">
        <v>342</v>
      </c>
      <c r="AY40" s="695" t="b">
        <f t="shared" si="7"/>
        <v>1</v>
      </c>
      <c r="AZ40" s="307">
        <f t="shared" si="8"/>
        <v>-19.931999999999999</v>
      </c>
      <c r="BA40" s="308"/>
      <c r="BB40" s="308"/>
      <c r="BC40" s="308">
        <f t="shared" si="9"/>
        <v>1.2689999999999999</v>
      </c>
    </row>
    <row r="41" spans="1:55" s="305" customFormat="1" ht="18" customHeight="1" x14ac:dyDescent="0.25">
      <c r="A41" s="647"/>
      <c r="B41" s="647"/>
      <c r="C41" s="660"/>
      <c r="D41" s="661"/>
      <c r="E41" s="239" t="s">
        <v>162</v>
      </c>
      <c r="F41" s="168">
        <f>VLOOKUP(E41,'[6]условия, ФОТ'!$A$14:$I$32,9, FALSE)</f>
        <v>180.5</v>
      </c>
      <c r="G41" s="168">
        <v>0.2</v>
      </c>
      <c r="H41" s="661"/>
      <c r="I41" s="661"/>
      <c r="J41" s="661"/>
      <c r="K41" s="669"/>
      <c r="L41" s="661"/>
      <c r="M41" s="661"/>
      <c r="N41" s="661"/>
      <c r="O41" s="661"/>
      <c r="P41" s="661"/>
      <c r="Q41" s="661"/>
      <c r="R41" s="665"/>
      <c r="S41" s="665"/>
      <c r="T41" s="665">
        <f>ROUND((P41+Q41)*(1+$R$5)*1.18,0)</f>
        <v>0</v>
      </c>
      <c r="U41" s="830"/>
      <c r="V41" s="327"/>
      <c r="W41" s="721"/>
      <c r="X41" s="691"/>
      <c r="Y41" s="302"/>
      <c r="Z41" s="838"/>
      <c r="AA41" s="839"/>
      <c r="AB41" s="840"/>
      <c r="AC41" s="832"/>
      <c r="AD41" s="694"/>
      <c r="AE41" s="704"/>
      <c r="AF41" s="303"/>
      <c r="AG41" s="702"/>
      <c r="AH41" s="833"/>
      <c r="AI41" s="835"/>
      <c r="AJ41" s="820"/>
      <c r="AK41" s="304"/>
      <c r="AM41" s="699"/>
      <c r="AN41" s="699"/>
      <c r="AO41" s="699"/>
      <c r="AQ41" s="697"/>
      <c r="AR41" s="306"/>
      <c r="AS41" s="699"/>
      <c r="AT41" s="701"/>
      <c r="AU41" s="699"/>
      <c r="AW41" s="701"/>
      <c r="AX41" s="702"/>
      <c r="AY41" s="695"/>
      <c r="AZ41" s="307"/>
      <c r="BA41" s="308"/>
      <c r="BB41" s="308"/>
      <c r="BC41" s="308"/>
    </row>
    <row r="42" spans="1:55" s="305" customFormat="1" ht="24.75" customHeight="1" outlineLevel="1" x14ac:dyDescent="0.3">
      <c r="A42" s="647"/>
      <c r="B42" s="264"/>
      <c r="C42" s="265"/>
      <c r="D42" s="168"/>
      <c r="E42" s="239"/>
      <c r="F42" s="168"/>
      <c r="G42" s="168"/>
      <c r="H42" s="168"/>
      <c r="I42" s="168"/>
      <c r="J42" s="295" t="s">
        <v>366</v>
      </c>
      <c r="K42" s="296" t="s">
        <v>369</v>
      </c>
      <c r="L42" s="266" t="str">
        <f>VLOOKUP(K42,[6]материалы!$A$5:$G$31,5, FALSE)</f>
        <v>м</v>
      </c>
      <c r="M42" s="168">
        <f>VLOOKUP(K42,[6]материалы!$A$5:$G$34,7, FALSE)</f>
        <v>110.83</v>
      </c>
      <c r="N42" s="266">
        <v>1</v>
      </c>
      <c r="O42" s="168">
        <f t="shared" ref="O42" si="23">ROUND(M42*N42,2)</f>
        <v>110.83</v>
      </c>
      <c r="P42" s="168"/>
      <c r="Q42" s="168"/>
      <c r="R42" s="268"/>
      <c r="S42" s="268"/>
      <c r="T42" s="268"/>
      <c r="U42" s="309"/>
      <c r="V42" s="327"/>
      <c r="W42" s="311"/>
      <c r="X42" s="312"/>
      <c r="Y42" s="302"/>
      <c r="Z42" s="313"/>
      <c r="AA42" s="328"/>
      <c r="AB42" s="329"/>
      <c r="AC42" s="316"/>
      <c r="AD42" s="317"/>
      <c r="AE42" s="318"/>
      <c r="AF42" s="303"/>
      <c r="AG42" s="319"/>
      <c r="AH42" s="320"/>
      <c r="AI42" s="321"/>
      <c r="AJ42" s="283"/>
      <c r="AK42" s="304"/>
      <c r="AM42" s="322"/>
      <c r="AN42" s="322"/>
      <c r="AO42" s="322"/>
      <c r="AQ42" s="323"/>
      <c r="AR42" s="306"/>
      <c r="AS42" s="322"/>
      <c r="AT42" s="324"/>
      <c r="AU42" s="322"/>
      <c r="AW42" s="324"/>
      <c r="AX42" s="319"/>
      <c r="AY42" s="325"/>
      <c r="AZ42" s="307"/>
      <c r="BA42" s="308"/>
      <c r="BB42" s="308"/>
      <c r="BC42" s="308"/>
    </row>
    <row r="43" spans="1:55" s="82" customFormat="1" ht="24" customHeight="1" x14ac:dyDescent="0.25">
      <c r="A43" s="647"/>
      <c r="B43" s="647" t="s">
        <v>169</v>
      </c>
      <c r="C43" s="660" t="s">
        <v>21</v>
      </c>
      <c r="D43" s="649" t="s">
        <v>22</v>
      </c>
      <c r="E43" s="239" t="s">
        <v>166</v>
      </c>
      <c r="F43" s="168">
        <f>VLOOKUP(E43,'[6]условия, ФОТ'!$A$14:$I$32,9, FALSE)</f>
        <v>193.64</v>
      </c>
      <c r="G43" s="266">
        <v>0.68</v>
      </c>
      <c r="H43" s="661">
        <f>ROUND(F43*G43+F44*G44,2)</f>
        <v>254.42</v>
      </c>
      <c r="I43" s="661">
        <f>ROUND(H43*$I$5,2)</f>
        <v>76.83</v>
      </c>
      <c r="J43" s="661">
        <f>H43+I43</f>
        <v>331.25</v>
      </c>
      <c r="K43" s="669"/>
      <c r="L43" s="661"/>
      <c r="M43" s="661"/>
      <c r="N43" s="661"/>
      <c r="O43" s="661">
        <f>SUM(O45:O51)</f>
        <v>117.25</v>
      </c>
      <c r="P43" s="661">
        <f>J43+O43</f>
        <v>448.5</v>
      </c>
      <c r="Q43" s="661">
        <f>ROUND(P43*$Q$5,2)</f>
        <v>298.25</v>
      </c>
      <c r="R43" s="665">
        <f>ROUND(T43/1.2,2)</f>
        <v>840.83</v>
      </c>
      <c r="S43" s="665">
        <f t="shared" ref="S43:S44" si="24">ROUND(R43*$S$5,2)</f>
        <v>168.17</v>
      </c>
      <c r="T43" s="665">
        <f>ROUND((P43+Q43)*(1+AC43)*1.2,0)</f>
        <v>1009</v>
      </c>
      <c r="U43" s="666">
        <v>907</v>
      </c>
      <c r="V43" s="841">
        <f t="shared" ref="V43:V44" si="25">T43/U43*100-100</f>
        <v>11.245865490628447</v>
      </c>
      <c r="W43" s="822">
        <v>968</v>
      </c>
      <c r="X43" s="679">
        <f t="shared" si="0"/>
        <v>4.2355371900826526</v>
      </c>
      <c r="Y43" s="231">
        <v>936</v>
      </c>
      <c r="Z43" s="823">
        <v>1.042</v>
      </c>
      <c r="AA43" s="825">
        <f>ROUND(W43*Z43,2)</f>
        <v>1008.66</v>
      </c>
      <c r="AB43" s="826">
        <f>ROUND((P43+Q43)*1.2,2)</f>
        <v>896.1</v>
      </c>
      <c r="AC43" s="814">
        <f>ROUND((AA43/AB43)*100%-100%,4)</f>
        <v>0.12559999999999999</v>
      </c>
      <c r="AD43" s="681">
        <f t="shared" si="1"/>
        <v>112.55015999999999</v>
      </c>
      <c r="AE43" s="278"/>
      <c r="AF43" s="235">
        <v>967.82400000000007</v>
      </c>
      <c r="AG43" s="674">
        <v>968</v>
      </c>
      <c r="AH43" s="816">
        <f t="shared" si="2"/>
        <v>41</v>
      </c>
      <c r="AI43" s="817">
        <v>0.1414</v>
      </c>
      <c r="AJ43" s="819">
        <f t="shared" si="3"/>
        <v>112.55015999999999</v>
      </c>
      <c r="AK43" s="284"/>
      <c r="AM43" s="670">
        <v>0.1414</v>
      </c>
      <c r="AN43" s="670">
        <f t="shared" si="4"/>
        <v>0.1414</v>
      </c>
      <c r="AO43" s="670">
        <v>0</v>
      </c>
      <c r="AQ43" s="676"/>
      <c r="AR43" s="287"/>
      <c r="AS43" s="670">
        <v>1.034</v>
      </c>
      <c r="AT43" s="672">
        <v>0.1414</v>
      </c>
      <c r="AU43" s="670">
        <f t="shared" si="5"/>
        <v>8.0000000000000071E-3</v>
      </c>
      <c r="AW43" s="672">
        <f t="shared" si="6"/>
        <v>-1.5800000000000008E-2</v>
      </c>
      <c r="AX43" s="674">
        <v>968</v>
      </c>
      <c r="AY43" s="675" t="b">
        <f t="shared" si="7"/>
        <v>1</v>
      </c>
      <c r="AZ43" s="289">
        <f t="shared" si="8"/>
        <v>-3.0179999999999998</v>
      </c>
      <c r="BA43"/>
      <c r="BB43"/>
      <c r="BC43">
        <f t="shared" si="9"/>
        <v>1.042</v>
      </c>
    </row>
    <row r="44" spans="1:55" s="82" customFormat="1" ht="16.5" customHeight="1" x14ac:dyDescent="0.25">
      <c r="A44" s="647"/>
      <c r="B44" s="647"/>
      <c r="C44" s="660"/>
      <c r="D44" s="649"/>
      <c r="E44" s="239" t="s">
        <v>162</v>
      </c>
      <c r="F44" s="168">
        <f>VLOOKUP(E44,'[6]условия, ФОТ'!$A$14:$I$32,9, FALSE)</f>
        <v>180.5</v>
      </c>
      <c r="G44" s="266">
        <v>0.68</v>
      </c>
      <c r="H44" s="661"/>
      <c r="I44" s="661"/>
      <c r="J44" s="661"/>
      <c r="K44" s="669"/>
      <c r="L44" s="661"/>
      <c r="M44" s="661"/>
      <c r="N44" s="661"/>
      <c r="O44" s="661"/>
      <c r="P44" s="661"/>
      <c r="Q44" s="661"/>
      <c r="R44" s="665">
        <f t="shared" ref="R44" si="26">ROUND(T44/1.18,2)</f>
        <v>0</v>
      </c>
      <c r="S44" s="665">
        <f t="shared" si="24"/>
        <v>0</v>
      </c>
      <c r="T44" s="665">
        <f>ROUND((P44+Q44)*(1+$R$5)*1.18,0)</f>
        <v>0</v>
      </c>
      <c r="U44" s="827"/>
      <c r="V44" s="841" t="e">
        <f t="shared" si="25"/>
        <v>#DIV/0!</v>
      </c>
      <c r="W44" s="822"/>
      <c r="X44" s="679"/>
      <c r="Y44" s="231">
        <v>0</v>
      </c>
      <c r="Z44" s="824"/>
      <c r="AA44" s="825"/>
      <c r="AB44" s="826"/>
      <c r="AC44" s="815"/>
      <c r="AD44" s="682"/>
      <c r="AE44" s="278"/>
      <c r="AF44" s="235"/>
      <c r="AG44" s="674"/>
      <c r="AH44" s="816"/>
      <c r="AI44" s="818"/>
      <c r="AJ44" s="820"/>
      <c r="AK44" s="284"/>
      <c r="AM44" s="671"/>
      <c r="AN44" s="671"/>
      <c r="AO44" s="671"/>
      <c r="AQ44" s="677"/>
      <c r="AR44" s="287"/>
      <c r="AS44" s="671"/>
      <c r="AT44" s="673"/>
      <c r="AU44" s="671"/>
      <c r="AW44" s="673"/>
      <c r="AX44" s="674"/>
      <c r="AY44" s="675"/>
      <c r="AZ44" s="289"/>
      <c r="BA44"/>
      <c r="BB44"/>
      <c r="BC44"/>
    </row>
    <row r="45" spans="1:55" s="82" customFormat="1" ht="16.5" customHeight="1" outlineLevel="1" x14ac:dyDescent="0.3">
      <c r="A45" s="647"/>
      <c r="B45" s="264"/>
      <c r="C45" s="265"/>
      <c r="D45" s="239"/>
      <c r="E45" s="239"/>
      <c r="F45" s="168"/>
      <c r="G45" s="266"/>
      <c r="H45" s="168"/>
      <c r="I45" s="168"/>
      <c r="J45" s="295" t="s">
        <v>366</v>
      </c>
      <c r="K45" s="296" t="s">
        <v>323</v>
      </c>
      <c r="L45" s="266" t="str">
        <f>VLOOKUP(K45,[6]материалы!$A$5:$G$31,5, FALSE)</f>
        <v>м3</v>
      </c>
      <c r="M45" s="168">
        <f>VLOOKUP(K45,[6]материалы!$A$5:$G$34,7, FALSE)</f>
        <v>486.11</v>
      </c>
      <c r="N45" s="266">
        <v>8.7499999999999994E-2</v>
      </c>
      <c r="O45" s="168">
        <f>ROUND(M45*N45,2)</f>
        <v>42.53</v>
      </c>
      <c r="P45" s="168"/>
      <c r="Q45" s="168"/>
      <c r="R45" s="268"/>
      <c r="S45" s="268"/>
      <c r="T45" s="268"/>
      <c r="U45" s="269"/>
      <c r="V45" s="270"/>
      <c r="W45" s="271"/>
      <c r="X45" s="272"/>
      <c r="Y45" s="231"/>
      <c r="Z45" s="273"/>
      <c r="AA45" s="58"/>
      <c r="AB45" s="275"/>
      <c r="AC45" s="276"/>
      <c r="AD45" s="277"/>
      <c r="AE45" s="278"/>
      <c r="AF45" s="235"/>
      <c r="AG45" s="106"/>
      <c r="AH45" s="281"/>
      <c r="AI45" s="282"/>
      <c r="AJ45" s="283"/>
      <c r="AK45" s="284"/>
      <c r="AM45" s="285"/>
      <c r="AN45" s="285"/>
      <c r="AO45" s="285"/>
      <c r="AQ45" s="286"/>
      <c r="AR45" s="287"/>
      <c r="AS45" s="285"/>
      <c r="AT45" s="288"/>
      <c r="AU45" s="285"/>
      <c r="AW45" s="288"/>
      <c r="AX45" s="106"/>
      <c r="AY45" s="127"/>
      <c r="AZ45" s="289"/>
      <c r="BA45"/>
      <c r="BB45"/>
      <c r="BC45"/>
    </row>
    <row r="46" spans="1:55" s="82" customFormat="1" ht="18.95" customHeight="1" outlineLevel="1" x14ac:dyDescent="0.3">
      <c r="A46" s="647"/>
      <c r="B46" s="264"/>
      <c r="C46" s="265"/>
      <c r="D46" s="239"/>
      <c r="E46" s="239"/>
      <c r="F46" s="168"/>
      <c r="G46" s="266"/>
      <c r="H46" s="168"/>
      <c r="I46" s="168"/>
      <c r="J46" s="168"/>
      <c r="K46" s="296" t="s">
        <v>324</v>
      </c>
      <c r="L46" s="266" t="str">
        <f>VLOOKUP(K46,[6]материалы!$A$5:$G$31,5, FALSE)</f>
        <v>м3</v>
      </c>
      <c r="M46" s="168">
        <f>VLOOKUP(K46,[6]материалы!$A$5:$G$34,7, FALSE)</f>
        <v>152.78</v>
      </c>
      <c r="N46" s="168">
        <v>0.15</v>
      </c>
      <c r="O46" s="168">
        <f t="shared" ref="O46:O51" si="27">ROUND(M46*N46,2)</f>
        <v>22.92</v>
      </c>
      <c r="P46" s="168"/>
      <c r="Q46" s="168"/>
      <c r="R46" s="268"/>
      <c r="S46" s="268"/>
      <c r="T46" s="268"/>
      <c r="U46" s="269"/>
      <c r="V46" s="270"/>
      <c r="W46" s="271"/>
      <c r="X46" s="272"/>
      <c r="Y46" s="231"/>
      <c r="Z46" s="273"/>
      <c r="AA46" s="58"/>
      <c r="AB46" s="275"/>
      <c r="AC46" s="276"/>
      <c r="AD46" s="277"/>
      <c r="AE46" s="278"/>
      <c r="AF46" s="235"/>
      <c r="AG46" s="106"/>
      <c r="AH46" s="281"/>
      <c r="AI46" s="282"/>
      <c r="AJ46" s="283"/>
      <c r="AK46" s="284"/>
      <c r="AM46" s="285"/>
      <c r="AN46" s="285"/>
      <c r="AO46" s="285"/>
      <c r="AQ46" s="286"/>
      <c r="AR46" s="287"/>
      <c r="AS46" s="285"/>
      <c r="AT46" s="288"/>
      <c r="AU46" s="285"/>
      <c r="AW46" s="288"/>
      <c r="AX46" s="106"/>
      <c r="AY46" s="127"/>
      <c r="AZ46" s="289"/>
      <c r="BA46"/>
      <c r="BB46"/>
      <c r="BC46"/>
    </row>
    <row r="47" spans="1:55" s="82" customFormat="1" ht="42" customHeight="1" outlineLevel="1" x14ac:dyDescent="0.3">
      <c r="A47" s="647"/>
      <c r="B47" s="264"/>
      <c r="C47" s="265"/>
      <c r="D47" s="239"/>
      <c r="E47" s="239"/>
      <c r="F47" s="168"/>
      <c r="G47" s="266"/>
      <c r="H47" s="168"/>
      <c r="I47" s="168"/>
      <c r="J47" s="168"/>
      <c r="K47" s="296" t="s">
        <v>341</v>
      </c>
      <c r="L47" s="266" t="str">
        <f>VLOOKUP(K47,[6]материалы!$A$5:$G$31,5, FALSE)</f>
        <v>кг</v>
      </c>
      <c r="M47" s="168">
        <f>VLOOKUP(K47,[6]материалы!$A$5:$G$34,7, FALSE)</f>
        <v>125</v>
      </c>
      <c r="N47" s="168">
        <v>0.1</v>
      </c>
      <c r="O47" s="168">
        <f t="shared" si="27"/>
        <v>12.5</v>
      </c>
      <c r="P47" s="168"/>
      <c r="Q47" s="168"/>
      <c r="R47" s="268"/>
      <c r="S47" s="268"/>
      <c r="T47" s="268"/>
      <c r="U47" s="269"/>
      <c r="V47" s="270"/>
      <c r="W47" s="271"/>
      <c r="X47" s="272"/>
      <c r="Y47" s="231"/>
      <c r="Z47" s="273"/>
      <c r="AA47" s="58"/>
      <c r="AB47" s="275"/>
      <c r="AC47" s="276"/>
      <c r="AD47" s="277"/>
      <c r="AE47" s="278"/>
      <c r="AF47" s="235"/>
      <c r="AG47" s="106"/>
      <c r="AH47" s="281"/>
      <c r="AI47" s="282"/>
      <c r="AJ47" s="283"/>
      <c r="AK47" s="284"/>
      <c r="AM47" s="285"/>
      <c r="AN47" s="285"/>
      <c r="AO47" s="285"/>
      <c r="AQ47" s="286"/>
      <c r="AR47" s="287"/>
      <c r="AS47" s="285"/>
      <c r="AT47" s="288"/>
      <c r="AU47" s="285"/>
      <c r="AW47" s="288"/>
      <c r="AX47" s="106"/>
      <c r="AY47" s="127"/>
      <c r="AZ47" s="289"/>
      <c r="BA47"/>
      <c r="BB47"/>
      <c r="BC47"/>
    </row>
    <row r="48" spans="1:55" s="82" customFormat="1" ht="30.75" customHeight="1" outlineLevel="1" x14ac:dyDescent="0.3">
      <c r="A48" s="647"/>
      <c r="B48" s="264"/>
      <c r="C48" s="265"/>
      <c r="D48" s="239"/>
      <c r="E48" s="239"/>
      <c r="F48" s="168"/>
      <c r="G48" s="266"/>
      <c r="H48" s="168"/>
      <c r="I48" s="168"/>
      <c r="J48" s="168"/>
      <c r="K48" s="296" t="s">
        <v>346</v>
      </c>
      <c r="L48" s="266" t="str">
        <f>VLOOKUP(K48,[6]материалы!$A$5:$G$31,5, FALSE)</f>
        <v>шт.</v>
      </c>
      <c r="M48" s="168">
        <f>VLOOKUP(K48,[6]материалы!$A$5:$G$34,7, FALSE)</f>
        <v>29.17</v>
      </c>
      <c r="N48" s="168">
        <v>1</v>
      </c>
      <c r="O48" s="168">
        <f t="shared" si="27"/>
        <v>29.17</v>
      </c>
      <c r="P48" s="168"/>
      <c r="Q48" s="168"/>
      <c r="R48" s="268"/>
      <c r="S48" s="268"/>
      <c r="T48" s="268"/>
      <c r="U48" s="269"/>
      <c r="V48" s="270"/>
      <c r="W48" s="271"/>
      <c r="X48" s="272"/>
      <c r="Y48" s="231"/>
      <c r="Z48" s="273"/>
      <c r="AA48" s="58"/>
      <c r="AB48" s="275"/>
      <c r="AC48" s="276"/>
      <c r="AD48" s="277"/>
      <c r="AE48" s="278"/>
      <c r="AF48" s="235"/>
      <c r="AG48" s="106"/>
      <c r="AH48" s="281"/>
      <c r="AI48" s="282"/>
      <c r="AJ48" s="283"/>
      <c r="AK48" s="284"/>
      <c r="AM48" s="285"/>
      <c r="AN48" s="285"/>
      <c r="AO48" s="285"/>
      <c r="AQ48" s="286"/>
      <c r="AR48" s="287"/>
      <c r="AS48" s="285"/>
      <c r="AT48" s="288"/>
      <c r="AU48" s="285"/>
      <c r="AW48" s="288"/>
      <c r="AX48" s="106"/>
      <c r="AY48" s="127"/>
      <c r="AZ48" s="289"/>
      <c r="BA48"/>
      <c r="BB48"/>
      <c r="BC48"/>
    </row>
    <row r="49" spans="1:55" s="82" customFormat="1" ht="36" customHeight="1" outlineLevel="1" x14ac:dyDescent="0.3">
      <c r="A49" s="647"/>
      <c r="B49" s="264"/>
      <c r="C49" s="265"/>
      <c r="D49" s="239"/>
      <c r="E49" s="239"/>
      <c r="F49" s="168"/>
      <c r="G49" s="266"/>
      <c r="H49" s="168"/>
      <c r="I49" s="168"/>
      <c r="J49" s="168"/>
      <c r="K49" s="296" t="s">
        <v>342</v>
      </c>
      <c r="L49" s="266" t="str">
        <f>VLOOKUP(K49,[6]материалы!$A$5:$G$31,5, FALSE)</f>
        <v>шт.</v>
      </c>
      <c r="M49" s="168">
        <f>VLOOKUP(K49,[6]материалы!$A$5:$G$34,7, FALSE)</f>
        <v>37.5</v>
      </c>
      <c r="N49" s="168">
        <v>0.25</v>
      </c>
      <c r="O49" s="168">
        <f t="shared" si="27"/>
        <v>9.3800000000000008</v>
      </c>
      <c r="P49" s="168"/>
      <c r="Q49" s="168"/>
      <c r="R49" s="268"/>
      <c r="S49" s="268"/>
      <c r="T49" s="268"/>
      <c r="U49" s="269"/>
      <c r="V49" s="270"/>
      <c r="W49" s="271"/>
      <c r="X49" s="272"/>
      <c r="Y49" s="231"/>
      <c r="Z49" s="273"/>
      <c r="AA49" s="58"/>
      <c r="AB49" s="275"/>
      <c r="AC49" s="276"/>
      <c r="AD49" s="277"/>
      <c r="AE49" s="278"/>
      <c r="AF49" s="235"/>
      <c r="AG49" s="106"/>
      <c r="AH49" s="281"/>
      <c r="AI49" s="282"/>
      <c r="AJ49" s="283"/>
      <c r="AK49" s="284"/>
      <c r="AM49" s="285"/>
      <c r="AN49" s="285"/>
      <c r="AO49" s="285"/>
      <c r="AQ49" s="286"/>
      <c r="AR49" s="287"/>
      <c r="AS49" s="285"/>
      <c r="AT49" s="288"/>
      <c r="AU49" s="285"/>
      <c r="AW49" s="288"/>
      <c r="AX49" s="106"/>
      <c r="AY49" s="127"/>
      <c r="AZ49" s="289"/>
      <c r="BA49"/>
      <c r="BB49"/>
      <c r="BC49"/>
    </row>
    <row r="50" spans="1:55" s="82" customFormat="1" ht="17.25" customHeight="1" outlineLevel="1" x14ac:dyDescent="0.3">
      <c r="A50" s="647"/>
      <c r="B50" s="264"/>
      <c r="C50" s="265"/>
      <c r="D50" s="239"/>
      <c r="E50" s="239"/>
      <c r="F50" s="168"/>
      <c r="G50" s="266"/>
      <c r="H50" s="168"/>
      <c r="I50" s="168"/>
      <c r="J50" s="168"/>
      <c r="K50" s="296" t="s">
        <v>330</v>
      </c>
      <c r="L50" s="266" t="str">
        <f>VLOOKUP(K50,[6]материалы!$A$5:$G$31,5, FALSE)</f>
        <v>кг</v>
      </c>
      <c r="M50" s="168">
        <f>VLOOKUP(K50,[6]материалы!$A$5:$G$34,7, FALSE)</f>
        <v>66.67</v>
      </c>
      <c r="N50" s="168">
        <v>0.01</v>
      </c>
      <c r="O50" s="168">
        <f t="shared" si="27"/>
        <v>0.67</v>
      </c>
      <c r="P50" s="168"/>
      <c r="Q50" s="168"/>
      <c r="R50" s="268"/>
      <c r="S50" s="268"/>
      <c r="T50" s="268"/>
      <c r="U50" s="269"/>
      <c r="V50" s="270"/>
      <c r="W50" s="271"/>
      <c r="X50" s="272"/>
      <c r="Y50" s="231"/>
      <c r="Z50" s="273"/>
      <c r="AA50" s="58"/>
      <c r="AB50" s="275"/>
      <c r="AC50" s="276"/>
      <c r="AD50" s="277"/>
      <c r="AE50" s="278"/>
      <c r="AF50" s="235"/>
      <c r="AG50" s="106"/>
      <c r="AH50" s="281"/>
      <c r="AI50" s="282"/>
      <c r="AJ50" s="283"/>
      <c r="AK50" s="284"/>
      <c r="AM50" s="285"/>
      <c r="AN50" s="285"/>
      <c r="AO50" s="285"/>
      <c r="AQ50" s="286"/>
      <c r="AR50" s="287"/>
      <c r="AS50" s="285"/>
      <c r="AT50" s="288"/>
      <c r="AU50" s="285"/>
      <c r="AW50" s="288"/>
      <c r="AX50" s="106"/>
      <c r="AY50" s="127"/>
      <c r="AZ50" s="289"/>
      <c r="BA50"/>
      <c r="BB50"/>
      <c r="BC50"/>
    </row>
    <row r="51" spans="1:55" s="82" customFormat="1" ht="16.5" customHeight="1" outlineLevel="1" x14ac:dyDescent="0.3">
      <c r="A51" s="647"/>
      <c r="B51" s="264"/>
      <c r="C51" s="265"/>
      <c r="D51" s="239"/>
      <c r="E51" s="239"/>
      <c r="F51" s="168"/>
      <c r="G51" s="266"/>
      <c r="H51" s="168"/>
      <c r="I51" s="168"/>
      <c r="J51" s="168"/>
      <c r="K51" s="296" t="s">
        <v>329</v>
      </c>
      <c r="L51" s="266" t="str">
        <f>VLOOKUP(K51,[6]материалы!$A$5:$G$31,5, FALSE)</f>
        <v>кг</v>
      </c>
      <c r="M51" s="168">
        <f>VLOOKUP(K51,[6]материалы!$A$5:$G$34,7, FALSE)</f>
        <v>79.17</v>
      </c>
      <c r="N51" s="168">
        <v>1E-3</v>
      </c>
      <c r="O51" s="168">
        <f t="shared" si="27"/>
        <v>0.08</v>
      </c>
      <c r="P51" s="168"/>
      <c r="Q51" s="168"/>
      <c r="R51" s="268"/>
      <c r="S51" s="268"/>
      <c r="T51" s="268"/>
      <c r="U51" s="269"/>
      <c r="V51" s="270"/>
      <c r="W51" s="271"/>
      <c r="X51" s="272"/>
      <c r="Y51" s="231"/>
      <c r="Z51" s="273"/>
      <c r="AA51" s="58"/>
      <c r="AB51" s="275"/>
      <c r="AC51" s="276"/>
      <c r="AD51" s="277"/>
      <c r="AE51" s="278"/>
      <c r="AF51" s="235"/>
      <c r="AG51" s="106"/>
      <c r="AH51" s="281"/>
      <c r="AI51" s="282"/>
      <c r="AJ51" s="283"/>
      <c r="AK51" s="284"/>
      <c r="AM51" s="285"/>
      <c r="AN51" s="285"/>
      <c r="AO51" s="285"/>
      <c r="AQ51" s="286"/>
      <c r="AR51" s="287"/>
      <c r="AS51" s="285"/>
      <c r="AT51" s="288"/>
      <c r="AU51" s="285"/>
      <c r="AW51" s="288"/>
      <c r="AX51" s="106"/>
      <c r="AY51" s="127"/>
      <c r="AZ51" s="289"/>
      <c r="BA51"/>
      <c r="BB51"/>
      <c r="BC51"/>
    </row>
    <row r="52" spans="1:55" s="82" customFormat="1" ht="61.5" customHeight="1" x14ac:dyDescent="0.3">
      <c r="A52" s="647"/>
      <c r="B52" s="264" t="s">
        <v>170</v>
      </c>
      <c r="C52" s="265" t="s">
        <v>559</v>
      </c>
      <c r="D52" s="168" t="s">
        <v>26</v>
      </c>
      <c r="E52" s="239" t="s">
        <v>162</v>
      </c>
      <c r="F52" s="168">
        <f>VLOOKUP(E52,'[6]условия, ФОТ'!$A$14:$I$32,9, FALSE)</f>
        <v>180.5</v>
      </c>
      <c r="G52" s="266">
        <v>0.25</v>
      </c>
      <c r="H52" s="168">
        <f>ROUND(F52*G52,2)</f>
        <v>45.13</v>
      </c>
      <c r="I52" s="168">
        <f>ROUND(H52*$I$5,2)</f>
        <v>13.63</v>
      </c>
      <c r="J52" s="168">
        <f>H52+I52</f>
        <v>58.760000000000005</v>
      </c>
      <c r="K52" s="267"/>
      <c r="L52" s="168"/>
      <c r="M52" s="168"/>
      <c r="N52" s="168"/>
      <c r="O52" s="168">
        <f>SUM(O53:O55)</f>
        <v>4.3500000000000005</v>
      </c>
      <c r="P52" s="168">
        <f>J52+O52</f>
        <v>63.110000000000007</v>
      </c>
      <c r="Q52" s="168">
        <f>ROUND(P52*$Q$5,2)</f>
        <v>41.97</v>
      </c>
      <c r="R52" s="268">
        <f>ROUND(T52/1.2,2)</f>
        <v>112.5</v>
      </c>
      <c r="S52" s="268">
        <f>ROUND(R52*$S$5,2)</f>
        <v>22.5</v>
      </c>
      <c r="T52" s="268">
        <f>ROUND((P52+Q52)*(1+AC52)*1.2,0)</f>
        <v>135</v>
      </c>
      <c r="U52" s="269">
        <v>115</v>
      </c>
      <c r="V52" s="270">
        <f>T52/U52*100-100</f>
        <v>17.391304347826093</v>
      </c>
      <c r="W52" s="271">
        <v>130</v>
      </c>
      <c r="X52" s="272">
        <f t="shared" si="0"/>
        <v>3.8461538461538538</v>
      </c>
      <c r="Y52" s="231">
        <v>119</v>
      </c>
      <c r="Z52" s="273">
        <v>1.042</v>
      </c>
      <c r="AA52" s="274">
        <f>ROUND(W52*Z52,2)</f>
        <v>135.46</v>
      </c>
      <c r="AB52" s="275">
        <f>ROUND((P52+Q52)*1.2,2)</f>
        <v>126.1</v>
      </c>
      <c r="AC52" s="276">
        <f>ROUND((AA52/AB52)*100%-100%,4)</f>
        <v>7.4200000000000002E-2</v>
      </c>
      <c r="AD52" s="277">
        <f t="shared" si="1"/>
        <v>9.3566199999999995</v>
      </c>
      <c r="AE52" s="278"/>
      <c r="AF52" s="235">
        <v>123.04600000000001</v>
      </c>
      <c r="AG52" s="106">
        <v>130</v>
      </c>
      <c r="AH52" s="281">
        <f t="shared" si="2"/>
        <v>5</v>
      </c>
      <c r="AI52" s="282">
        <v>4.9200000000000001E-2</v>
      </c>
      <c r="AJ52" s="283">
        <f t="shared" si="3"/>
        <v>9.3566199999999995</v>
      </c>
      <c r="AK52" s="284"/>
      <c r="AM52" s="285">
        <v>-9.2999999999999992E-3</v>
      </c>
      <c r="AN52" s="285">
        <f t="shared" si="4"/>
        <v>1.0093000000000001</v>
      </c>
      <c r="AO52" s="285">
        <v>1.044</v>
      </c>
      <c r="AQ52" s="286">
        <f t="shared" si="14"/>
        <v>135.72</v>
      </c>
      <c r="AR52" s="287"/>
      <c r="AS52" s="285">
        <v>1.034</v>
      </c>
      <c r="AT52" s="288">
        <v>-9.2999999999999992E-3</v>
      </c>
      <c r="AU52" s="285">
        <f t="shared" si="5"/>
        <v>8.0000000000000071E-3</v>
      </c>
      <c r="AW52" s="288">
        <f t="shared" si="6"/>
        <v>8.3500000000000005E-2</v>
      </c>
      <c r="AX52" s="106">
        <v>130</v>
      </c>
      <c r="AY52" s="127" t="b">
        <f t="shared" si="7"/>
        <v>1</v>
      </c>
      <c r="AZ52" s="289">
        <f t="shared" si="8"/>
        <v>-2.6580000000000004</v>
      </c>
      <c r="BA52"/>
      <c r="BB52"/>
      <c r="BC52">
        <f t="shared" si="9"/>
        <v>1.038</v>
      </c>
    </row>
    <row r="53" spans="1:55" s="82" customFormat="1" ht="27" customHeight="1" x14ac:dyDescent="0.3">
      <c r="A53" s="712" t="s">
        <v>638</v>
      </c>
      <c r="B53" s="712"/>
      <c r="C53" s="712"/>
      <c r="D53" s="712"/>
      <c r="E53" s="712"/>
      <c r="F53" s="712"/>
      <c r="G53" s="712"/>
      <c r="H53" s="712"/>
      <c r="I53" s="712"/>
      <c r="J53" s="295" t="s">
        <v>366</v>
      </c>
      <c r="K53" s="121" t="s">
        <v>335</v>
      </c>
      <c r="L53" s="266" t="str">
        <f>VLOOKUP(K53,[6]материалы!$A$5:$G$31,5, FALSE)</f>
        <v>кг</v>
      </c>
      <c r="M53" s="168">
        <f>VLOOKUP(K53,[6]материалы!$A$5:$G$34,7, FALSE)</f>
        <v>720.83</v>
      </c>
      <c r="N53" s="168">
        <v>5.0000000000000001E-3</v>
      </c>
      <c r="O53" s="168">
        <f t="shared" ref="O53:O55" si="28">ROUND(M53*N53,2)</f>
        <v>3.6</v>
      </c>
      <c r="P53" s="168"/>
      <c r="Q53" s="168"/>
      <c r="R53" s="268"/>
      <c r="S53" s="268"/>
      <c r="T53" s="268"/>
      <c r="U53" s="269"/>
      <c r="V53" s="270"/>
      <c r="W53" s="271"/>
      <c r="X53" s="272"/>
      <c r="Y53" s="231"/>
      <c r="Z53" s="273"/>
      <c r="AA53" s="58"/>
      <c r="AB53" s="275"/>
      <c r="AC53" s="276"/>
      <c r="AD53" s="277"/>
      <c r="AE53" s="278"/>
      <c r="AF53" s="235"/>
      <c r="AG53" s="106"/>
      <c r="AH53" s="281"/>
      <c r="AI53" s="282"/>
      <c r="AJ53" s="283"/>
      <c r="AK53" s="284"/>
      <c r="AM53" s="285"/>
      <c r="AN53" s="285"/>
      <c r="AO53" s="285"/>
      <c r="AQ53" s="286"/>
      <c r="AR53" s="287"/>
      <c r="AS53" s="285"/>
      <c r="AT53" s="288"/>
      <c r="AU53" s="285"/>
      <c r="AW53" s="288"/>
      <c r="AX53" s="106"/>
      <c r="AY53" s="127"/>
      <c r="AZ53" s="289"/>
      <c r="BA53"/>
      <c r="BB53"/>
      <c r="BC53"/>
    </row>
    <row r="54" spans="1:55" s="82" customFormat="1" ht="22.5" customHeight="1" x14ac:dyDescent="0.3">
      <c r="A54" s="712"/>
      <c r="B54" s="712"/>
      <c r="C54" s="712"/>
      <c r="D54" s="712"/>
      <c r="E54" s="712"/>
      <c r="F54" s="712"/>
      <c r="G54" s="712"/>
      <c r="H54" s="712"/>
      <c r="I54" s="712"/>
      <c r="J54" s="168"/>
      <c r="K54" s="296" t="s">
        <v>329</v>
      </c>
      <c r="L54" s="266" t="str">
        <f>VLOOKUP(K54,[6]материалы!$A$5:$G$31,5, FALSE)</f>
        <v>кг</v>
      </c>
      <c r="M54" s="168">
        <f>VLOOKUP(K54,[6]материалы!$A$5:$G$34,7, FALSE)</f>
        <v>79.17</v>
      </c>
      <c r="N54" s="301">
        <f>0.001</f>
        <v>1E-3</v>
      </c>
      <c r="O54" s="168">
        <f t="shared" si="28"/>
        <v>0.08</v>
      </c>
      <c r="P54" s="168"/>
      <c r="Q54" s="168"/>
      <c r="R54" s="268"/>
      <c r="S54" s="268"/>
      <c r="T54" s="268"/>
      <c r="U54" s="269"/>
      <c r="V54" s="270"/>
      <c r="W54" s="271"/>
      <c r="X54" s="272"/>
      <c r="Y54" s="231"/>
      <c r="Z54" s="273"/>
      <c r="AA54" s="58"/>
      <c r="AB54" s="275"/>
      <c r="AC54" s="276"/>
      <c r="AD54" s="277"/>
      <c r="AE54" s="278"/>
      <c r="AF54" s="235"/>
      <c r="AG54" s="106"/>
      <c r="AH54" s="281"/>
      <c r="AI54" s="282"/>
      <c r="AJ54" s="283"/>
      <c r="AK54" s="284"/>
      <c r="AM54" s="285"/>
      <c r="AN54" s="285"/>
      <c r="AO54" s="285"/>
      <c r="AQ54" s="286"/>
      <c r="AR54" s="287"/>
      <c r="AS54" s="285"/>
      <c r="AT54" s="288"/>
      <c r="AU54" s="285"/>
      <c r="AW54" s="288"/>
      <c r="AX54" s="106"/>
      <c r="AY54" s="127"/>
      <c r="AZ54" s="289"/>
      <c r="BA54"/>
      <c r="BB54"/>
      <c r="BC54"/>
    </row>
    <row r="55" spans="1:55" s="82" customFormat="1" ht="18.75" customHeight="1" x14ac:dyDescent="0.3">
      <c r="A55" s="712"/>
      <c r="B55" s="712"/>
      <c r="C55" s="712"/>
      <c r="D55" s="712"/>
      <c r="E55" s="712"/>
      <c r="F55" s="712"/>
      <c r="G55" s="712"/>
      <c r="H55" s="712"/>
      <c r="I55" s="712"/>
      <c r="J55" s="168"/>
      <c r="K55" s="296" t="s">
        <v>330</v>
      </c>
      <c r="L55" s="266" t="str">
        <f>VLOOKUP(K55,[6]материалы!$A$5:$G$31,5, FALSE)</f>
        <v>кг</v>
      </c>
      <c r="M55" s="168">
        <f>VLOOKUP(K55,[6]материалы!$A$5:$G$34,7, FALSE)</f>
        <v>66.67</v>
      </c>
      <c r="N55" s="266">
        <f>0.01</f>
        <v>0.01</v>
      </c>
      <c r="O55" s="168">
        <f t="shared" si="28"/>
        <v>0.67</v>
      </c>
      <c r="P55" s="168"/>
      <c r="Q55" s="168"/>
      <c r="R55" s="268"/>
      <c r="S55" s="268"/>
      <c r="T55" s="268"/>
      <c r="U55" s="269"/>
      <c r="V55" s="270"/>
      <c r="W55" s="271"/>
      <c r="X55" s="272"/>
      <c r="Y55" s="231"/>
      <c r="Z55" s="273"/>
      <c r="AA55" s="58"/>
      <c r="AB55" s="275"/>
      <c r="AC55" s="276"/>
      <c r="AD55" s="277"/>
      <c r="AE55" s="278"/>
      <c r="AF55" s="235"/>
      <c r="AG55" s="106"/>
      <c r="AH55" s="281"/>
      <c r="AI55" s="282"/>
      <c r="AJ55" s="283"/>
      <c r="AK55" s="284"/>
      <c r="AM55" s="285"/>
      <c r="AN55" s="285"/>
      <c r="AO55" s="285"/>
      <c r="AQ55" s="286"/>
      <c r="AR55" s="287"/>
      <c r="AS55" s="285"/>
      <c r="AT55" s="288"/>
      <c r="AU55" s="285"/>
      <c r="AW55" s="288"/>
      <c r="AX55" s="106"/>
      <c r="AY55" s="127"/>
      <c r="AZ55" s="289"/>
      <c r="BA55"/>
      <c r="BB55"/>
      <c r="BC55"/>
    </row>
    <row r="56" spans="1:55" s="305" customFormat="1" ht="37.5" customHeight="1" x14ac:dyDescent="0.3">
      <c r="A56" s="264" t="s">
        <v>639</v>
      </c>
      <c r="B56" s="264" t="s">
        <v>27</v>
      </c>
      <c r="C56" s="265" t="s">
        <v>640</v>
      </c>
      <c r="D56" s="239" t="s">
        <v>28</v>
      </c>
      <c r="E56" s="239" t="s">
        <v>162</v>
      </c>
      <c r="F56" s="168">
        <f>VLOOKUP(E56,'[6]условия, ФОТ'!$A$14:$I$32,9, FALSE)</f>
        <v>180.5</v>
      </c>
      <c r="G56" s="168">
        <v>1</v>
      </c>
      <c r="H56" s="168">
        <f>ROUND(F56*G56,2)</f>
        <v>180.5</v>
      </c>
      <c r="I56" s="168">
        <f>ROUND(H56*$I$5,2)</f>
        <v>54.51</v>
      </c>
      <c r="J56" s="168">
        <f>H56+I56</f>
        <v>235.01</v>
      </c>
      <c r="K56" s="267"/>
      <c r="L56" s="168"/>
      <c r="M56" s="168"/>
      <c r="N56" s="168"/>
      <c r="O56" s="168">
        <f>O57</f>
        <v>110.83</v>
      </c>
      <c r="P56" s="168">
        <f t="shared" si="15"/>
        <v>345.84</v>
      </c>
      <c r="Q56" s="168">
        <f t="shared" si="20"/>
        <v>229.98</v>
      </c>
      <c r="R56" s="268">
        <f>ROUND(T56/1.2,2)</f>
        <v>600</v>
      </c>
      <c r="S56" s="268">
        <f>ROUND(R56*$S$5,2)</f>
        <v>120</v>
      </c>
      <c r="T56" s="268">
        <f>ROUND((P56+Q56)*(1+AC56)*1.2,0)</f>
        <v>720</v>
      </c>
      <c r="U56" s="309">
        <v>534</v>
      </c>
      <c r="V56" s="330">
        <f>T56/U56*100-100</f>
        <v>34.831460674157313</v>
      </c>
      <c r="W56" s="331">
        <v>570</v>
      </c>
      <c r="X56" s="312">
        <f t="shared" si="0"/>
        <v>26.315789473684205</v>
      </c>
      <c r="Y56" s="302">
        <v>551</v>
      </c>
      <c r="Z56" s="273">
        <v>1.2629999999999999</v>
      </c>
      <c r="AA56" s="332">
        <f>ROUND(W56*Z56,2)</f>
        <v>719.91</v>
      </c>
      <c r="AB56" s="315">
        <f>ROUND((P56+Q56)*1.2,2)</f>
        <v>690.98</v>
      </c>
      <c r="AC56" s="333">
        <f>ROUND((AA56/AB56)*100%-100%,4)</f>
        <v>4.19E-2</v>
      </c>
      <c r="AD56" s="317">
        <f t="shared" si="1"/>
        <v>28.952062000000002</v>
      </c>
      <c r="AE56" s="334">
        <v>-0.1404</v>
      </c>
      <c r="AF56" s="303">
        <v>569.73400000000004</v>
      </c>
      <c r="AG56" s="319">
        <v>570</v>
      </c>
      <c r="AH56" s="320">
        <f t="shared" si="2"/>
        <v>150</v>
      </c>
      <c r="AI56" s="321">
        <v>2.2700000000000001E-2</v>
      </c>
      <c r="AJ56" s="283">
        <f t="shared" si="3"/>
        <v>28.952062000000002</v>
      </c>
      <c r="AK56" s="304"/>
      <c r="AM56" s="322">
        <v>2.2700000000000001E-2</v>
      </c>
      <c r="AN56" s="322">
        <f t="shared" si="4"/>
        <v>2.2700000000000001E-2</v>
      </c>
      <c r="AO56" s="322">
        <v>0</v>
      </c>
      <c r="AQ56" s="323"/>
      <c r="AR56" s="306"/>
      <c r="AS56" s="322">
        <v>1.034</v>
      </c>
      <c r="AT56" s="324">
        <v>2.2700000000000001E-2</v>
      </c>
      <c r="AU56" s="322">
        <f t="shared" si="5"/>
        <v>0.22899999999999987</v>
      </c>
      <c r="AW56" s="324">
        <f t="shared" si="6"/>
        <v>1.9199999999999998E-2</v>
      </c>
      <c r="AX56" s="319">
        <v>570</v>
      </c>
      <c r="AY56" s="325" t="b">
        <f t="shared" si="7"/>
        <v>1</v>
      </c>
      <c r="AZ56" s="307">
        <f t="shared" si="8"/>
        <v>-19.567</v>
      </c>
      <c r="BA56" s="308"/>
      <c r="BB56" s="308"/>
      <c r="BC56" s="308">
        <f t="shared" si="9"/>
        <v>1.2629999999999999</v>
      </c>
    </row>
    <row r="57" spans="1:55" s="305" customFormat="1" ht="27" customHeight="1" outlineLevel="1" x14ac:dyDescent="0.3">
      <c r="A57" s="264"/>
      <c r="B57" s="264"/>
      <c r="C57" s="265"/>
      <c r="D57" s="239"/>
      <c r="E57" s="239"/>
      <c r="F57" s="168"/>
      <c r="G57" s="168"/>
      <c r="H57" s="168"/>
      <c r="I57" s="168"/>
      <c r="J57" s="295" t="s">
        <v>366</v>
      </c>
      <c r="K57" s="296" t="s">
        <v>369</v>
      </c>
      <c r="L57" s="266" t="str">
        <f>VLOOKUP(K57,[6]материалы!$A$5:$G$31,5, FALSE)</f>
        <v>м</v>
      </c>
      <c r="M57" s="168">
        <f>VLOOKUP(K57,[6]материалы!$A$5:$G$34,7, FALSE)</f>
        <v>110.83</v>
      </c>
      <c r="N57" s="266">
        <v>1</v>
      </c>
      <c r="O57" s="168">
        <f t="shared" ref="O57" si="29">ROUND(M57*N57,2)</f>
        <v>110.83</v>
      </c>
      <c r="P57" s="168"/>
      <c r="Q57" s="168"/>
      <c r="R57" s="268"/>
      <c r="S57" s="268"/>
      <c r="T57" s="268"/>
      <c r="U57" s="309"/>
      <c r="V57" s="330"/>
      <c r="W57" s="311"/>
      <c r="X57" s="312"/>
      <c r="Y57" s="302"/>
      <c r="Z57" s="313"/>
      <c r="AA57" s="314"/>
      <c r="AB57" s="315"/>
      <c r="AC57" s="316"/>
      <c r="AD57" s="317"/>
      <c r="AE57" s="335"/>
      <c r="AF57" s="303"/>
      <c r="AG57" s="319"/>
      <c r="AH57" s="320"/>
      <c r="AI57" s="321"/>
      <c r="AJ57" s="283"/>
      <c r="AK57" s="304"/>
      <c r="AM57" s="322"/>
      <c r="AN57" s="322"/>
      <c r="AO57" s="322"/>
      <c r="AQ57" s="323"/>
      <c r="AR57" s="306"/>
      <c r="AS57" s="322"/>
      <c r="AT57" s="324"/>
      <c r="AU57" s="322"/>
      <c r="AW57" s="324"/>
      <c r="AX57" s="319"/>
      <c r="AY57" s="325"/>
      <c r="AZ57" s="307"/>
      <c r="BA57" s="308"/>
      <c r="BB57" s="308"/>
      <c r="BC57" s="308"/>
    </row>
    <row r="58" spans="1:55" s="82" customFormat="1" ht="59.25" customHeight="1" x14ac:dyDescent="0.3">
      <c r="A58" s="264" t="s">
        <v>641</v>
      </c>
      <c r="B58" s="264" t="s">
        <v>642</v>
      </c>
      <c r="C58" s="265" t="s">
        <v>643</v>
      </c>
      <c r="D58" s="239" t="s">
        <v>18</v>
      </c>
      <c r="E58" s="168" t="s">
        <v>29</v>
      </c>
      <c r="F58" s="168">
        <f>VLOOKUP(E58,'[6]условия, ФОТ'!$A$14:$I$32,9, FALSE)</f>
        <v>180.5</v>
      </c>
      <c r="G58" s="168">
        <v>1</v>
      </c>
      <c r="H58" s="168">
        <f>ROUND(F58*G58,2)</f>
        <v>180.5</v>
      </c>
      <c r="I58" s="168">
        <f>ROUND(H58*$I$5,2)</f>
        <v>54.51</v>
      </c>
      <c r="J58" s="168">
        <f>H58+I58</f>
        <v>235.01</v>
      </c>
      <c r="K58" s="267"/>
      <c r="L58" s="168"/>
      <c r="M58" s="168"/>
      <c r="N58" s="168"/>
      <c r="O58" s="168"/>
      <c r="P58" s="168">
        <f>J58+O58</f>
        <v>235.01</v>
      </c>
      <c r="Q58" s="168">
        <f>ROUND(P58*$Q$5,2)</f>
        <v>156.28</v>
      </c>
      <c r="R58" s="268">
        <f>ROUND(T58/1.2,2)</f>
        <v>451.67</v>
      </c>
      <c r="S58" s="268">
        <f t="shared" si="21"/>
        <v>90.33</v>
      </c>
      <c r="T58" s="268">
        <f>ROUND((P58+Q58)*(1+AC58)*1.2,0)</f>
        <v>542</v>
      </c>
      <c r="U58" s="269">
        <v>487</v>
      </c>
      <c r="V58" s="270">
        <f>T58/U58*100-100</f>
        <v>11.293634496919907</v>
      </c>
      <c r="W58" s="271">
        <v>520</v>
      </c>
      <c r="X58" s="272">
        <f t="shared" si="0"/>
        <v>4.2307692307692406</v>
      </c>
      <c r="Y58" s="231">
        <v>503</v>
      </c>
      <c r="Z58" s="273">
        <v>1.042</v>
      </c>
      <c r="AA58" s="274">
        <f>ROUND(W58*Z58,2)</f>
        <v>541.84</v>
      </c>
      <c r="AB58" s="275">
        <f>ROUND((P58+Q58)*1.2,2)</f>
        <v>469.55</v>
      </c>
      <c r="AC58" s="276">
        <f>ROUND((AA58/AB58)*100%-100%,4)</f>
        <v>0.154</v>
      </c>
      <c r="AD58" s="277">
        <f t="shared" si="1"/>
        <v>72.310699999999997</v>
      </c>
      <c r="AE58" s="278"/>
      <c r="AF58" s="235">
        <v>520.10199999999998</v>
      </c>
      <c r="AG58" s="106">
        <v>520</v>
      </c>
      <c r="AH58" s="281">
        <f t="shared" si="2"/>
        <v>22</v>
      </c>
      <c r="AI58" s="282">
        <v>0.1249</v>
      </c>
      <c r="AJ58" s="283">
        <f t="shared" si="3"/>
        <v>72.310699999999997</v>
      </c>
      <c r="AK58" s="284"/>
      <c r="AM58" s="285">
        <v>0.1249</v>
      </c>
      <c r="AN58" s="285">
        <f t="shared" si="4"/>
        <v>0.1249</v>
      </c>
      <c r="AO58" s="285">
        <v>0</v>
      </c>
      <c r="AQ58" s="286"/>
      <c r="AR58" s="287"/>
      <c r="AS58" s="285">
        <v>1.034</v>
      </c>
      <c r="AT58" s="288">
        <v>0.1249</v>
      </c>
      <c r="AU58" s="285">
        <f t="shared" si="5"/>
        <v>8.0000000000000071E-3</v>
      </c>
      <c r="AW58" s="288">
        <f t="shared" si="6"/>
        <v>2.9100000000000001E-2</v>
      </c>
      <c r="AX58" s="106">
        <v>520</v>
      </c>
      <c r="AY58" s="127" t="b">
        <f t="shared" si="7"/>
        <v>1</v>
      </c>
      <c r="AZ58" s="289">
        <f t="shared" si="8"/>
        <v>-3.0179999999999998</v>
      </c>
      <c r="BA58"/>
      <c r="BB58"/>
      <c r="BC58">
        <f t="shared" si="9"/>
        <v>1.042</v>
      </c>
    </row>
    <row r="59" spans="1:55" s="82" customFormat="1" ht="59.25" customHeight="1" x14ac:dyDescent="0.3">
      <c r="A59" s="264" t="s">
        <v>644</v>
      </c>
      <c r="B59" s="264" t="s">
        <v>642</v>
      </c>
      <c r="C59" s="265" t="s">
        <v>645</v>
      </c>
      <c r="D59" s="239" t="s">
        <v>18</v>
      </c>
      <c r="E59" s="168" t="s">
        <v>29</v>
      </c>
      <c r="F59" s="168">
        <f>VLOOKUP(E59,'[6]условия, ФОТ'!$A$14:$I$32,9, FALSE)</f>
        <v>180.5</v>
      </c>
      <c r="G59" s="168">
        <f>G58*1.5</f>
        <v>1.5</v>
      </c>
      <c r="H59" s="168">
        <f>ROUND(F59*G59,2)</f>
        <v>270.75</v>
      </c>
      <c r="I59" s="168">
        <f>ROUND(H59*$I$5,2)</f>
        <v>81.77</v>
      </c>
      <c r="J59" s="168">
        <f>H59+I59</f>
        <v>352.52</v>
      </c>
      <c r="K59" s="267"/>
      <c r="L59" s="168"/>
      <c r="M59" s="168"/>
      <c r="N59" s="168"/>
      <c r="O59" s="168"/>
      <c r="P59" s="168">
        <f>J59+O59</f>
        <v>352.52</v>
      </c>
      <c r="Q59" s="168">
        <f>ROUND(P59*$Q$5,2)</f>
        <v>234.43</v>
      </c>
      <c r="R59" s="268">
        <f>ROUND(T59/1.2,2)</f>
        <v>677.5</v>
      </c>
      <c r="S59" s="268">
        <f t="shared" si="21"/>
        <v>135.5</v>
      </c>
      <c r="T59" s="268">
        <f>ROUND((P59+Q59)*(1+AC59)*1.2,0)</f>
        <v>813</v>
      </c>
      <c r="U59" s="269">
        <v>731</v>
      </c>
      <c r="V59" s="270">
        <f>T59/U59*100-100</f>
        <v>11.21751025991793</v>
      </c>
      <c r="W59" s="271">
        <v>780</v>
      </c>
      <c r="X59" s="272">
        <f t="shared" si="0"/>
        <v>4.2307692307692406</v>
      </c>
      <c r="Y59" s="231">
        <v>754</v>
      </c>
      <c r="Z59" s="273">
        <v>1.042</v>
      </c>
      <c r="AA59" s="274">
        <f>ROUND(W59*Z59,2)</f>
        <v>812.76</v>
      </c>
      <c r="AB59" s="275">
        <f>ROUND((P59+Q59)*1.2,2)</f>
        <v>704.34</v>
      </c>
      <c r="AC59" s="276">
        <f>ROUND((AA59/AB59)*100%-100%,4)</f>
        <v>0.15390000000000001</v>
      </c>
      <c r="AD59" s="277">
        <f t="shared" si="1"/>
        <v>108.39792600000001</v>
      </c>
      <c r="AE59" s="278"/>
      <c r="AF59" s="235">
        <v>779.63599999999997</v>
      </c>
      <c r="AG59" s="106">
        <v>780</v>
      </c>
      <c r="AH59" s="281">
        <f t="shared" si="2"/>
        <v>33</v>
      </c>
      <c r="AI59" s="282">
        <v>0.1242</v>
      </c>
      <c r="AJ59" s="283">
        <f t="shared" si="3"/>
        <v>108.39792600000001</v>
      </c>
      <c r="AK59" s="284"/>
      <c r="AM59" s="285">
        <v>0.1242</v>
      </c>
      <c r="AN59" s="285">
        <f t="shared" si="4"/>
        <v>0.1242</v>
      </c>
      <c r="AO59" s="285">
        <v>0</v>
      </c>
      <c r="AQ59" s="286"/>
      <c r="AR59" s="287"/>
      <c r="AS59" s="285">
        <v>1.034</v>
      </c>
      <c r="AT59" s="288">
        <v>0.1242</v>
      </c>
      <c r="AU59" s="285">
        <f t="shared" si="5"/>
        <v>8.0000000000000071E-3</v>
      </c>
      <c r="AW59" s="288">
        <f t="shared" si="6"/>
        <v>2.9700000000000004E-2</v>
      </c>
      <c r="AX59" s="106">
        <v>780</v>
      </c>
      <c r="AY59" s="127" t="b">
        <f t="shared" si="7"/>
        <v>1</v>
      </c>
      <c r="AZ59" s="289">
        <f t="shared" si="8"/>
        <v>-3.0179999999999998</v>
      </c>
      <c r="BA59"/>
      <c r="BB59"/>
      <c r="BC59">
        <f t="shared" si="9"/>
        <v>1.042</v>
      </c>
    </row>
    <row r="60" spans="1:55" s="86" customFormat="1" ht="23.25" customHeight="1" x14ac:dyDescent="0.3">
      <c r="A60" s="651" t="s">
        <v>646</v>
      </c>
      <c r="B60" s="652"/>
      <c r="C60" s="652"/>
      <c r="D60" s="652"/>
      <c r="E60" s="652"/>
      <c r="F60" s="652"/>
      <c r="G60" s="652"/>
      <c r="H60" s="652"/>
      <c r="I60" s="652"/>
      <c r="J60" s="652"/>
      <c r="K60" s="652"/>
      <c r="L60" s="652"/>
      <c r="M60" s="652"/>
      <c r="N60" s="652"/>
      <c r="O60" s="652"/>
      <c r="P60" s="652"/>
      <c r="Q60" s="652"/>
      <c r="R60" s="652"/>
      <c r="S60" s="652"/>
      <c r="T60" s="653"/>
      <c r="U60" s="260"/>
      <c r="V60" s="261"/>
      <c r="W60" s="271"/>
      <c r="X60" s="272"/>
      <c r="Y60" s="231"/>
      <c r="Z60" s="273"/>
      <c r="AA60" s="58"/>
      <c r="AB60" s="275"/>
      <c r="AC60" s="276"/>
      <c r="AD60" s="277"/>
      <c r="AE60" s="278"/>
      <c r="AF60" s="235"/>
      <c r="AG60" s="291"/>
      <c r="AH60" s="281"/>
      <c r="AI60" s="282"/>
      <c r="AJ60" s="283"/>
      <c r="AK60" s="284"/>
      <c r="AM60" s="292"/>
      <c r="AN60" s="285"/>
      <c r="AO60" s="285"/>
      <c r="AQ60" s="286"/>
      <c r="AR60" s="293"/>
      <c r="AS60" s="292"/>
      <c r="AT60" s="294"/>
      <c r="AU60" s="285"/>
      <c r="AW60" s="288"/>
      <c r="AX60" s="291"/>
      <c r="AY60" s="127"/>
      <c r="AZ60" s="289"/>
      <c r="BA60"/>
      <c r="BB60"/>
      <c r="BC60"/>
    </row>
    <row r="61" spans="1:55" ht="26.25" customHeight="1" x14ac:dyDescent="0.3">
      <c r="A61" s="264" t="s">
        <v>647</v>
      </c>
      <c r="B61" s="264" t="s">
        <v>648</v>
      </c>
      <c r="C61" s="265" t="s">
        <v>649</v>
      </c>
      <c r="D61" s="239" t="s">
        <v>650</v>
      </c>
      <c r="E61" s="239" t="s">
        <v>161</v>
      </c>
      <c r="F61" s="168">
        <f>VLOOKUP(E61,'[6]условия, ФОТ'!$A$14:$I$32,9, FALSE)</f>
        <v>180.5</v>
      </c>
      <c r="G61" s="266">
        <v>4.71</v>
      </c>
      <c r="H61" s="168">
        <f>ROUND(F61*G61,2)</f>
        <v>850.16</v>
      </c>
      <c r="I61" s="168">
        <f>ROUND(H61*$I$5,2)</f>
        <v>256.75</v>
      </c>
      <c r="J61" s="168">
        <f>H61+I61</f>
        <v>1106.9099999999999</v>
      </c>
      <c r="K61" s="267"/>
      <c r="L61" s="168"/>
      <c r="M61" s="168"/>
      <c r="N61" s="168"/>
      <c r="O61" s="168"/>
      <c r="P61" s="168">
        <f>J61+O61</f>
        <v>1106.9099999999999</v>
      </c>
      <c r="Q61" s="168">
        <f t="shared" si="20"/>
        <v>736.1</v>
      </c>
      <c r="R61" s="268">
        <f>ROUND(T61/1.2,2)</f>
        <v>1985</v>
      </c>
      <c r="S61" s="268">
        <f>ROUND(R61*$S$5,2)</f>
        <v>397</v>
      </c>
      <c r="T61" s="268">
        <f>ROUND((P61+Q61)*(1+AC61)*1.2,0)</f>
        <v>2382</v>
      </c>
      <c r="U61" s="269">
        <v>1750</v>
      </c>
      <c r="V61" s="336">
        <f>T61/U61*100-100</f>
        <v>36.114285714285728</v>
      </c>
      <c r="W61" s="271">
        <v>2286</v>
      </c>
      <c r="X61" s="272">
        <f t="shared" si="0"/>
        <v>4.1994750656167952</v>
      </c>
      <c r="Y61" s="231">
        <v>1806</v>
      </c>
      <c r="Z61" s="273">
        <v>1.042</v>
      </c>
      <c r="AA61" s="274">
        <f>ROUND(W61*Z61,2)</f>
        <v>2382.0100000000002</v>
      </c>
      <c r="AB61" s="275">
        <f>ROUND((P61+Q61)*1.2,2)</f>
        <v>2211.61</v>
      </c>
      <c r="AC61" s="276">
        <f>ROUND((AA61/AB61)*100%-100%,4)</f>
        <v>7.6999999999999999E-2</v>
      </c>
      <c r="AD61" s="277">
        <f t="shared" si="1"/>
        <v>170.29397</v>
      </c>
      <c r="AF61" s="235">
        <v>1867.404</v>
      </c>
      <c r="AG61" s="106">
        <v>2286</v>
      </c>
      <c r="AH61" s="281">
        <f t="shared" si="2"/>
        <v>96</v>
      </c>
      <c r="AI61" s="282">
        <v>4.99E-2</v>
      </c>
      <c r="AJ61" s="283">
        <f t="shared" si="3"/>
        <v>170.29397</v>
      </c>
      <c r="AK61" s="284"/>
      <c r="AM61" s="222">
        <v>-0.14249999999999999</v>
      </c>
      <c r="AN61" s="285">
        <f t="shared" si="4"/>
        <v>1.1425000000000001</v>
      </c>
      <c r="AO61" s="285">
        <v>1.181</v>
      </c>
      <c r="AQ61" s="286">
        <f t="shared" si="14"/>
        <v>2699.77</v>
      </c>
      <c r="AS61" s="222">
        <v>1.034</v>
      </c>
      <c r="AT61" s="337">
        <v>-0.14249999999999999</v>
      </c>
      <c r="AU61" s="285">
        <f t="shared" si="5"/>
        <v>8.0000000000000071E-3</v>
      </c>
      <c r="AW61" s="288">
        <f t="shared" si="6"/>
        <v>0.21949999999999997</v>
      </c>
      <c r="AX61" s="106">
        <v>2286</v>
      </c>
      <c r="AY61" s="127" t="b">
        <f t="shared" si="7"/>
        <v>1</v>
      </c>
      <c r="AZ61" s="289">
        <f t="shared" si="8"/>
        <v>-2.9880000000000004</v>
      </c>
      <c r="BC61">
        <f t="shared" si="9"/>
        <v>1.042</v>
      </c>
    </row>
    <row r="62" spans="1:55" ht="18.95" customHeight="1" x14ac:dyDescent="0.3">
      <c r="A62" s="264" t="s">
        <v>651</v>
      </c>
      <c r="B62" s="264" t="s">
        <v>27</v>
      </c>
      <c r="C62" s="265" t="s">
        <v>652</v>
      </c>
      <c r="D62" s="239" t="s">
        <v>650</v>
      </c>
      <c r="E62" s="239" t="s">
        <v>166</v>
      </c>
      <c r="F62" s="168">
        <f>VLOOKUP(E62,'[6]условия, ФОТ'!$A$14:$I$32,9, FALSE)</f>
        <v>193.64</v>
      </c>
      <c r="G62" s="168">
        <v>0.5</v>
      </c>
      <c r="H62" s="168">
        <f>ROUND(F62*G62,2)</f>
        <v>96.82</v>
      </c>
      <c r="I62" s="168">
        <f>ROUND(H62*$I$5,2)</f>
        <v>29.24</v>
      </c>
      <c r="J62" s="168">
        <f>H62+I62</f>
        <v>126.05999999999999</v>
      </c>
      <c r="K62" s="267"/>
      <c r="L62" s="168"/>
      <c r="M62" s="168"/>
      <c r="N62" s="168"/>
      <c r="O62" s="168">
        <f>SUM(O63:O64)</f>
        <v>92.51</v>
      </c>
      <c r="P62" s="168">
        <f>J62+O62</f>
        <v>218.57</v>
      </c>
      <c r="Q62" s="168">
        <f t="shared" si="20"/>
        <v>145.35</v>
      </c>
      <c r="R62" s="268">
        <f>ROUND(T62/1.2,2)</f>
        <v>441.67</v>
      </c>
      <c r="S62" s="268">
        <f>ROUND(R62*$S$5,2)</f>
        <v>88.33</v>
      </c>
      <c r="T62" s="268">
        <f>ROUND((P62+Q62)*(1+AC62)*1.2,0)</f>
        <v>530</v>
      </c>
      <c r="U62" s="269">
        <v>477</v>
      </c>
      <c r="V62" s="336">
        <f t="shared" ref="V62:V69" si="30">T62/U62*100-100</f>
        <v>11.111111111111114</v>
      </c>
      <c r="W62" s="271">
        <v>509</v>
      </c>
      <c r="X62" s="272">
        <f t="shared" si="0"/>
        <v>4.1257367387033383</v>
      </c>
      <c r="Y62" s="231">
        <v>492</v>
      </c>
      <c r="Z62" s="273">
        <v>1.042</v>
      </c>
      <c r="AA62" s="274">
        <f>ROUND(W62*Z62,2)</f>
        <v>530.38</v>
      </c>
      <c r="AB62" s="275">
        <f>ROUND((P62+Q62)*1.2,2)</f>
        <v>436.7</v>
      </c>
      <c r="AC62" s="276">
        <f>ROUND((AA62/AB62)*100%-100%,4)</f>
        <v>0.2145</v>
      </c>
      <c r="AD62" s="277">
        <f t="shared" si="1"/>
        <v>93.672150000000002</v>
      </c>
      <c r="AF62" s="235">
        <v>508.72800000000001</v>
      </c>
      <c r="AG62" s="106">
        <v>509</v>
      </c>
      <c r="AH62" s="281">
        <f t="shared" si="2"/>
        <v>21</v>
      </c>
      <c r="AI62" s="282">
        <v>0.2429</v>
      </c>
      <c r="AJ62" s="283">
        <f t="shared" si="3"/>
        <v>93.672150000000002</v>
      </c>
      <c r="AK62" s="284"/>
      <c r="AM62" s="222">
        <v>0.2429</v>
      </c>
      <c r="AN62" s="285">
        <f t="shared" si="4"/>
        <v>0.2429</v>
      </c>
      <c r="AO62" s="285">
        <v>0</v>
      </c>
      <c r="AQ62" s="286"/>
      <c r="AS62" s="222">
        <v>1.034</v>
      </c>
      <c r="AT62" s="337">
        <v>0.2429</v>
      </c>
      <c r="AU62" s="285">
        <f t="shared" si="5"/>
        <v>8.0000000000000071E-3</v>
      </c>
      <c r="AW62" s="288">
        <f t="shared" si="6"/>
        <v>-2.8400000000000009E-2</v>
      </c>
      <c r="AX62" s="106">
        <v>509</v>
      </c>
      <c r="AY62" s="127" t="b">
        <f t="shared" si="7"/>
        <v>1</v>
      </c>
      <c r="AZ62" s="289">
        <f t="shared" si="8"/>
        <v>-2.9180000000000001</v>
      </c>
      <c r="BC62">
        <f t="shared" si="9"/>
        <v>1.0409999999999999</v>
      </c>
    </row>
    <row r="63" spans="1:55" ht="18.95" customHeight="1" outlineLevel="1" x14ac:dyDescent="0.3">
      <c r="A63" s="264"/>
      <c r="B63" s="264"/>
      <c r="C63" s="265"/>
      <c r="D63" s="239"/>
      <c r="E63" s="239"/>
      <c r="F63" s="168"/>
      <c r="G63" s="168"/>
      <c r="H63" s="168"/>
      <c r="I63" s="168"/>
      <c r="J63" s="295" t="s">
        <v>366</v>
      </c>
      <c r="K63" s="296" t="s">
        <v>653</v>
      </c>
      <c r="L63" s="266" t="str">
        <f>VLOOKUP(K63,[6]материалы!$A$5:$G$31,5, FALSE)</f>
        <v>шт.</v>
      </c>
      <c r="M63" s="168">
        <f>VLOOKUP(K63,[6]материалы!$A$5:$G$34,7, FALSE)</f>
        <v>41.67</v>
      </c>
      <c r="N63" s="266">
        <v>2</v>
      </c>
      <c r="O63" s="168">
        <f t="shared" ref="O63:O64" si="31">ROUND(M63*N63,2)</f>
        <v>83.34</v>
      </c>
      <c r="P63" s="168"/>
      <c r="Q63" s="168"/>
      <c r="R63" s="268"/>
      <c r="S63" s="268"/>
      <c r="T63" s="268"/>
      <c r="U63" s="269"/>
      <c r="V63" s="336"/>
      <c r="W63" s="271"/>
      <c r="X63" s="272"/>
      <c r="Z63" s="273"/>
      <c r="AA63" s="58"/>
      <c r="AB63" s="275"/>
      <c r="AC63" s="276"/>
      <c r="AD63" s="277"/>
      <c r="AG63" s="106"/>
      <c r="AH63" s="281"/>
      <c r="AI63" s="282"/>
      <c r="AJ63" s="283"/>
      <c r="AK63" s="284"/>
      <c r="AM63" s="222"/>
      <c r="AN63" s="285"/>
      <c r="AO63" s="285"/>
      <c r="AQ63" s="286"/>
      <c r="AS63" s="222"/>
      <c r="AT63" s="337"/>
      <c r="AU63" s="285"/>
      <c r="AW63" s="288"/>
      <c r="AX63" s="106"/>
      <c r="AZ63" s="289"/>
    </row>
    <row r="64" spans="1:55" ht="18.95" customHeight="1" outlineLevel="1" x14ac:dyDescent="0.3">
      <c r="A64" s="264"/>
      <c r="B64" s="264"/>
      <c r="C64" s="265"/>
      <c r="D64" s="239"/>
      <c r="E64" s="239"/>
      <c r="F64" s="168"/>
      <c r="G64" s="168"/>
      <c r="H64" s="168"/>
      <c r="I64" s="168"/>
      <c r="J64" s="168"/>
      <c r="K64" s="296" t="s">
        <v>654</v>
      </c>
      <c r="L64" s="266" t="str">
        <f>VLOOKUP(K64,[6]материалы!$A$5:$G$31,5, FALSE)</f>
        <v>кг</v>
      </c>
      <c r="M64" s="168">
        <f>VLOOKUP(K64,[6]материалы!$A$5:$G$34,7, FALSE)</f>
        <v>183.33</v>
      </c>
      <c r="N64" s="266">
        <v>0.05</v>
      </c>
      <c r="O64" s="168">
        <f t="shared" si="31"/>
        <v>9.17</v>
      </c>
      <c r="P64" s="168"/>
      <c r="Q64" s="168"/>
      <c r="R64" s="268"/>
      <c r="S64" s="268"/>
      <c r="T64" s="268"/>
      <c r="U64" s="269"/>
      <c r="V64" s="336"/>
      <c r="W64" s="271"/>
      <c r="X64" s="272"/>
      <c r="Z64" s="273"/>
      <c r="AA64" s="58"/>
      <c r="AB64" s="275"/>
      <c r="AC64" s="276"/>
      <c r="AD64" s="277"/>
      <c r="AG64" s="106"/>
      <c r="AH64" s="281"/>
      <c r="AI64" s="282"/>
      <c r="AJ64" s="283"/>
      <c r="AK64" s="284"/>
      <c r="AM64" s="222"/>
      <c r="AN64" s="285"/>
      <c r="AO64" s="285"/>
      <c r="AQ64" s="286"/>
      <c r="AS64" s="222"/>
      <c r="AT64" s="337"/>
      <c r="AU64" s="285"/>
      <c r="AW64" s="288"/>
      <c r="AX64" s="106"/>
      <c r="AZ64" s="289"/>
    </row>
    <row r="65" spans="1:55" ht="42" customHeight="1" x14ac:dyDescent="0.3">
      <c r="A65" s="264" t="s">
        <v>655</v>
      </c>
      <c r="B65" s="264" t="s">
        <v>656</v>
      </c>
      <c r="C65" s="265" t="s">
        <v>657</v>
      </c>
      <c r="D65" s="239" t="s">
        <v>658</v>
      </c>
      <c r="E65" s="239" t="s">
        <v>162</v>
      </c>
      <c r="F65" s="168">
        <f>VLOOKUP(E65,'[6]условия, ФОТ'!$A$14:$I$32,9, FALSE)</f>
        <v>180.5</v>
      </c>
      <c r="G65" s="266">
        <f>1.45/2</f>
        <v>0.72499999999999998</v>
      </c>
      <c r="H65" s="168">
        <f t="shared" ref="H65:H84" si="32">ROUND(F65*G65,2)</f>
        <v>130.86000000000001</v>
      </c>
      <c r="I65" s="168">
        <f t="shared" ref="I65:I84" si="33">ROUND(H65*$I$5,2)</f>
        <v>39.520000000000003</v>
      </c>
      <c r="J65" s="168">
        <f t="shared" ref="J65:J84" si="34">H65+I65</f>
        <v>170.38000000000002</v>
      </c>
      <c r="K65" s="267"/>
      <c r="L65" s="168"/>
      <c r="M65" s="168"/>
      <c r="N65" s="168"/>
      <c r="O65" s="168"/>
      <c r="P65" s="168">
        <f t="shared" ref="P65:P68" si="35">J65+O65</f>
        <v>170.38000000000002</v>
      </c>
      <c r="Q65" s="168">
        <f t="shared" ref="Q65:Q68" si="36">ROUND(P65*$Q$5,2)</f>
        <v>113.3</v>
      </c>
      <c r="R65" s="268">
        <f>ROUND(T65/1.2,2)</f>
        <v>305.83</v>
      </c>
      <c r="S65" s="268">
        <f>ROUND(R65*$S$5,2)</f>
        <v>61.17</v>
      </c>
      <c r="T65" s="268">
        <f>ROUND((P65+Q65)*(1+AC65)*1.2,0)</f>
        <v>367</v>
      </c>
      <c r="U65" s="269">
        <v>305</v>
      </c>
      <c r="V65" s="270">
        <f>T65/U65*100-100</f>
        <v>20.327868852459005</v>
      </c>
      <c r="W65" s="271">
        <v>352</v>
      </c>
      <c r="X65" s="272">
        <f t="shared" si="0"/>
        <v>4.2613636363636402</v>
      </c>
      <c r="Y65" s="231">
        <v>314</v>
      </c>
      <c r="Z65" s="273">
        <v>1.042</v>
      </c>
      <c r="AA65" s="274">
        <f>ROUND(W65*Z65,2)</f>
        <v>366.78</v>
      </c>
      <c r="AB65" s="275">
        <f>ROUND((P65+Q65)*1.2,2)</f>
        <v>340.42</v>
      </c>
      <c r="AC65" s="276">
        <f>ROUND((AA65/AB65)*100%-100%,4)</f>
        <v>7.7399999999999997E-2</v>
      </c>
      <c r="AD65" s="277">
        <f t="shared" si="1"/>
        <v>26.348507999999999</v>
      </c>
      <c r="AF65" s="235">
        <v>324.67599999999999</v>
      </c>
      <c r="AG65" s="106">
        <v>352</v>
      </c>
      <c r="AH65" s="281">
        <f t="shared" si="2"/>
        <v>15</v>
      </c>
      <c r="AI65" s="282">
        <v>4.9099999999999998E-2</v>
      </c>
      <c r="AJ65" s="283">
        <f t="shared" si="3"/>
        <v>26.348507999999999</v>
      </c>
      <c r="AK65" s="284"/>
      <c r="AM65" s="222">
        <v>-3.1399999999999997E-2</v>
      </c>
      <c r="AN65" s="285">
        <f t="shared" si="4"/>
        <v>1.0314000000000001</v>
      </c>
      <c r="AO65" s="285">
        <v>1.0660000000000001</v>
      </c>
      <c r="AQ65" s="286">
        <f t="shared" si="14"/>
        <v>375.23</v>
      </c>
      <c r="AS65" s="222">
        <v>1.034</v>
      </c>
      <c r="AT65" s="337">
        <v>-3.1399999999999997E-2</v>
      </c>
      <c r="AU65" s="285">
        <f t="shared" si="5"/>
        <v>8.0000000000000071E-3</v>
      </c>
      <c r="AW65" s="288">
        <f t="shared" si="6"/>
        <v>0.10879999999999999</v>
      </c>
      <c r="AX65" s="106">
        <v>352</v>
      </c>
      <c r="AY65" s="127" t="b">
        <f t="shared" si="7"/>
        <v>1</v>
      </c>
      <c r="AZ65" s="289">
        <f t="shared" si="8"/>
        <v>-3.048</v>
      </c>
      <c r="BC65">
        <f t="shared" si="9"/>
        <v>1.0429999999999999</v>
      </c>
    </row>
    <row r="66" spans="1:55" ht="39.75" customHeight="1" x14ac:dyDescent="0.3">
      <c r="A66" s="264" t="s">
        <v>659</v>
      </c>
      <c r="B66" s="264" t="s">
        <v>656</v>
      </c>
      <c r="C66" s="265" t="s">
        <v>660</v>
      </c>
      <c r="D66" s="239" t="s">
        <v>658</v>
      </c>
      <c r="E66" s="239" t="s">
        <v>162</v>
      </c>
      <c r="F66" s="168">
        <f>VLOOKUP(E66,'[6]условия, ФОТ'!$A$14:$I$32,9, FALSE)</f>
        <v>180.5</v>
      </c>
      <c r="G66" s="168">
        <v>1.45</v>
      </c>
      <c r="H66" s="168">
        <f t="shared" si="32"/>
        <v>261.73</v>
      </c>
      <c r="I66" s="168">
        <f t="shared" si="33"/>
        <v>79.040000000000006</v>
      </c>
      <c r="J66" s="168">
        <f t="shared" si="34"/>
        <v>340.77000000000004</v>
      </c>
      <c r="K66" s="267"/>
      <c r="L66" s="168"/>
      <c r="M66" s="168"/>
      <c r="N66" s="168"/>
      <c r="O66" s="168"/>
      <c r="P66" s="168">
        <f t="shared" si="35"/>
        <v>340.77000000000004</v>
      </c>
      <c r="Q66" s="168">
        <f t="shared" si="36"/>
        <v>226.61</v>
      </c>
      <c r="R66" s="268">
        <f>ROUND(T66/1.2,2)</f>
        <v>611.66999999999996</v>
      </c>
      <c r="S66" s="268">
        <f t="shared" ref="S66:S67" si="37">ROUND(R66*$S$5,2)</f>
        <v>122.33</v>
      </c>
      <c r="T66" s="268">
        <f>ROUND((P66+Q66)*(1+AC66)*1.2,0)</f>
        <v>734</v>
      </c>
      <c r="U66" s="269">
        <v>609</v>
      </c>
      <c r="V66" s="270">
        <f t="shared" ref="V66:V68" si="38">T66/U66*100-100</f>
        <v>20.525451559934325</v>
      </c>
      <c r="W66" s="271">
        <v>704</v>
      </c>
      <c r="X66" s="272">
        <f t="shared" si="0"/>
        <v>4.2613636363636402</v>
      </c>
      <c r="Y66" s="231">
        <v>629</v>
      </c>
      <c r="Z66" s="273">
        <v>1.042</v>
      </c>
      <c r="AA66" s="274">
        <f>ROUND(W66*Z66,2)</f>
        <v>733.57</v>
      </c>
      <c r="AB66" s="275">
        <f>ROUND((P66+Q66)*1.2,2)</f>
        <v>680.86</v>
      </c>
      <c r="AC66" s="276">
        <f>ROUND((AA66/AB66)*100%-100%,4)</f>
        <v>7.7399999999999997E-2</v>
      </c>
      <c r="AD66" s="277">
        <f t="shared" si="1"/>
        <v>52.698563999999998</v>
      </c>
      <c r="AF66" s="235">
        <v>650.38599999999997</v>
      </c>
      <c r="AG66" s="106">
        <v>704</v>
      </c>
      <c r="AH66" s="281">
        <f t="shared" si="2"/>
        <v>30</v>
      </c>
      <c r="AI66" s="282">
        <v>4.99E-2</v>
      </c>
      <c r="AJ66" s="283">
        <f t="shared" si="3"/>
        <v>52.698563999999998</v>
      </c>
      <c r="AK66" s="284"/>
      <c r="AM66" s="222">
        <v>-2.98E-2</v>
      </c>
      <c r="AN66" s="285">
        <f t="shared" si="4"/>
        <v>1.0298</v>
      </c>
      <c r="AO66" s="285">
        <v>1.0649999999999999</v>
      </c>
      <c r="AQ66" s="286">
        <f t="shared" si="14"/>
        <v>749.76</v>
      </c>
      <c r="AS66" s="222">
        <v>1.034</v>
      </c>
      <c r="AT66" s="337">
        <v>-2.98E-2</v>
      </c>
      <c r="AU66" s="285">
        <f t="shared" si="5"/>
        <v>8.0000000000000071E-3</v>
      </c>
      <c r="AW66" s="288">
        <f t="shared" si="6"/>
        <v>0.10719999999999999</v>
      </c>
      <c r="AX66" s="106">
        <v>704</v>
      </c>
      <c r="AY66" s="127" t="b">
        <f t="shared" si="7"/>
        <v>1</v>
      </c>
      <c r="AZ66" s="289">
        <f t="shared" si="8"/>
        <v>-3.048</v>
      </c>
      <c r="BC66">
        <f t="shared" si="9"/>
        <v>1.0429999999999999</v>
      </c>
    </row>
    <row r="67" spans="1:55" ht="44.25" customHeight="1" x14ac:dyDescent="0.3">
      <c r="A67" s="264" t="s">
        <v>661</v>
      </c>
      <c r="B67" s="264" t="s">
        <v>662</v>
      </c>
      <c r="C67" s="265" t="s">
        <v>663</v>
      </c>
      <c r="D67" s="239" t="s">
        <v>658</v>
      </c>
      <c r="E67" s="239" t="s">
        <v>162</v>
      </c>
      <c r="F67" s="168">
        <f>VLOOKUP(E67,'[6]условия, ФОТ'!$A$14:$I$32,9, FALSE)</f>
        <v>180.5</v>
      </c>
      <c r="G67" s="266">
        <f>G68-G66+G65</f>
        <v>2.7749999999999999</v>
      </c>
      <c r="H67" s="168">
        <f t="shared" si="32"/>
        <v>500.89</v>
      </c>
      <c r="I67" s="168">
        <f t="shared" si="33"/>
        <v>151.27000000000001</v>
      </c>
      <c r="J67" s="168">
        <f t="shared" si="34"/>
        <v>652.16</v>
      </c>
      <c r="K67" s="267"/>
      <c r="L67" s="168"/>
      <c r="M67" s="168"/>
      <c r="N67" s="168"/>
      <c r="O67" s="168"/>
      <c r="P67" s="168">
        <f t="shared" si="35"/>
        <v>652.16</v>
      </c>
      <c r="Q67" s="168">
        <f t="shared" si="36"/>
        <v>433.69</v>
      </c>
      <c r="R67" s="268">
        <f>ROUND(T67/1.2,2)</f>
        <v>1169.17</v>
      </c>
      <c r="S67" s="268">
        <f t="shared" si="37"/>
        <v>233.83</v>
      </c>
      <c r="T67" s="268">
        <f>ROUND((P67+Q67)*(1+AC67)*1.2,0)</f>
        <v>1403</v>
      </c>
      <c r="U67" s="269">
        <v>1166</v>
      </c>
      <c r="V67" s="270">
        <f t="shared" si="38"/>
        <v>20.325900514579757</v>
      </c>
      <c r="W67" s="271">
        <v>1346</v>
      </c>
      <c r="X67" s="272">
        <f t="shared" si="0"/>
        <v>4.2347696879643451</v>
      </c>
      <c r="Y67" s="231">
        <v>1204</v>
      </c>
      <c r="Z67" s="273">
        <v>1.042</v>
      </c>
      <c r="AA67" s="274">
        <f>ROUND(W67*Z67,2)</f>
        <v>1402.53</v>
      </c>
      <c r="AB67" s="275">
        <f>ROUND((P67+Q67)*1.2,2)</f>
        <v>1303.02</v>
      </c>
      <c r="AC67" s="276">
        <f>ROUND((AA67/AB67)*100%-100%,4)</f>
        <v>7.6399999999999996E-2</v>
      </c>
      <c r="AD67" s="277">
        <f t="shared" si="1"/>
        <v>99.550727999999992</v>
      </c>
      <c r="AF67" s="235">
        <v>1244.9360000000001</v>
      </c>
      <c r="AG67" s="106">
        <v>1346</v>
      </c>
      <c r="AH67" s="281">
        <f t="shared" si="2"/>
        <v>57</v>
      </c>
      <c r="AI67" s="282">
        <v>4.9200000000000001E-2</v>
      </c>
      <c r="AJ67" s="283">
        <f t="shared" si="3"/>
        <v>99.550727999999992</v>
      </c>
      <c r="AK67" s="284"/>
      <c r="AM67" s="222">
        <v>-2.9700000000000001E-2</v>
      </c>
      <c r="AN67" s="285">
        <f t="shared" si="4"/>
        <v>1.0297000000000001</v>
      </c>
      <c r="AO67" s="285">
        <v>1.0649999999999999</v>
      </c>
      <c r="AQ67" s="286">
        <f t="shared" si="14"/>
        <v>1433.49</v>
      </c>
      <c r="AS67" s="222">
        <v>1.034</v>
      </c>
      <c r="AT67" s="337">
        <v>-2.9700000000000001E-2</v>
      </c>
      <c r="AU67" s="285">
        <f t="shared" si="5"/>
        <v>8.0000000000000071E-3</v>
      </c>
      <c r="AW67" s="288">
        <f t="shared" si="6"/>
        <v>0.1061</v>
      </c>
      <c r="AX67" s="106">
        <v>1346</v>
      </c>
      <c r="AY67" s="127" t="b">
        <f t="shared" si="7"/>
        <v>1</v>
      </c>
      <c r="AZ67" s="289">
        <f t="shared" si="8"/>
        <v>-3.0179999999999998</v>
      </c>
      <c r="BC67">
        <f t="shared" si="9"/>
        <v>1.042</v>
      </c>
    </row>
    <row r="68" spans="1:55" ht="39.75" customHeight="1" x14ac:dyDescent="0.3">
      <c r="A68" s="264" t="s">
        <v>664</v>
      </c>
      <c r="B68" s="264" t="s">
        <v>662</v>
      </c>
      <c r="C68" s="265" t="s">
        <v>665</v>
      </c>
      <c r="D68" s="239" t="s">
        <v>658</v>
      </c>
      <c r="E68" s="239" t="s">
        <v>162</v>
      </c>
      <c r="F68" s="168">
        <f>VLOOKUP(E68,'[6]условия, ФОТ'!$A$14:$I$32,9, FALSE)</f>
        <v>180.5</v>
      </c>
      <c r="G68" s="168">
        <v>3.5</v>
      </c>
      <c r="H68" s="168">
        <f t="shared" si="32"/>
        <v>631.75</v>
      </c>
      <c r="I68" s="168">
        <f t="shared" si="33"/>
        <v>190.79</v>
      </c>
      <c r="J68" s="168">
        <f t="shared" si="34"/>
        <v>822.54</v>
      </c>
      <c r="K68" s="267"/>
      <c r="L68" s="168"/>
      <c r="M68" s="168"/>
      <c r="N68" s="168"/>
      <c r="O68" s="168"/>
      <c r="P68" s="168">
        <f t="shared" si="35"/>
        <v>822.54</v>
      </c>
      <c r="Q68" s="168">
        <f t="shared" si="36"/>
        <v>546.99</v>
      </c>
      <c r="R68" s="268">
        <f>ROUND(T68/1.2,2)</f>
        <v>1475</v>
      </c>
      <c r="S68" s="268">
        <f>ROUND(R68*$S$5,2)</f>
        <v>295</v>
      </c>
      <c r="T68" s="268">
        <f>ROUND((P68+Q68)*(1+AC68)*1.2,0)</f>
        <v>1770</v>
      </c>
      <c r="U68" s="269">
        <v>1471</v>
      </c>
      <c r="V68" s="270">
        <f t="shared" si="38"/>
        <v>20.326308633582599</v>
      </c>
      <c r="W68" s="271">
        <v>1699</v>
      </c>
      <c r="X68" s="272">
        <f t="shared" si="0"/>
        <v>4.1789287816362588</v>
      </c>
      <c r="Y68" s="231">
        <v>1518</v>
      </c>
      <c r="Z68" s="273">
        <v>1.042</v>
      </c>
      <c r="AA68" s="274">
        <f>ROUND(W68*Z68,2)</f>
        <v>1770.36</v>
      </c>
      <c r="AB68" s="275">
        <f>ROUND((P68+Q68)*1.2,2)</f>
        <v>1643.44</v>
      </c>
      <c r="AC68" s="276">
        <f>ROUND((AA68/AB68)*100%-100%,4)</f>
        <v>7.7200000000000005E-2</v>
      </c>
      <c r="AD68" s="277">
        <f t="shared" si="1"/>
        <v>126.87356800000001</v>
      </c>
      <c r="AF68" s="235">
        <v>1569.6120000000001</v>
      </c>
      <c r="AG68" s="106">
        <v>1699</v>
      </c>
      <c r="AH68" s="281">
        <f t="shared" si="2"/>
        <v>71</v>
      </c>
      <c r="AI68" s="282">
        <v>4.9700000000000001E-2</v>
      </c>
      <c r="AJ68" s="283">
        <f t="shared" si="3"/>
        <v>126.87356800000001</v>
      </c>
      <c r="AK68" s="284"/>
      <c r="AM68" s="222">
        <v>-0.03</v>
      </c>
      <c r="AN68" s="285">
        <f t="shared" si="4"/>
        <v>1.03</v>
      </c>
      <c r="AO68" s="285">
        <v>1.0649999999999999</v>
      </c>
      <c r="AQ68" s="286">
        <f t="shared" si="14"/>
        <v>1809.44</v>
      </c>
      <c r="AS68" s="222">
        <v>1.034</v>
      </c>
      <c r="AT68" s="337">
        <v>-0.03</v>
      </c>
      <c r="AU68" s="285">
        <f t="shared" si="5"/>
        <v>8.0000000000000071E-3</v>
      </c>
      <c r="AW68" s="288">
        <f t="shared" si="6"/>
        <v>0.1072</v>
      </c>
      <c r="AX68" s="106">
        <v>1699</v>
      </c>
      <c r="AY68" s="127" t="b">
        <f t="shared" si="7"/>
        <v>1</v>
      </c>
      <c r="AZ68" s="289">
        <f t="shared" si="8"/>
        <v>-2.968</v>
      </c>
      <c r="BC68">
        <f t="shared" si="9"/>
        <v>1.042</v>
      </c>
    </row>
    <row r="69" spans="1:55" ht="37.5" customHeight="1" x14ac:dyDescent="0.3">
      <c r="A69" s="264" t="s">
        <v>666</v>
      </c>
      <c r="B69" s="264" t="s">
        <v>27</v>
      </c>
      <c r="C69" s="265" t="s">
        <v>667</v>
      </c>
      <c r="D69" s="239" t="s">
        <v>658</v>
      </c>
      <c r="E69" s="239" t="s">
        <v>162</v>
      </c>
      <c r="F69" s="168">
        <f>VLOOKUP(E69,'[6]условия, ФОТ'!$A$14:$I$32,9, FALSE)</f>
        <v>180.5</v>
      </c>
      <c r="G69" s="168">
        <v>0.5</v>
      </c>
      <c r="H69" s="168">
        <f t="shared" si="32"/>
        <v>90.25</v>
      </c>
      <c r="I69" s="168">
        <f t="shared" si="33"/>
        <v>27.26</v>
      </c>
      <c r="J69" s="168">
        <f t="shared" si="34"/>
        <v>117.51</v>
      </c>
      <c r="K69" s="267"/>
      <c r="L69" s="168"/>
      <c r="M69" s="168"/>
      <c r="N69" s="168"/>
      <c r="O69" s="168">
        <f>SUM(O70:O73)</f>
        <v>79.45</v>
      </c>
      <c r="P69" s="168">
        <f>J69+O69</f>
        <v>196.96</v>
      </c>
      <c r="Q69" s="168">
        <f t="shared" si="20"/>
        <v>130.97999999999999</v>
      </c>
      <c r="R69" s="268">
        <f>ROUND(T69/1.2,2)</f>
        <v>376.67</v>
      </c>
      <c r="S69" s="268">
        <f t="shared" si="21"/>
        <v>75.33</v>
      </c>
      <c r="T69" s="268">
        <f>ROUND((P69+Q69)*(1+AC69)*1.2,0)</f>
        <v>452</v>
      </c>
      <c r="U69" s="269">
        <v>407</v>
      </c>
      <c r="V69" s="336">
        <f t="shared" si="30"/>
        <v>11.05651105651107</v>
      </c>
      <c r="W69" s="271">
        <v>434</v>
      </c>
      <c r="X69" s="272">
        <f t="shared" si="0"/>
        <v>4.1474654377880142</v>
      </c>
      <c r="Y69" s="231">
        <v>420</v>
      </c>
      <c r="Z69" s="273">
        <v>1.042</v>
      </c>
      <c r="AA69" s="274">
        <f>ROUND(W69*Z69,2)</f>
        <v>452.23</v>
      </c>
      <c r="AB69" s="275">
        <f>ROUND((P69+Q69)*1.2,2)</f>
        <v>393.53</v>
      </c>
      <c r="AC69" s="276">
        <f>ROUND((AA69/AB69)*100%-100%,4)</f>
        <v>0.1492</v>
      </c>
      <c r="AD69" s="277">
        <f t="shared" si="1"/>
        <v>58.714675999999997</v>
      </c>
      <c r="AF69" s="235">
        <v>434.28000000000003</v>
      </c>
      <c r="AG69" s="106">
        <v>434</v>
      </c>
      <c r="AH69" s="281">
        <f t="shared" si="2"/>
        <v>18</v>
      </c>
      <c r="AI69" s="282">
        <v>8.5199999999999998E-2</v>
      </c>
      <c r="AJ69" s="283">
        <f t="shared" si="3"/>
        <v>58.714675999999997</v>
      </c>
      <c r="AK69" s="284"/>
      <c r="AM69" s="222">
        <v>8.5199999999999998E-2</v>
      </c>
      <c r="AN69" s="285">
        <f t="shared" si="4"/>
        <v>8.5199999999999998E-2</v>
      </c>
      <c r="AO69" s="285">
        <v>0</v>
      </c>
      <c r="AQ69" s="286"/>
      <c r="AS69" s="222">
        <v>1.034</v>
      </c>
      <c r="AT69" s="337">
        <v>8.5199999999999998E-2</v>
      </c>
      <c r="AU69" s="285">
        <f t="shared" si="5"/>
        <v>8.0000000000000071E-3</v>
      </c>
      <c r="AW69" s="288">
        <f t="shared" si="6"/>
        <v>6.4000000000000001E-2</v>
      </c>
      <c r="AX69" s="106">
        <v>434</v>
      </c>
      <c r="AY69" s="127" t="b">
        <f t="shared" si="7"/>
        <v>1</v>
      </c>
      <c r="AZ69" s="289">
        <f t="shared" si="8"/>
        <v>-2.9379999999999997</v>
      </c>
      <c r="BC69">
        <f t="shared" si="9"/>
        <v>1.0409999999999999</v>
      </c>
    </row>
    <row r="70" spans="1:55" ht="29.25" customHeight="1" outlineLevel="1" x14ac:dyDescent="0.3">
      <c r="A70" s="264"/>
      <c r="B70" s="264"/>
      <c r="C70" s="265"/>
      <c r="D70" s="239"/>
      <c r="E70" s="168"/>
      <c r="F70" s="168"/>
      <c r="G70" s="168"/>
      <c r="H70" s="168"/>
      <c r="I70" s="168"/>
      <c r="J70" s="295" t="s">
        <v>366</v>
      </c>
      <c r="K70" s="121" t="s">
        <v>164</v>
      </c>
      <c r="L70" s="266" t="str">
        <f>VLOOKUP(K70,[6]материалы!$A$5:$G$31,5, FALSE)</f>
        <v>шт.</v>
      </c>
      <c r="M70" s="168">
        <f>VLOOKUP(K70,[6]материалы!$A$5:$G$34,7, FALSE)</f>
        <v>50</v>
      </c>
      <c r="N70" s="168">
        <v>1</v>
      </c>
      <c r="O70" s="168">
        <f>ROUND(M70*N70,2)</f>
        <v>50</v>
      </c>
      <c r="P70" s="168"/>
      <c r="Q70" s="168"/>
      <c r="R70" s="268"/>
      <c r="S70" s="268"/>
      <c r="T70" s="268"/>
      <c r="U70" s="269"/>
      <c r="V70" s="336"/>
      <c r="W70" s="271"/>
      <c r="X70" s="272"/>
      <c r="Z70" s="273"/>
      <c r="AA70" s="58"/>
      <c r="AB70" s="275"/>
      <c r="AC70" s="276"/>
      <c r="AD70" s="277"/>
      <c r="AG70" s="106"/>
      <c r="AH70" s="281"/>
      <c r="AI70" s="282"/>
      <c r="AJ70" s="283"/>
      <c r="AK70" s="284"/>
      <c r="AM70" s="222"/>
      <c r="AN70" s="285"/>
      <c r="AO70" s="285"/>
      <c r="AQ70" s="286"/>
      <c r="AS70" s="222"/>
      <c r="AT70" s="337"/>
      <c r="AU70" s="285"/>
      <c r="AW70" s="288"/>
      <c r="AX70" s="106"/>
      <c r="AZ70" s="289"/>
    </row>
    <row r="71" spans="1:55" ht="28.5" customHeight="1" outlineLevel="1" x14ac:dyDescent="0.3">
      <c r="A71" s="264"/>
      <c r="B71" s="264"/>
      <c r="C71" s="265"/>
      <c r="D71" s="239"/>
      <c r="E71" s="168"/>
      <c r="F71" s="168"/>
      <c r="G71" s="168"/>
      <c r="H71" s="168"/>
      <c r="I71" s="168"/>
      <c r="J71" s="168"/>
      <c r="K71" s="121" t="s">
        <v>335</v>
      </c>
      <c r="L71" s="266" t="str">
        <f>VLOOKUP(K71,[6]материалы!$A$5:$G$31,5, FALSE)</f>
        <v>кг</v>
      </c>
      <c r="M71" s="168">
        <f>VLOOKUP(K71,[6]материалы!$A$5:$G$34,7, FALSE)</f>
        <v>720.83</v>
      </c>
      <c r="N71" s="168">
        <v>0.01</v>
      </c>
      <c r="O71" s="168">
        <f t="shared" ref="O71:O73" si="39">ROUND(M71*N71,2)</f>
        <v>7.21</v>
      </c>
      <c r="P71" s="168"/>
      <c r="Q71" s="168"/>
      <c r="R71" s="268"/>
      <c r="S71" s="268"/>
      <c r="T71" s="268"/>
      <c r="U71" s="269"/>
      <c r="V71" s="336"/>
      <c r="W71" s="271"/>
      <c r="X71" s="272"/>
      <c r="Z71" s="273"/>
      <c r="AA71" s="58"/>
      <c r="AB71" s="275"/>
      <c r="AC71" s="276"/>
      <c r="AD71" s="277"/>
      <c r="AG71" s="106"/>
      <c r="AH71" s="281"/>
      <c r="AI71" s="282"/>
      <c r="AJ71" s="283"/>
      <c r="AK71" s="284"/>
      <c r="AM71" s="222"/>
      <c r="AN71" s="285"/>
      <c r="AO71" s="285"/>
      <c r="AQ71" s="286"/>
      <c r="AS71" s="222"/>
      <c r="AT71" s="337"/>
      <c r="AU71" s="285"/>
      <c r="AW71" s="288"/>
      <c r="AX71" s="106"/>
      <c r="AZ71" s="289"/>
    </row>
    <row r="72" spans="1:55" ht="38.25" outlineLevel="1" x14ac:dyDescent="0.3">
      <c r="A72" s="264"/>
      <c r="B72" s="264"/>
      <c r="C72" s="265"/>
      <c r="D72" s="239"/>
      <c r="E72" s="168"/>
      <c r="F72" s="168"/>
      <c r="G72" s="168"/>
      <c r="H72" s="168"/>
      <c r="I72" s="168"/>
      <c r="J72" s="168"/>
      <c r="K72" s="121" t="s">
        <v>370</v>
      </c>
      <c r="L72" s="266" t="str">
        <f>VLOOKUP(K72,[6]материалы!$A$5:$G$31,5, FALSE)</f>
        <v>шт.</v>
      </c>
      <c r="M72" s="168">
        <f>VLOOKUP(K72,[6]материалы!$A$5:$G$34,7, FALSE)</f>
        <v>0.57999999999999996</v>
      </c>
      <c r="N72" s="168">
        <v>1</v>
      </c>
      <c r="O72" s="168">
        <f t="shared" si="39"/>
        <v>0.57999999999999996</v>
      </c>
      <c r="P72" s="168"/>
      <c r="Q72" s="168"/>
      <c r="R72" s="268"/>
      <c r="S72" s="268"/>
      <c r="T72" s="268"/>
      <c r="U72" s="269"/>
      <c r="V72" s="336"/>
      <c r="W72" s="271"/>
      <c r="X72" s="272"/>
      <c r="Z72" s="273"/>
      <c r="AA72" s="58"/>
      <c r="AB72" s="275"/>
      <c r="AC72" s="276"/>
      <c r="AD72" s="277"/>
      <c r="AG72" s="106"/>
      <c r="AH72" s="281"/>
      <c r="AI72" s="282"/>
      <c r="AJ72" s="283"/>
      <c r="AK72" s="284"/>
      <c r="AM72" s="222"/>
      <c r="AN72" s="285"/>
      <c r="AO72" s="285"/>
      <c r="AQ72" s="286"/>
      <c r="AS72" s="222"/>
      <c r="AT72" s="337"/>
      <c r="AU72" s="285"/>
      <c r="AW72" s="288"/>
      <c r="AX72" s="106"/>
      <c r="AZ72" s="289"/>
    </row>
    <row r="73" spans="1:55" ht="51" outlineLevel="1" x14ac:dyDescent="0.3">
      <c r="A73" s="264"/>
      <c r="B73" s="264"/>
      <c r="C73" s="265"/>
      <c r="D73" s="239"/>
      <c r="E73" s="168"/>
      <c r="F73" s="168"/>
      <c r="G73" s="168"/>
      <c r="H73" s="168"/>
      <c r="I73" s="168"/>
      <c r="J73" s="168"/>
      <c r="K73" s="121" t="s">
        <v>339</v>
      </c>
      <c r="L73" s="266" t="str">
        <f>VLOOKUP(K73,[6]материалы!$A$5:$G$31,5, FALSE)</f>
        <v>шт.</v>
      </c>
      <c r="M73" s="168">
        <f>VLOOKUP(K73,[6]материалы!$A$5:$G$34,7, FALSE)</f>
        <v>10.83</v>
      </c>
      <c r="N73" s="168">
        <v>2</v>
      </c>
      <c r="O73" s="168">
        <f t="shared" si="39"/>
        <v>21.66</v>
      </c>
      <c r="P73" s="168"/>
      <c r="Q73" s="168"/>
      <c r="R73" s="268"/>
      <c r="S73" s="268"/>
      <c r="T73" s="268"/>
      <c r="U73" s="269"/>
      <c r="V73" s="336"/>
      <c r="W73" s="271"/>
      <c r="X73" s="272"/>
      <c r="Z73" s="273"/>
      <c r="AA73" s="58"/>
      <c r="AB73" s="275"/>
      <c r="AC73" s="276"/>
      <c r="AD73" s="277"/>
      <c r="AG73" s="106"/>
      <c r="AH73" s="281"/>
      <c r="AI73" s="282"/>
      <c r="AJ73" s="283"/>
      <c r="AK73" s="284"/>
      <c r="AM73" s="222"/>
      <c r="AN73" s="285"/>
      <c r="AO73" s="285"/>
      <c r="AQ73" s="286"/>
      <c r="AS73" s="222"/>
      <c r="AT73" s="337"/>
      <c r="AU73" s="285"/>
      <c r="AW73" s="288"/>
      <c r="AX73" s="106"/>
      <c r="AZ73" s="289"/>
    </row>
    <row r="74" spans="1:55" ht="19.5" customHeight="1" x14ac:dyDescent="0.25">
      <c r="A74" s="647" t="s">
        <v>668</v>
      </c>
      <c r="B74" s="647" t="s">
        <v>27</v>
      </c>
      <c r="C74" s="660" t="s">
        <v>669</v>
      </c>
      <c r="D74" s="649" t="s">
        <v>658</v>
      </c>
      <c r="E74" s="168" t="s">
        <v>162</v>
      </c>
      <c r="F74" s="168">
        <f>VLOOKUP(E74,'[6]условия, ФОТ'!$A$14:$I$32,9, FALSE)</f>
        <v>180.5</v>
      </c>
      <c r="G74" s="168">
        <v>0.5</v>
      </c>
      <c r="H74" s="661">
        <f>ROUND((F74*G74+F75*G75),2)</f>
        <v>187.07</v>
      </c>
      <c r="I74" s="661">
        <f>ROUND(H74*$I$5,2)</f>
        <v>56.5</v>
      </c>
      <c r="J74" s="661">
        <f>H74+I74</f>
        <v>243.57</v>
      </c>
      <c r="K74" s="669"/>
      <c r="L74" s="661"/>
      <c r="M74" s="661"/>
      <c r="N74" s="661"/>
      <c r="O74" s="661">
        <f>SUM(O76:O83)</f>
        <v>146.15</v>
      </c>
      <c r="P74" s="709">
        <f>J74+O74</f>
        <v>389.72</v>
      </c>
      <c r="Q74" s="709">
        <f>ROUND(P74*$Q$5,2)</f>
        <v>259.16000000000003</v>
      </c>
      <c r="R74" s="711">
        <f>ROUND(T74/1.2,2)</f>
        <v>771.67</v>
      </c>
      <c r="S74" s="711">
        <f>ROUND(R74*$S$5,2)</f>
        <v>154.33000000000001</v>
      </c>
      <c r="T74" s="665">
        <f>ROUND((P74+Q74)*(1+AC74)*1.2,0)</f>
        <v>926</v>
      </c>
      <c r="U74" s="666">
        <v>834</v>
      </c>
      <c r="V74" s="842">
        <f>T74/U74*100-100</f>
        <v>11.031175059952034</v>
      </c>
      <c r="W74" s="822">
        <v>889</v>
      </c>
      <c r="X74" s="679">
        <f t="shared" ref="X74:X133" si="40">T74/W74*100-100</f>
        <v>4.1619797525309394</v>
      </c>
      <c r="Y74" s="231">
        <v>860</v>
      </c>
      <c r="Z74" s="823">
        <v>1.042</v>
      </c>
      <c r="AA74" s="825">
        <f>ROUND(W74*Z74,2)</f>
        <v>926.34</v>
      </c>
      <c r="AB74" s="826">
        <f>ROUND((P74+Q74)*1.2,2)</f>
        <v>778.66</v>
      </c>
      <c r="AC74" s="814">
        <f>ROUND((AA74/AB74)*100%-100%,4)</f>
        <v>0.18970000000000001</v>
      </c>
      <c r="AD74" s="714">
        <f t="shared" ref="AD74:AD133" si="41">AB74*AC74</f>
        <v>147.71180200000001</v>
      </c>
      <c r="AF74" s="235">
        <v>889.24</v>
      </c>
      <c r="AG74" s="674">
        <v>889</v>
      </c>
      <c r="AH74" s="816">
        <f t="shared" ref="AH74:AH133" si="42">T74-AG74</f>
        <v>37</v>
      </c>
      <c r="AI74" s="817">
        <v>0.1588</v>
      </c>
      <c r="AJ74" s="819">
        <f t="shared" ref="AJ74:AJ133" si="43">AB74*AC74</f>
        <v>147.71180200000001</v>
      </c>
      <c r="AK74" s="284"/>
      <c r="AM74" s="715">
        <v>0.1588</v>
      </c>
      <c r="AN74" s="670">
        <f t="shared" ref="AN74:AN133" si="44">IF(AM74&lt;0,-AM74+1,AM74)</f>
        <v>0.1588</v>
      </c>
      <c r="AO74" s="670">
        <v>0</v>
      </c>
      <c r="AQ74" s="676"/>
      <c r="AS74" s="715">
        <v>1.034</v>
      </c>
      <c r="AT74" s="717">
        <v>0.1588</v>
      </c>
      <c r="AU74" s="670">
        <f t="shared" ref="AU74:AU133" si="45">Z74-AS74</f>
        <v>8.0000000000000071E-3</v>
      </c>
      <c r="AW74" s="672">
        <f t="shared" ref="AW74:AW133" si="46">AC74-AT74</f>
        <v>3.0900000000000011E-2</v>
      </c>
      <c r="AX74" s="674">
        <v>889</v>
      </c>
      <c r="AY74" s="675" t="b">
        <f t="shared" ref="AY74:AY133" si="47">W74=AX74</f>
        <v>1</v>
      </c>
      <c r="AZ74" s="289">
        <f t="shared" ref="AZ74:AZ133" si="48">ROUND(W74/T74*100-100,2)+Z74</f>
        <v>-2.9580000000000002</v>
      </c>
      <c r="BC74">
        <f t="shared" ref="BC74:BC133" si="49">ROUND(T74/W74,3)</f>
        <v>1.042</v>
      </c>
    </row>
    <row r="75" spans="1:55" ht="21.75" customHeight="1" x14ac:dyDescent="0.25">
      <c r="A75" s="647"/>
      <c r="B75" s="647"/>
      <c r="C75" s="660"/>
      <c r="D75" s="649"/>
      <c r="E75" s="239" t="s">
        <v>166</v>
      </c>
      <c r="F75" s="168">
        <f>VLOOKUP(E75,'[6]условия, ФОТ'!$A$14:$I$32,9, FALSE)</f>
        <v>193.64</v>
      </c>
      <c r="G75" s="168">
        <v>0.5</v>
      </c>
      <c r="H75" s="661">
        <f t="shared" ref="H75" si="50">ROUND(F75*G75,2)</f>
        <v>96.82</v>
      </c>
      <c r="I75" s="661">
        <f t="shared" ref="I75" si="51">ROUND(H75*$I$5,2)</f>
        <v>29.24</v>
      </c>
      <c r="J75" s="661">
        <f t="shared" ref="J75" si="52">H75+I75</f>
        <v>126.05999999999999</v>
      </c>
      <c r="K75" s="669"/>
      <c r="L75" s="661"/>
      <c r="M75" s="661"/>
      <c r="N75" s="661"/>
      <c r="O75" s="661"/>
      <c r="P75" s="710"/>
      <c r="Q75" s="710"/>
      <c r="R75" s="710"/>
      <c r="S75" s="710"/>
      <c r="T75" s="665">
        <f>ROUND((P75+Q75)*(1+$R$5)*1.18,0)</f>
        <v>0</v>
      </c>
      <c r="U75" s="827"/>
      <c r="V75" s="842"/>
      <c r="W75" s="822"/>
      <c r="X75" s="679"/>
      <c r="Z75" s="824"/>
      <c r="AA75" s="825"/>
      <c r="AB75" s="826"/>
      <c r="AC75" s="815"/>
      <c r="AD75" s="714"/>
      <c r="AG75" s="674"/>
      <c r="AH75" s="816"/>
      <c r="AI75" s="818"/>
      <c r="AJ75" s="820"/>
      <c r="AK75" s="284"/>
      <c r="AM75" s="716"/>
      <c r="AN75" s="671"/>
      <c r="AO75" s="671"/>
      <c r="AQ75" s="677"/>
      <c r="AS75" s="716"/>
      <c r="AT75" s="718"/>
      <c r="AU75" s="671"/>
      <c r="AW75" s="673"/>
      <c r="AX75" s="674"/>
      <c r="AY75" s="675"/>
      <c r="AZ75" s="289"/>
    </row>
    <row r="76" spans="1:55" ht="25.5" outlineLevel="1" x14ac:dyDescent="0.3">
      <c r="A76" s="264"/>
      <c r="B76" s="264"/>
      <c r="C76" s="265"/>
      <c r="D76" s="239"/>
      <c r="E76" s="168"/>
      <c r="F76" s="168"/>
      <c r="G76" s="214"/>
      <c r="H76" s="168"/>
      <c r="I76" s="168"/>
      <c r="J76" s="295" t="s">
        <v>366</v>
      </c>
      <c r="K76" s="121" t="s">
        <v>164</v>
      </c>
      <c r="L76" s="266" t="str">
        <f>VLOOKUP(K76,[6]материалы!$A$5:$G$31,5, FALSE)</f>
        <v>шт.</v>
      </c>
      <c r="M76" s="168">
        <f>VLOOKUP(K76,[6]материалы!$A$5:$G$34,7, FALSE)</f>
        <v>50</v>
      </c>
      <c r="N76" s="168">
        <v>1</v>
      </c>
      <c r="O76" s="168">
        <f>ROUND(M76*N76,2)</f>
        <v>50</v>
      </c>
      <c r="P76" s="168"/>
      <c r="Q76" s="168"/>
      <c r="R76" s="268"/>
      <c r="S76" s="268"/>
      <c r="T76" s="268"/>
      <c r="U76" s="269"/>
      <c r="V76" s="338"/>
      <c r="W76" s="271"/>
      <c r="X76" s="272"/>
      <c r="Z76" s="273"/>
      <c r="AA76" s="58"/>
      <c r="AB76" s="275"/>
      <c r="AC76" s="276"/>
      <c r="AD76" s="277"/>
      <c r="AG76" s="106"/>
      <c r="AH76" s="281"/>
      <c r="AI76" s="282"/>
      <c r="AJ76" s="283"/>
      <c r="AK76" s="284"/>
      <c r="AM76" s="222"/>
      <c r="AN76" s="285"/>
      <c r="AO76" s="285"/>
      <c r="AQ76" s="286"/>
      <c r="AS76" s="222"/>
      <c r="AT76" s="337"/>
      <c r="AU76" s="285"/>
      <c r="AW76" s="288"/>
      <c r="AX76" s="106"/>
      <c r="AZ76" s="289"/>
    </row>
    <row r="77" spans="1:55" ht="18" customHeight="1" outlineLevel="1" x14ac:dyDescent="0.3">
      <c r="A77" s="264"/>
      <c r="B77" s="264"/>
      <c r="C77" s="265"/>
      <c r="D77" s="239"/>
      <c r="E77" s="168"/>
      <c r="F77" s="168"/>
      <c r="G77" s="214"/>
      <c r="H77" s="168"/>
      <c r="I77" s="168"/>
      <c r="J77" s="168"/>
      <c r="K77" s="121" t="s">
        <v>323</v>
      </c>
      <c r="L77" s="266" t="str">
        <f>VLOOKUP(K77,[6]материалы!$A$5:$G$31,5, FALSE)</f>
        <v>м3</v>
      </c>
      <c r="M77" s="168">
        <f>VLOOKUP(K77,[6]материалы!$A$5:$G$34,7, FALSE)</f>
        <v>486.11</v>
      </c>
      <c r="N77" s="266">
        <v>8.7499999999999994E-2</v>
      </c>
      <c r="O77" s="168">
        <f t="shared" ref="O77:O88" si="53">ROUND(M77*N77,2)</f>
        <v>42.53</v>
      </c>
      <c r="P77" s="168"/>
      <c r="Q77" s="168"/>
      <c r="R77" s="268"/>
      <c r="S77" s="268"/>
      <c r="T77" s="268"/>
      <c r="U77" s="269"/>
      <c r="V77" s="338"/>
      <c r="W77" s="271"/>
      <c r="X77" s="272"/>
      <c r="Z77" s="273"/>
      <c r="AA77" s="58"/>
      <c r="AB77" s="275"/>
      <c r="AC77" s="276"/>
      <c r="AD77" s="277"/>
      <c r="AG77" s="106"/>
      <c r="AH77" s="281"/>
      <c r="AI77" s="282"/>
      <c r="AJ77" s="283"/>
      <c r="AK77" s="284"/>
      <c r="AM77" s="222"/>
      <c r="AN77" s="285"/>
      <c r="AO77" s="285"/>
      <c r="AQ77" s="286"/>
      <c r="AS77" s="222"/>
      <c r="AT77" s="337"/>
      <c r="AU77" s="285"/>
      <c r="AW77" s="288"/>
      <c r="AX77" s="106"/>
      <c r="AZ77" s="289"/>
    </row>
    <row r="78" spans="1:55" ht="38.25" outlineLevel="1" x14ac:dyDescent="0.3">
      <c r="A78" s="264"/>
      <c r="B78" s="264"/>
      <c r="C78" s="265"/>
      <c r="D78" s="239"/>
      <c r="E78" s="168"/>
      <c r="F78" s="168"/>
      <c r="G78" s="214"/>
      <c r="H78" s="168"/>
      <c r="I78" s="168"/>
      <c r="J78" s="168"/>
      <c r="K78" s="121" t="s">
        <v>341</v>
      </c>
      <c r="L78" s="266" t="str">
        <f>VLOOKUP(K78,[6]материалы!$A$5:$G$31,5, FALSE)</f>
        <v>кг</v>
      </c>
      <c r="M78" s="168">
        <f>VLOOKUP(K78,[6]материалы!$A$5:$G$34,7, FALSE)</f>
        <v>125</v>
      </c>
      <c r="N78" s="168">
        <v>0.1</v>
      </c>
      <c r="O78" s="168">
        <f t="shared" si="53"/>
        <v>12.5</v>
      </c>
      <c r="P78" s="168"/>
      <c r="Q78" s="168"/>
      <c r="R78" s="268"/>
      <c r="S78" s="268"/>
      <c r="T78" s="268"/>
      <c r="U78" s="269"/>
      <c r="V78" s="338"/>
      <c r="W78" s="271"/>
      <c r="X78" s="272"/>
      <c r="Z78" s="273"/>
      <c r="AA78" s="58"/>
      <c r="AB78" s="275"/>
      <c r="AC78" s="276"/>
      <c r="AD78" s="277"/>
      <c r="AG78" s="106"/>
      <c r="AH78" s="281"/>
      <c r="AI78" s="282"/>
      <c r="AJ78" s="283"/>
      <c r="AK78" s="284"/>
      <c r="AM78" s="222"/>
      <c r="AN78" s="285"/>
      <c r="AO78" s="285"/>
      <c r="AQ78" s="286"/>
      <c r="AS78" s="222"/>
      <c r="AT78" s="337"/>
      <c r="AU78" s="285"/>
      <c r="AW78" s="288"/>
      <c r="AX78" s="106"/>
      <c r="AZ78" s="289"/>
    </row>
    <row r="79" spans="1:55" outlineLevel="1" x14ac:dyDescent="0.3">
      <c r="A79" s="264"/>
      <c r="B79" s="264"/>
      <c r="C79" s="265"/>
      <c r="D79" s="239"/>
      <c r="E79" s="168"/>
      <c r="F79" s="168"/>
      <c r="G79" s="214"/>
      <c r="H79" s="168"/>
      <c r="I79" s="168"/>
      <c r="J79" s="168"/>
      <c r="K79" s="121" t="s">
        <v>324</v>
      </c>
      <c r="L79" s="266" t="str">
        <f>VLOOKUP(K79,[6]материалы!$A$5:$G$31,5, FALSE)</f>
        <v>м3</v>
      </c>
      <c r="M79" s="168">
        <f>VLOOKUP(K79,[6]материалы!$A$5:$G$34,7, FALSE)</f>
        <v>152.78</v>
      </c>
      <c r="N79" s="168">
        <v>1.4999999999999999E-2</v>
      </c>
      <c r="O79" s="168">
        <f t="shared" si="53"/>
        <v>2.29</v>
      </c>
      <c r="P79" s="168"/>
      <c r="Q79" s="168"/>
      <c r="R79" s="268"/>
      <c r="S79" s="268"/>
      <c r="T79" s="268"/>
      <c r="U79" s="269"/>
      <c r="V79" s="338"/>
      <c r="W79" s="271"/>
      <c r="X79" s="272"/>
      <c r="Z79" s="273"/>
      <c r="AA79" s="58"/>
      <c r="AB79" s="275"/>
      <c r="AC79" s="276"/>
      <c r="AD79" s="277"/>
      <c r="AG79" s="106"/>
      <c r="AH79" s="281"/>
      <c r="AI79" s="282"/>
      <c r="AJ79" s="283"/>
      <c r="AK79" s="284"/>
      <c r="AM79" s="222"/>
      <c r="AN79" s="285"/>
      <c r="AO79" s="285"/>
      <c r="AQ79" s="286"/>
      <c r="AS79" s="222"/>
      <c r="AT79" s="337"/>
      <c r="AU79" s="285"/>
      <c r="AW79" s="288"/>
      <c r="AX79" s="106"/>
      <c r="AZ79" s="289"/>
    </row>
    <row r="80" spans="1:55" ht="33.75" customHeight="1" outlineLevel="1" x14ac:dyDescent="0.3">
      <c r="A80" s="264"/>
      <c r="B80" s="264"/>
      <c r="C80" s="265"/>
      <c r="D80" s="239"/>
      <c r="E80" s="168"/>
      <c r="F80" s="168"/>
      <c r="G80" s="214"/>
      <c r="H80" s="168"/>
      <c r="I80" s="168"/>
      <c r="J80" s="168"/>
      <c r="K80" s="121" t="s">
        <v>342</v>
      </c>
      <c r="L80" s="266" t="str">
        <f>VLOOKUP(K80,[6]материалы!$A$5:$G$31,5, FALSE)</f>
        <v>шт.</v>
      </c>
      <c r="M80" s="168">
        <f>VLOOKUP(K80,[6]материалы!$A$5:$G$34,7, FALSE)</f>
        <v>37.5</v>
      </c>
      <c r="N80" s="168">
        <v>0.25</v>
      </c>
      <c r="O80" s="168">
        <f t="shared" si="53"/>
        <v>9.3800000000000008</v>
      </c>
      <c r="P80" s="168"/>
      <c r="Q80" s="168"/>
      <c r="R80" s="268"/>
      <c r="S80" s="268"/>
      <c r="T80" s="268"/>
      <c r="U80" s="269"/>
      <c r="V80" s="338"/>
      <c r="W80" s="271"/>
      <c r="X80" s="272"/>
      <c r="Z80" s="273"/>
      <c r="AA80" s="58"/>
      <c r="AB80" s="275"/>
      <c r="AC80" s="276"/>
      <c r="AD80" s="277"/>
      <c r="AG80" s="106"/>
      <c r="AH80" s="281"/>
      <c r="AI80" s="282"/>
      <c r="AJ80" s="283"/>
      <c r="AK80" s="284"/>
      <c r="AM80" s="222"/>
      <c r="AN80" s="285"/>
      <c r="AO80" s="285"/>
      <c r="AQ80" s="286"/>
      <c r="AS80" s="222"/>
      <c r="AT80" s="337"/>
      <c r="AU80" s="285"/>
      <c r="AW80" s="288"/>
      <c r="AX80" s="106"/>
      <c r="AZ80" s="289"/>
    </row>
    <row r="81" spans="1:55" ht="25.5" outlineLevel="1" x14ac:dyDescent="0.3">
      <c r="A81" s="264"/>
      <c r="B81" s="264"/>
      <c r="C81" s="265"/>
      <c r="D81" s="239"/>
      <c r="E81" s="168"/>
      <c r="F81" s="168"/>
      <c r="G81" s="214"/>
      <c r="H81" s="168"/>
      <c r="I81" s="168"/>
      <c r="J81" s="168"/>
      <c r="K81" s="121" t="s">
        <v>335</v>
      </c>
      <c r="L81" s="266" t="str">
        <f>VLOOKUP(K81,[6]материалы!$A$5:$G$31,5, FALSE)</f>
        <v>кг</v>
      </c>
      <c r="M81" s="168">
        <f>VLOOKUP(K81,[6]материалы!$A$5:$G$34,7, FALSE)</f>
        <v>720.83</v>
      </c>
      <c r="N81" s="168">
        <v>0.01</v>
      </c>
      <c r="O81" s="168">
        <f t="shared" si="53"/>
        <v>7.21</v>
      </c>
      <c r="P81" s="168"/>
      <c r="Q81" s="168"/>
      <c r="R81" s="268"/>
      <c r="S81" s="268"/>
      <c r="T81" s="268"/>
      <c r="U81" s="269"/>
      <c r="V81" s="338"/>
      <c r="W81" s="271"/>
      <c r="X81" s="272"/>
      <c r="Z81" s="273"/>
      <c r="AA81" s="58"/>
      <c r="AB81" s="275"/>
      <c r="AC81" s="276"/>
      <c r="AD81" s="277"/>
      <c r="AG81" s="106"/>
      <c r="AH81" s="281"/>
      <c r="AI81" s="282"/>
      <c r="AJ81" s="283"/>
      <c r="AK81" s="284"/>
      <c r="AM81" s="222"/>
      <c r="AN81" s="285"/>
      <c r="AO81" s="285"/>
      <c r="AQ81" s="286"/>
      <c r="AS81" s="222"/>
      <c r="AT81" s="337"/>
      <c r="AU81" s="285"/>
      <c r="AW81" s="288"/>
      <c r="AX81" s="106"/>
      <c r="AZ81" s="289"/>
    </row>
    <row r="82" spans="1:55" ht="38.25" outlineLevel="1" x14ac:dyDescent="0.3">
      <c r="A82" s="264"/>
      <c r="B82" s="264"/>
      <c r="C82" s="265"/>
      <c r="D82" s="239"/>
      <c r="E82" s="168"/>
      <c r="F82" s="168"/>
      <c r="G82" s="214"/>
      <c r="H82" s="168"/>
      <c r="I82" s="168"/>
      <c r="J82" s="168"/>
      <c r="K82" s="121" t="s">
        <v>370</v>
      </c>
      <c r="L82" s="266" t="str">
        <f>VLOOKUP(K82,[6]материалы!$A$5:$G$31,5, FALSE)</f>
        <v>шт.</v>
      </c>
      <c r="M82" s="168">
        <f>VLOOKUP(K82,[6]материалы!$A$5:$G$34,7, FALSE)</f>
        <v>0.57999999999999996</v>
      </c>
      <c r="N82" s="168">
        <v>1</v>
      </c>
      <c r="O82" s="168">
        <f t="shared" si="53"/>
        <v>0.57999999999999996</v>
      </c>
      <c r="P82" s="168"/>
      <c r="Q82" s="168"/>
      <c r="R82" s="268"/>
      <c r="S82" s="268"/>
      <c r="T82" s="268"/>
      <c r="U82" s="269"/>
      <c r="V82" s="338"/>
      <c r="W82" s="271"/>
      <c r="X82" s="272"/>
      <c r="Z82" s="273"/>
      <c r="AA82" s="58"/>
      <c r="AB82" s="275"/>
      <c r="AC82" s="276"/>
      <c r="AD82" s="277"/>
      <c r="AG82" s="106"/>
      <c r="AH82" s="281"/>
      <c r="AI82" s="282"/>
      <c r="AJ82" s="283"/>
      <c r="AK82" s="284"/>
      <c r="AM82" s="222"/>
      <c r="AN82" s="285"/>
      <c r="AO82" s="285"/>
      <c r="AQ82" s="286"/>
      <c r="AS82" s="222"/>
      <c r="AT82" s="337"/>
      <c r="AU82" s="285"/>
      <c r="AW82" s="288"/>
      <c r="AX82" s="106"/>
      <c r="AZ82" s="289"/>
    </row>
    <row r="83" spans="1:55" ht="51" outlineLevel="1" x14ac:dyDescent="0.3">
      <c r="A83" s="264"/>
      <c r="B83" s="264"/>
      <c r="C83" s="265"/>
      <c r="D83" s="239"/>
      <c r="E83" s="168"/>
      <c r="F83" s="168"/>
      <c r="G83" s="214"/>
      <c r="H83" s="168"/>
      <c r="I83" s="168"/>
      <c r="J83" s="168"/>
      <c r="K83" s="121" t="s">
        <v>339</v>
      </c>
      <c r="L83" s="266" t="str">
        <f>VLOOKUP(K83,[6]материалы!$A$5:$G$31,5, FALSE)</f>
        <v>шт.</v>
      </c>
      <c r="M83" s="168">
        <f>VLOOKUP(K83,[6]материалы!$A$5:$G$34,7, FALSE)</f>
        <v>10.83</v>
      </c>
      <c r="N83" s="168">
        <v>2</v>
      </c>
      <c r="O83" s="168">
        <f t="shared" si="53"/>
        <v>21.66</v>
      </c>
      <c r="P83" s="168"/>
      <c r="Q83" s="168"/>
      <c r="R83" s="268"/>
      <c r="S83" s="268"/>
      <c r="T83" s="268"/>
      <c r="U83" s="269"/>
      <c r="V83" s="338"/>
      <c r="W83" s="271"/>
      <c r="X83" s="272"/>
      <c r="Z83" s="273"/>
      <c r="AA83" s="58"/>
      <c r="AB83" s="275"/>
      <c r="AC83" s="276"/>
      <c r="AD83" s="277"/>
      <c r="AG83" s="106"/>
      <c r="AH83" s="281"/>
      <c r="AI83" s="282"/>
      <c r="AJ83" s="283"/>
      <c r="AK83" s="284"/>
      <c r="AM83" s="222"/>
      <c r="AN83" s="285"/>
      <c r="AO83" s="285"/>
      <c r="AQ83" s="286"/>
      <c r="AS83" s="222"/>
      <c r="AT83" s="337"/>
      <c r="AU83" s="285"/>
      <c r="AW83" s="288"/>
      <c r="AX83" s="106"/>
      <c r="AZ83" s="289"/>
    </row>
    <row r="84" spans="1:55" ht="33.75" customHeight="1" x14ac:dyDescent="0.3">
      <c r="A84" s="264" t="s">
        <v>670</v>
      </c>
      <c r="B84" s="264" t="s">
        <v>27</v>
      </c>
      <c r="C84" s="265" t="s">
        <v>671</v>
      </c>
      <c r="D84" s="239" t="s">
        <v>658</v>
      </c>
      <c r="E84" s="168" t="s">
        <v>162</v>
      </c>
      <c r="F84" s="168">
        <f>VLOOKUP(E84,'[6]условия, ФОТ'!$A$14:$I$32,9, FALSE)</f>
        <v>180.5</v>
      </c>
      <c r="G84" s="168">
        <v>0.5</v>
      </c>
      <c r="H84" s="168">
        <f t="shared" si="32"/>
        <v>90.25</v>
      </c>
      <c r="I84" s="168">
        <f t="shared" si="33"/>
        <v>27.26</v>
      </c>
      <c r="J84" s="168">
        <f t="shared" si="34"/>
        <v>117.51</v>
      </c>
      <c r="K84" s="267"/>
      <c r="L84" s="168"/>
      <c r="M84" s="168"/>
      <c r="N84" s="168"/>
      <c r="O84" s="168">
        <f>SUM(O85:O88)</f>
        <v>80.03</v>
      </c>
      <c r="P84" s="168">
        <f>J84+O84</f>
        <v>197.54000000000002</v>
      </c>
      <c r="Q84" s="168">
        <f t="shared" si="20"/>
        <v>131.36000000000001</v>
      </c>
      <c r="R84" s="268">
        <f>ROUND(T84/1.2,2)</f>
        <v>450.83</v>
      </c>
      <c r="S84" s="268">
        <f t="shared" si="21"/>
        <v>90.17</v>
      </c>
      <c r="T84" s="268">
        <f>ROUND((P84+Q84)*(1+AC84)*1.2,0)</f>
        <v>541</v>
      </c>
      <c r="U84" s="269">
        <v>487</v>
      </c>
      <c r="V84" s="842">
        <f>T84/U84*100-100</f>
        <v>11.088295687885008</v>
      </c>
      <c r="W84" s="271">
        <v>519</v>
      </c>
      <c r="X84" s="272">
        <f t="shared" si="40"/>
        <v>4.2389210019267693</v>
      </c>
      <c r="Y84" s="231">
        <v>502</v>
      </c>
      <c r="Z84" s="273">
        <v>1.042</v>
      </c>
      <c r="AA84" s="274">
        <f>ROUND(W84*Z84,2)</f>
        <v>540.79999999999995</v>
      </c>
      <c r="AB84" s="275">
        <f>ROUND((P84+Q84)*1.2,2)</f>
        <v>394.68</v>
      </c>
      <c r="AC84" s="276">
        <f>ROUND((AA84/AB84)*100%-100%,4)</f>
        <v>0.37019999999999997</v>
      </c>
      <c r="AD84" s="277">
        <f t="shared" si="41"/>
        <v>146.110536</v>
      </c>
      <c r="AF84" s="235">
        <v>519.06799999999998</v>
      </c>
      <c r="AG84" s="106">
        <v>519</v>
      </c>
      <c r="AH84" s="281">
        <f t="shared" si="42"/>
        <v>22</v>
      </c>
      <c r="AI84" s="282">
        <v>0.10150000000000001</v>
      </c>
      <c r="AJ84" s="283">
        <f t="shared" si="43"/>
        <v>146.110536</v>
      </c>
      <c r="AK84" s="284"/>
      <c r="AM84" s="222">
        <v>0.10150000000000001</v>
      </c>
      <c r="AN84" s="285">
        <f t="shared" si="44"/>
        <v>0.10150000000000001</v>
      </c>
      <c r="AO84" s="285">
        <v>0</v>
      </c>
      <c r="AQ84" s="286"/>
      <c r="AS84" s="222">
        <v>1.034</v>
      </c>
      <c r="AT84" s="337">
        <v>0.10150000000000001</v>
      </c>
      <c r="AU84" s="285">
        <f t="shared" si="45"/>
        <v>8.0000000000000071E-3</v>
      </c>
      <c r="AW84" s="288">
        <f t="shared" si="46"/>
        <v>0.26869999999999994</v>
      </c>
      <c r="AX84" s="106">
        <v>519</v>
      </c>
      <c r="AY84" s="127" t="b">
        <f t="shared" si="47"/>
        <v>1</v>
      </c>
      <c r="AZ84" s="289">
        <f t="shared" si="48"/>
        <v>-3.0280000000000005</v>
      </c>
      <c r="BC84">
        <f t="shared" si="49"/>
        <v>1.042</v>
      </c>
    </row>
    <row r="85" spans="1:55" ht="25.5" outlineLevel="1" x14ac:dyDescent="0.3">
      <c r="A85" s="264"/>
      <c r="B85" s="264"/>
      <c r="C85" s="265"/>
      <c r="D85" s="239"/>
      <c r="E85" s="168"/>
      <c r="F85" s="214"/>
      <c r="G85" s="214"/>
      <c r="H85" s="168"/>
      <c r="I85" s="168"/>
      <c r="J85" s="295" t="s">
        <v>366</v>
      </c>
      <c r="K85" s="121" t="s">
        <v>165</v>
      </c>
      <c r="L85" s="266" t="str">
        <f>VLOOKUP(K85,[6]материалы!$A$5:$G$31,5, FALSE)</f>
        <v>шт.</v>
      </c>
      <c r="M85" s="168">
        <f>VLOOKUP(K85,[6]материалы!$A$5:$G$34,7, FALSE)</f>
        <v>50</v>
      </c>
      <c r="N85" s="168">
        <v>1</v>
      </c>
      <c r="O85" s="168">
        <f t="shared" si="53"/>
        <v>50</v>
      </c>
      <c r="P85" s="168"/>
      <c r="Q85" s="168"/>
      <c r="R85" s="268"/>
      <c r="S85" s="268"/>
      <c r="T85" s="268"/>
      <c r="U85" s="269"/>
      <c r="V85" s="842"/>
      <c r="W85" s="271"/>
      <c r="X85" s="272"/>
      <c r="Z85" s="273"/>
      <c r="AA85" s="58"/>
      <c r="AB85" s="275"/>
      <c r="AC85" s="276"/>
      <c r="AD85" s="277"/>
      <c r="AG85" s="106"/>
      <c r="AH85" s="281"/>
      <c r="AI85" s="282"/>
      <c r="AJ85" s="283"/>
      <c r="AK85" s="284"/>
      <c r="AM85" s="222"/>
      <c r="AN85" s="285"/>
      <c r="AO85" s="285"/>
      <c r="AQ85" s="286"/>
      <c r="AS85" s="222"/>
      <c r="AT85" s="337"/>
      <c r="AU85" s="285"/>
      <c r="AW85" s="288"/>
      <c r="AX85" s="106"/>
      <c r="AZ85" s="289"/>
    </row>
    <row r="86" spans="1:55" ht="25.5" outlineLevel="1" x14ac:dyDescent="0.3">
      <c r="A86" s="264"/>
      <c r="B86" s="264"/>
      <c r="C86" s="265"/>
      <c r="D86" s="239"/>
      <c r="E86" s="168"/>
      <c r="F86" s="214"/>
      <c r="G86" s="214"/>
      <c r="H86" s="168"/>
      <c r="I86" s="168"/>
      <c r="J86" s="168"/>
      <c r="K86" s="121" t="s">
        <v>335</v>
      </c>
      <c r="L86" s="266" t="str">
        <f>VLOOKUP(K86,[6]материалы!$A$5:$G$31,5, FALSE)</f>
        <v>кг</v>
      </c>
      <c r="M86" s="168">
        <f>VLOOKUP(K86,[6]материалы!$A$5:$G$34,7, FALSE)</f>
        <v>720.83</v>
      </c>
      <c r="N86" s="168">
        <v>0.01</v>
      </c>
      <c r="O86" s="168">
        <f t="shared" si="53"/>
        <v>7.21</v>
      </c>
      <c r="P86" s="168"/>
      <c r="Q86" s="168"/>
      <c r="R86" s="268"/>
      <c r="S86" s="268"/>
      <c r="T86" s="268"/>
      <c r="U86" s="269"/>
      <c r="V86" s="339"/>
      <c r="W86" s="271"/>
      <c r="X86" s="272"/>
      <c r="Z86" s="273"/>
      <c r="AA86" s="58"/>
      <c r="AB86" s="275"/>
      <c r="AC86" s="276"/>
      <c r="AD86" s="277"/>
      <c r="AG86" s="106"/>
      <c r="AH86" s="281"/>
      <c r="AI86" s="282"/>
      <c r="AJ86" s="283"/>
      <c r="AK86" s="284"/>
      <c r="AM86" s="222"/>
      <c r="AN86" s="285"/>
      <c r="AO86" s="285"/>
      <c r="AQ86" s="286"/>
      <c r="AS86" s="222"/>
      <c r="AT86" s="337"/>
      <c r="AU86" s="285"/>
      <c r="AW86" s="288"/>
      <c r="AX86" s="106"/>
      <c r="AZ86" s="289"/>
    </row>
    <row r="87" spans="1:55" ht="38.25" outlineLevel="1" x14ac:dyDescent="0.3">
      <c r="A87" s="264"/>
      <c r="B87" s="264"/>
      <c r="C87" s="265"/>
      <c r="D87" s="239"/>
      <c r="E87" s="168"/>
      <c r="F87" s="214"/>
      <c r="G87" s="214"/>
      <c r="H87" s="168"/>
      <c r="I87" s="168"/>
      <c r="J87" s="168"/>
      <c r="K87" s="121" t="s">
        <v>370</v>
      </c>
      <c r="L87" s="266" t="str">
        <f>VLOOKUP(K87,[6]материалы!$A$5:$G$31,5, FALSE)</f>
        <v>шт.</v>
      </c>
      <c r="M87" s="168">
        <f>VLOOKUP(K87,[6]материалы!$A$5:$G$34,7, FALSE)</f>
        <v>0.57999999999999996</v>
      </c>
      <c r="N87" s="168">
        <v>2</v>
      </c>
      <c r="O87" s="168">
        <f t="shared" si="53"/>
        <v>1.1599999999999999</v>
      </c>
      <c r="P87" s="168"/>
      <c r="Q87" s="168"/>
      <c r="R87" s="268"/>
      <c r="S87" s="268"/>
      <c r="T87" s="268"/>
      <c r="U87" s="269"/>
      <c r="V87" s="339"/>
      <c r="W87" s="271"/>
      <c r="X87" s="272"/>
      <c r="Z87" s="273"/>
      <c r="AA87" s="58"/>
      <c r="AB87" s="275"/>
      <c r="AC87" s="276"/>
      <c r="AD87" s="277"/>
      <c r="AG87" s="106"/>
      <c r="AH87" s="281"/>
      <c r="AI87" s="282"/>
      <c r="AJ87" s="283"/>
      <c r="AK87" s="284"/>
      <c r="AM87" s="222"/>
      <c r="AN87" s="285"/>
      <c r="AO87" s="285"/>
      <c r="AQ87" s="286"/>
      <c r="AS87" s="222"/>
      <c r="AT87" s="337"/>
      <c r="AU87" s="285"/>
      <c r="AW87" s="288"/>
      <c r="AX87" s="106"/>
      <c r="AZ87" s="289"/>
    </row>
    <row r="88" spans="1:55" ht="51" outlineLevel="1" x14ac:dyDescent="0.3">
      <c r="A88" s="264"/>
      <c r="B88" s="264"/>
      <c r="C88" s="265"/>
      <c r="D88" s="239"/>
      <c r="E88" s="168"/>
      <c r="F88" s="214"/>
      <c r="G88" s="214"/>
      <c r="H88" s="168"/>
      <c r="I88" s="168"/>
      <c r="J88" s="168"/>
      <c r="K88" s="121" t="s">
        <v>339</v>
      </c>
      <c r="L88" s="266" t="str">
        <f>VLOOKUP(K88,[6]материалы!$A$5:$G$31,5, FALSE)</f>
        <v>шт.</v>
      </c>
      <c r="M88" s="168">
        <f>VLOOKUP(K88,[6]материалы!$A$5:$G$34,7, FALSE)</f>
        <v>10.83</v>
      </c>
      <c r="N88" s="168">
        <v>2</v>
      </c>
      <c r="O88" s="168">
        <f t="shared" si="53"/>
        <v>21.66</v>
      </c>
      <c r="P88" s="168"/>
      <c r="Q88" s="168"/>
      <c r="R88" s="268"/>
      <c r="S88" s="268"/>
      <c r="T88" s="268"/>
      <c r="U88" s="269"/>
      <c r="V88" s="339"/>
      <c r="W88" s="271"/>
      <c r="X88" s="272"/>
      <c r="Z88" s="273"/>
      <c r="AA88" s="58"/>
      <c r="AB88" s="275"/>
      <c r="AC88" s="276"/>
      <c r="AD88" s="277"/>
      <c r="AG88" s="106"/>
      <c r="AH88" s="281"/>
      <c r="AI88" s="282"/>
      <c r="AJ88" s="283"/>
      <c r="AK88" s="284"/>
      <c r="AM88" s="222"/>
      <c r="AN88" s="285"/>
      <c r="AO88" s="285"/>
      <c r="AQ88" s="286"/>
      <c r="AS88" s="222"/>
      <c r="AT88" s="337"/>
      <c r="AU88" s="285"/>
      <c r="AW88" s="288"/>
      <c r="AX88" s="106"/>
      <c r="AZ88" s="289"/>
    </row>
    <row r="89" spans="1:55" ht="17.25" customHeight="1" x14ac:dyDescent="0.25">
      <c r="A89" s="647" t="s">
        <v>672</v>
      </c>
      <c r="B89" s="647" t="s">
        <v>27</v>
      </c>
      <c r="C89" s="660" t="s">
        <v>673</v>
      </c>
      <c r="D89" s="649" t="s">
        <v>658</v>
      </c>
      <c r="E89" s="168" t="s">
        <v>162</v>
      </c>
      <c r="F89" s="168">
        <f>VLOOKUP(E89,'[6]условия, ФОТ'!$A$14:$I$32,9, FALSE)</f>
        <v>180.5</v>
      </c>
      <c r="G89" s="168">
        <v>0.5</v>
      </c>
      <c r="H89" s="661">
        <f>ROUND((F89*G89+F90*G90),2)</f>
        <v>187.07</v>
      </c>
      <c r="I89" s="661">
        <f>ROUND(H89*$I$5,2)</f>
        <v>56.5</v>
      </c>
      <c r="J89" s="661">
        <f>H89+I89</f>
        <v>243.57</v>
      </c>
      <c r="K89" s="669"/>
      <c r="L89" s="661"/>
      <c r="M89" s="661"/>
      <c r="N89" s="661"/>
      <c r="O89" s="661">
        <f>SUM(O91:O98)</f>
        <v>146.72999999999999</v>
      </c>
      <c r="P89" s="709">
        <f>J89+O89</f>
        <v>390.29999999999995</v>
      </c>
      <c r="Q89" s="709">
        <f>ROUND(P89*$Q$5,2)</f>
        <v>259.55</v>
      </c>
      <c r="R89" s="711">
        <f>ROUND(T89/1.2,2)</f>
        <v>846.67</v>
      </c>
      <c r="S89" s="711">
        <f>ROUND(R89*$S$5,2)</f>
        <v>169.33</v>
      </c>
      <c r="T89" s="665">
        <f>ROUND((P89+Q89)*(1+AC89)*1.2,0)</f>
        <v>1016</v>
      </c>
      <c r="U89" s="666">
        <v>913</v>
      </c>
      <c r="V89" s="842">
        <f>T89/U89*100-100</f>
        <v>11.281489594742595</v>
      </c>
      <c r="W89" s="822">
        <v>975</v>
      </c>
      <c r="X89" s="679">
        <f t="shared" si="40"/>
        <v>4.2051282051281902</v>
      </c>
      <c r="Y89" s="231">
        <v>943</v>
      </c>
      <c r="Z89" s="823">
        <v>1.042</v>
      </c>
      <c r="AA89" s="825">
        <f>ROUND(W89*Z89,2)</f>
        <v>1015.95</v>
      </c>
      <c r="AB89" s="826">
        <f>ROUND((P89+Q89)*1.2,2)</f>
        <v>779.82</v>
      </c>
      <c r="AC89" s="814">
        <f>ROUND((AA89/AB89)*100%-100%,4)</f>
        <v>0.30280000000000001</v>
      </c>
      <c r="AD89" s="714">
        <f t="shared" si="41"/>
        <v>236.12949600000002</v>
      </c>
      <c r="AF89" s="235">
        <v>975.06200000000001</v>
      </c>
      <c r="AG89" s="674">
        <v>975</v>
      </c>
      <c r="AH89" s="816">
        <f t="shared" si="42"/>
        <v>41</v>
      </c>
      <c r="AI89" s="817">
        <v>0.16289999999999999</v>
      </c>
      <c r="AJ89" s="819">
        <f t="shared" si="43"/>
        <v>236.12949600000002</v>
      </c>
      <c r="AK89" s="284"/>
      <c r="AM89" s="715">
        <v>0.16289999999999999</v>
      </c>
      <c r="AN89" s="670">
        <f t="shared" si="44"/>
        <v>0.16289999999999999</v>
      </c>
      <c r="AO89" s="670">
        <v>0</v>
      </c>
      <c r="AQ89" s="676"/>
      <c r="AS89" s="715">
        <v>1.034</v>
      </c>
      <c r="AT89" s="717">
        <v>0.16289999999999999</v>
      </c>
      <c r="AU89" s="670">
        <f t="shared" si="45"/>
        <v>8.0000000000000071E-3</v>
      </c>
      <c r="AW89" s="672">
        <f t="shared" si="46"/>
        <v>0.13990000000000002</v>
      </c>
      <c r="AX89" s="674">
        <v>975</v>
      </c>
      <c r="AY89" s="675" t="b">
        <f t="shared" si="47"/>
        <v>1</v>
      </c>
      <c r="AZ89" s="289">
        <f t="shared" si="48"/>
        <v>-2.9980000000000002</v>
      </c>
      <c r="BC89">
        <f t="shared" si="49"/>
        <v>1.042</v>
      </c>
    </row>
    <row r="90" spans="1:55" ht="23.25" customHeight="1" x14ac:dyDescent="0.25">
      <c r="A90" s="647"/>
      <c r="B90" s="647"/>
      <c r="C90" s="660"/>
      <c r="D90" s="649"/>
      <c r="E90" s="239" t="s">
        <v>166</v>
      </c>
      <c r="F90" s="168">
        <f>VLOOKUP(E90,'[6]условия, ФОТ'!$A$14:$I$32,9, FALSE)</f>
        <v>193.64</v>
      </c>
      <c r="G90" s="168">
        <v>0.5</v>
      </c>
      <c r="H90" s="661">
        <f t="shared" ref="H90" si="54">ROUND(F90*G90,2)</f>
        <v>96.82</v>
      </c>
      <c r="I90" s="661">
        <f t="shared" ref="I90" si="55">ROUND(H90*$I$5,2)</f>
        <v>29.24</v>
      </c>
      <c r="J90" s="661">
        <f t="shared" ref="J90" si="56">H90+I90</f>
        <v>126.05999999999999</v>
      </c>
      <c r="K90" s="669"/>
      <c r="L90" s="661"/>
      <c r="M90" s="661"/>
      <c r="N90" s="661"/>
      <c r="O90" s="661"/>
      <c r="P90" s="710"/>
      <c r="Q90" s="710"/>
      <c r="R90" s="710"/>
      <c r="S90" s="710"/>
      <c r="T90" s="665">
        <f>ROUND((P90+Q90)*(1+$R$5)*1.18,0)</f>
        <v>0</v>
      </c>
      <c r="U90" s="827"/>
      <c r="V90" s="842"/>
      <c r="W90" s="822"/>
      <c r="X90" s="679"/>
      <c r="Z90" s="824"/>
      <c r="AA90" s="825"/>
      <c r="AB90" s="826"/>
      <c r="AC90" s="815"/>
      <c r="AD90" s="714"/>
      <c r="AG90" s="674"/>
      <c r="AH90" s="816"/>
      <c r="AI90" s="818"/>
      <c r="AJ90" s="820"/>
      <c r="AK90" s="284"/>
      <c r="AM90" s="716"/>
      <c r="AN90" s="671"/>
      <c r="AO90" s="671"/>
      <c r="AQ90" s="677"/>
      <c r="AS90" s="716"/>
      <c r="AT90" s="718"/>
      <c r="AU90" s="671"/>
      <c r="AW90" s="673"/>
      <c r="AX90" s="674"/>
      <c r="AY90" s="675"/>
      <c r="AZ90" s="289"/>
    </row>
    <row r="91" spans="1:55" ht="25.5" outlineLevel="1" x14ac:dyDescent="0.3">
      <c r="A91" s="264"/>
      <c r="B91" s="264"/>
      <c r="C91" s="265"/>
      <c r="D91" s="239"/>
      <c r="E91" s="168"/>
      <c r="F91" s="214"/>
      <c r="G91" s="214"/>
      <c r="H91" s="168"/>
      <c r="I91" s="168"/>
      <c r="J91" s="295" t="s">
        <v>366</v>
      </c>
      <c r="K91" s="121" t="s">
        <v>165</v>
      </c>
      <c r="L91" s="266" t="str">
        <f>VLOOKUP(K91,[6]материалы!$A$5:$G$31,5, FALSE)</f>
        <v>шт.</v>
      </c>
      <c r="M91" s="168">
        <f>VLOOKUP(K91,[6]материалы!$A$5:$G$34,7, FALSE)</f>
        <v>50</v>
      </c>
      <c r="N91" s="168">
        <v>1</v>
      </c>
      <c r="O91" s="168">
        <f t="shared" ref="O91:O98" si="57">ROUND(M91*N91,2)</f>
        <v>50</v>
      </c>
      <c r="P91" s="168"/>
      <c r="Q91" s="168"/>
      <c r="R91" s="268"/>
      <c r="S91" s="268"/>
      <c r="T91" s="268"/>
      <c r="U91" s="269"/>
      <c r="V91" s="338"/>
      <c r="W91" s="271"/>
      <c r="X91" s="272"/>
      <c r="Z91" s="273"/>
      <c r="AA91" s="58"/>
      <c r="AB91" s="275"/>
      <c r="AC91" s="276"/>
      <c r="AD91" s="277"/>
      <c r="AG91" s="106"/>
      <c r="AH91" s="281"/>
      <c r="AI91" s="282"/>
      <c r="AJ91" s="283"/>
      <c r="AK91" s="284"/>
      <c r="AM91" s="222"/>
      <c r="AN91" s="285"/>
      <c r="AO91" s="285"/>
      <c r="AQ91" s="286"/>
      <c r="AS91" s="222"/>
      <c r="AT91" s="337"/>
      <c r="AU91" s="285"/>
      <c r="AW91" s="288"/>
      <c r="AX91" s="106"/>
      <c r="AZ91" s="289"/>
    </row>
    <row r="92" spans="1:55" outlineLevel="1" x14ac:dyDescent="0.3">
      <c r="A92" s="264"/>
      <c r="B92" s="264"/>
      <c r="C92" s="265"/>
      <c r="D92" s="239"/>
      <c r="E92" s="168"/>
      <c r="F92" s="214"/>
      <c r="G92" s="214"/>
      <c r="H92" s="168"/>
      <c r="I92" s="168"/>
      <c r="J92" s="168"/>
      <c r="K92" s="121" t="s">
        <v>323</v>
      </c>
      <c r="L92" s="266" t="str">
        <f>VLOOKUP(K92,[6]материалы!$A$5:$G$31,5, FALSE)</f>
        <v>м3</v>
      </c>
      <c r="M92" s="168">
        <f>VLOOKUP(K92,[6]материалы!$A$5:$G$34,7, FALSE)</f>
        <v>486.11</v>
      </c>
      <c r="N92" s="266">
        <v>8.7499999999999994E-2</v>
      </c>
      <c r="O92" s="168">
        <f t="shared" si="57"/>
        <v>42.53</v>
      </c>
      <c r="P92" s="168"/>
      <c r="Q92" s="168"/>
      <c r="R92" s="268"/>
      <c r="S92" s="268"/>
      <c r="T92" s="268"/>
      <c r="U92" s="269"/>
      <c r="V92" s="338"/>
      <c r="W92" s="271"/>
      <c r="X92" s="272"/>
      <c r="Z92" s="273"/>
      <c r="AA92" s="58"/>
      <c r="AB92" s="275"/>
      <c r="AC92" s="276"/>
      <c r="AD92" s="277"/>
      <c r="AG92" s="106"/>
      <c r="AH92" s="281"/>
      <c r="AI92" s="282"/>
      <c r="AJ92" s="283"/>
      <c r="AK92" s="284"/>
      <c r="AM92" s="222"/>
      <c r="AN92" s="285"/>
      <c r="AO92" s="285"/>
      <c r="AQ92" s="286"/>
      <c r="AS92" s="222"/>
      <c r="AT92" s="337"/>
      <c r="AU92" s="285"/>
      <c r="AW92" s="288"/>
      <c r="AX92" s="106"/>
      <c r="AZ92" s="289"/>
    </row>
    <row r="93" spans="1:55" ht="38.25" outlineLevel="1" x14ac:dyDescent="0.3">
      <c r="A93" s="264"/>
      <c r="B93" s="264"/>
      <c r="C93" s="265"/>
      <c r="D93" s="239"/>
      <c r="E93" s="168"/>
      <c r="F93" s="214"/>
      <c r="G93" s="214"/>
      <c r="H93" s="168"/>
      <c r="I93" s="168"/>
      <c r="J93" s="168"/>
      <c r="K93" s="121" t="s">
        <v>341</v>
      </c>
      <c r="L93" s="266" t="str">
        <f>VLOOKUP(K93,[6]материалы!$A$5:$G$31,5, FALSE)</f>
        <v>кг</v>
      </c>
      <c r="M93" s="168">
        <f>VLOOKUP(K93,[6]материалы!$A$5:$G$34,7, FALSE)</f>
        <v>125</v>
      </c>
      <c r="N93" s="168">
        <v>0.1</v>
      </c>
      <c r="O93" s="168">
        <f>ROUND(M93*N93,2)</f>
        <v>12.5</v>
      </c>
      <c r="P93" s="168"/>
      <c r="Q93" s="168"/>
      <c r="R93" s="268"/>
      <c r="S93" s="268"/>
      <c r="T93" s="268"/>
      <c r="U93" s="269"/>
      <c r="V93" s="338"/>
      <c r="W93" s="271"/>
      <c r="X93" s="272"/>
      <c r="Z93" s="273"/>
      <c r="AA93" s="58"/>
      <c r="AB93" s="275"/>
      <c r="AC93" s="276"/>
      <c r="AD93" s="277"/>
      <c r="AG93" s="106"/>
      <c r="AH93" s="281"/>
      <c r="AI93" s="282"/>
      <c r="AJ93" s="283"/>
      <c r="AK93" s="284"/>
      <c r="AM93" s="222"/>
      <c r="AN93" s="285"/>
      <c r="AO93" s="285"/>
      <c r="AQ93" s="286"/>
      <c r="AS93" s="222"/>
      <c r="AT93" s="337"/>
      <c r="AU93" s="285"/>
      <c r="AW93" s="288"/>
      <c r="AX93" s="106"/>
      <c r="AZ93" s="289"/>
    </row>
    <row r="94" spans="1:55" outlineLevel="1" x14ac:dyDescent="0.3">
      <c r="A94" s="264"/>
      <c r="B94" s="264"/>
      <c r="C94" s="265"/>
      <c r="D94" s="239"/>
      <c r="E94" s="168"/>
      <c r="F94" s="214"/>
      <c r="G94" s="214"/>
      <c r="H94" s="168"/>
      <c r="I94" s="168"/>
      <c r="J94" s="168"/>
      <c r="K94" s="121" t="s">
        <v>324</v>
      </c>
      <c r="L94" s="266" t="str">
        <f>VLOOKUP(K94,[6]материалы!$A$5:$G$31,5, FALSE)</f>
        <v>м3</v>
      </c>
      <c r="M94" s="168">
        <f>VLOOKUP(K94,[6]материалы!$A$5:$G$34,7, FALSE)</f>
        <v>152.78</v>
      </c>
      <c r="N94" s="168">
        <v>1.4999999999999999E-2</v>
      </c>
      <c r="O94" s="168">
        <f t="shared" si="57"/>
        <v>2.29</v>
      </c>
      <c r="P94" s="168"/>
      <c r="Q94" s="168"/>
      <c r="R94" s="268"/>
      <c r="S94" s="268"/>
      <c r="T94" s="268"/>
      <c r="U94" s="269"/>
      <c r="V94" s="338"/>
      <c r="W94" s="271"/>
      <c r="X94" s="272"/>
      <c r="Z94" s="273"/>
      <c r="AA94" s="58"/>
      <c r="AB94" s="275"/>
      <c r="AC94" s="276"/>
      <c r="AD94" s="277"/>
      <c r="AG94" s="106"/>
      <c r="AH94" s="281"/>
      <c r="AI94" s="282"/>
      <c r="AJ94" s="283"/>
      <c r="AK94" s="284"/>
      <c r="AM94" s="222"/>
      <c r="AN94" s="285"/>
      <c r="AO94" s="285"/>
      <c r="AQ94" s="286"/>
      <c r="AS94" s="222"/>
      <c r="AT94" s="337"/>
      <c r="AU94" s="285"/>
      <c r="AW94" s="288"/>
      <c r="AX94" s="106"/>
      <c r="AZ94" s="289"/>
    </row>
    <row r="95" spans="1:55" ht="29.25" customHeight="1" outlineLevel="1" x14ac:dyDescent="0.3">
      <c r="A95" s="264"/>
      <c r="B95" s="264"/>
      <c r="C95" s="265"/>
      <c r="D95" s="239"/>
      <c r="E95" s="168"/>
      <c r="F95" s="214"/>
      <c r="G95" s="214"/>
      <c r="H95" s="168"/>
      <c r="I95" s="168"/>
      <c r="J95" s="168"/>
      <c r="K95" s="121" t="s">
        <v>342</v>
      </c>
      <c r="L95" s="266" t="str">
        <f>VLOOKUP(K95,[6]материалы!$A$5:$G$31,5, FALSE)</f>
        <v>шт.</v>
      </c>
      <c r="M95" s="168">
        <f>VLOOKUP(K95,[6]материалы!$A$5:$G$34,7, FALSE)</f>
        <v>37.5</v>
      </c>
      <c r="N95" s="168">
        <v>0.25</v>
      </c>
      <c r="O95" s="168">
        <f t="shared" si="57"/>
        <v>9.3800000000000008</v>
      </c>
      <c r="P95" s="168"/>
      <c r="Q95" s="168"/>
      <c r="R95" s="268"/>
      <c r="S95" s="268"/>
      <c r="T95" s="268"/>
      <c r="U95" s="269"/>
      <c r="V95" s="338"/>
      <c r="W95" s="271"/>
      <c r="X95" s="272"/>
      <c r="Z95" s="273"/>
      <c r="AA95" s="58"/>
      <c r="AB95" s="275"/>
      <c r="AC95" s="276"/>
      <c r="AD95" s="277"/>
      <c r="AG95" s="106"/>
      <c r="AH95" s="281"/>
      <c r="AI95" s="282"/>
      <c r="AJ95" s="283"/>
      <c r="AK95" s="284"/>
      <c r="AM95" s="222"/>
      <c r="AN95" s="285"/>
      <c r="AO95" s="285"/>
      <c r="AQ95" s="286"/>
      <c r="AS95" s="222"/>
      <c r="AT95" s="337"/>
      <c r="AU95" s="285"/>
      <c r="AW95" s="288"/>
      <c r="AX95" s="106"/>
      <c r="AZ95" s="289"/>
    </row>
    <row r="96" spans="1:55" ht="25.5" outlineLevel="1" x14ac:dyDescent="0.3">
      <c r="A96" s="264"/>
      <c r="B96" s="264"/>
      <c r="C96" s="265"/>
      <c r="D96" s="239"/>
      <c r="E96" s="168"/>
      <c r="F96" s="214"/>
      <c r="G96" s="214"/>
      <c r="H96" s="168"/>
      <c r="I96" s="168"/>
      <c r="J96" s="168"/>
      <c r="K96" s="121" t="s">
        <v>335</v>
      </c>
      <c r="L96" s="266" t="str">
        <f>VLOOKUP(K96,[6]материалы!$A$5:$G$31,5, FALSE)</f>
        <v>кг</v>
      </c>
      <c r="M96" s="168">
        <f>VLOOKUP(K96,[6]материалы!$A$5:$G$34,7, FALSE)</f>
        <v>720.83</v>
      </c>
      <c r="N96" s="168">
        <v>0.01</v>
      </c>
      <c r="O96" s="168">
        <f t="shared" si="57"/>
        <v>7.21</v>
      </c>
      <c r="P96" s="168"/>
      <c r="Q96" s="168"/>
      <c r="R96" s="268"/>
      <c r="S96" s="268"/>
      <c r="T96" s="268"/>
      <c r="U96" s="269"/>
      <c r="V96" s="338"/>
      <c r="W96" s="271"/>
      <c r="X96" s="272"/>
      <c r="Z96" s="273"/>
      <c r="AA96" s="58"/>
      <c r="AB96" s="275"/>
      <c r="AC96" s="276"/>
      <c r="AD96" s="277"/>
      <c r="AG96" s="106"/>
      <c r="AH96" s="281"/>
      <c r="AI96" s="282"/>
      <c r="AJ96" s="283"/>
      <c r="AK96" s="284"/>
      <c r="AM96" s="222"/>
      <c r="AN96" s="285"/>
      <c r="AO96" s="285"/>
      <c r="AQ96" s="286"/>
      <c r="AS96" s="222"/>
      <c r="AT96" s="337"/>
      <c r="AU96" s="285"/>
      <c r="AW96" s="288"/>
      <c r="AX96" s="106"/>
      <c r="AZ96" s="289"/>
    </row>
    <row r="97" spans="1:55" ht="38.25" outlineLevel="1" x14ac:dyDescent="0.3">
      <c r="A97" s="264"/>
      <c r="B97" s="264"/>
      <c r="C97" s="265"/>
      <c r="D97" s="239"/>
      <c r="E97" s="168"/>
      <c r="F97" s="214"/>
      <c r="G97" s="214"/>
      <c r="H97" s="168"/>
      <c r="I97" s="168"/>
      <c r="J97" s="168"/>
      <c r="K97" s="121" t="s">
        <v>370</v>
      </c>
      <c r="L97" s="266" t="str">
        <f>VLOOKUP(K97,[6]материалы!$A$5:$G$31,5, FALSE)</f>
        <v>шт.</v>
      </c>
      <c r="M97" s="168">
        <f>VLOOKUP(K97,[6]материалы!$A$5:$G$34,7, FALSE)</f>
        <v>0.57999999999999996</v>
      </c>
      <c r="N97" s="168">
        <v>2</v>
      </c>
      <c r="O97" s="168">
        <f t="shared" si="57"/>
        <v>1.1599999999999999</v>
      </c>
      <c r="P97" s="168"/>
      <c r="Q97" s="168"/>
      <c r="R97" s="268"/>
      <c r="S97" s="268"/>
      <c r="T97" s="268"/>
      <c r="U97" s="269"/>
      <c r="V97" s="338"/>
      <c r="W97" s="271"/>
      <c r="X97" s="272"/>
      <c r="Z97" s="273"/>
      <c r="AA97" s="58"/>
      <c r="AB97" s="275"/>
      <c r="AC97" s="276"/>
      <c r="AD97" s="277"/>
      <c r="AG97" s="106"/>
      <c r="AH97" s="281"/>
      <c r="AI97" s="282"/>
      <c r="AJ97" s="283"/>
      <c r="AK97" s="284"/>
      <c r="AM97" s="222"/>
      <c r="AN97" s="285"/>
      <c r="AO97" s="285"/>
      <c r="AQ97" s="286"/>
      <c r="AS97" s="222"/>
      <c r="AT97" s="337"/>
      <c r="AU97" s="285"/>
      <c r="AW97" s="288"/>
      <c r="AX97" s="106"/>
      <c r="AZ97" s="289"/>
    </row>
    <row r="98" spans="1:55" ht="51" outlineLevel="1" x14ac:dyDescent="0.3">
      <c r="A98" s="264"/>
      <c r="B98" s="264"/>
      <c r="C98" s="265"/>
      <c r="D98" s="239"/>
      <c r="E98" s="168"/>
      <c r="F98" s="214"/>
      <c r="G98" s="214"/>
      <c r="H98" s="168"/>
      <c r="I98" s="168"/>
      <c r="J98" s="168"/>
      <c r="K98" s="121" t="s">
        <v>339</v>
      </c>
      <c r="L98" s="266" t="str">
        <f>VLOOKUP(K98,[6]материалы!$A$5:$G$31,5, FALSE)</f>
        <v>шт.</v>
      </c>
      <c r="M98" s="168">
        <f>VLOOKUP(K98,[6]материалы!$A$5:$G$34,7, FALSE)</f>
        <v>10.83</v>
      </c>
      <c r="N98" s="168">
        <v>2</v>
      </c>
      <c r="O98" s="168">
        <f t="shared" si="57"/>
        <v>21.66</v>
      </c>
      <c r="P98" s="168"/>
      <c r="Q98" s="168"/>
      <c r="R98" s="268"/>
      <c r="S98" s="268"/>
      <c r="T98" s="268"/>
      <c r="U98" s="269"/>
      <c r="V98" s="338"/>
      <c r="W98" s="271"/>
      <c r="X98" s="272"/>
      <c r="Z98" s="273"/>
      <c r="AA98" s="58"/>
      <c r="AB98" s="275"/>
      <c r="AC98" s="276"/>
      <c r="AD98" s="277"/>
      <c r="AG98" s="106"/>
      <c r="AH98" s="281"/>
      <c r="AI98" s="282"/>
      <c r="AJ98" s="283"/>
      <c r="AK98" s="284"/>
      <c r="AM98" s="222"/>
      <c r="AN98" s="285"/>
      <c r="AO98" s="285"/>
      <c r="AQ98" s="286"/>
      <c r="AS98" s="222"/>
      <c r="AT98" s="337"/>
      <c r="AU98" s="285"/>
      <c r="AW98" s="288"/>
      <c r="AX98" s="106"/>
      <c r="AZ98" s="289"/>
    </row>
    <row r="99" spans="1:55" ht="44.25" customHeight="1" x14ac:dyDescent="0.3">
      <c r="A99" s="264" t="s">
        <v>674</v>
      </c>
      <c r="B99" s="264" t="s">
        <v>675</v>
      </c>
      <c r="C99" s="265" t="s">
        <v>676</v>
      </c>
      <c r="D99" s="239" t="s">
        <v>18</v>
      </c>
      <c r="E99" s="168" t="s">
        <v>162</v>
      </c>
      <c r="F99" s="168">
        <f>VLOOKUP(E99,'[6]условия, ФОТ'!$A$14:$I$32,9, FALSE)</f>
        <v>180.5</v>
      </c>
      <c r="G99" s="168">
        <v>1.44</v>
      </c>
      <c r="H99" s="168">
        <f t="shared" ref="H99" si="58">ROUND(F99*G99,2)</f>
        <v>259.92</v>
      </c>
      <c r="I99" s="168">
        <f t="shared" ref="I99" si="59">ROUND(H99*$I$5,2)</f>
        <v>78.5</v>
      </c>
      <c r="J99" s="168">
        <f t="shared" ref="J99" si="60">H99+I99</f>
        <v>338.42</v>
      </c>
      <c r="K99" s="267"/>
      <c r="L99" s="168"/>
      <c r="M99" s="168"/>
      <c r="N99" s="168"/>
      <c r="O99" s="168"/>
      <c r="P99" s="168">
        <f t="shared" ref="P99" si="61">J99+O99</f>
        <v>338.42</v>
      </c>
      <c r="Q99" s="168">
        <f t="shared" ref="Q99" si="62">ROUND(P99*$Q$5,2)</f>
        <v>225.05</v>
      </c>
      <c r="R99" s="268">
        <f>ROUND(T99/1.2,2)</f>
        <v>606.66999999999996</v>
      </c>
      <c r="S99" s="268">
        <f t="shared" ref="S99" si="63">ROUND(R99*$S$5,2)</f>
        <v>121.33</v>
      </c>
      <c r="T99" s="268">
        <f>ROUND((P99+Q99)*(1+AC99)*1.2,0)</f>
        <v>728</v>
      </c>
      <c r="U99" s="269">
        <v>605</v>
      </c>
      <c r="V99" s="336">
        <f t="shared" ref="V99:V101" si="64">T99/U99*100-100</f>
        <v>20.330578512396698</v>
      </c>
      <c r="W99" s="271">
        <v>699</v>
      </c>
      <c r="X99" s="272">
        <f t="shared" si="40"/>
        <v>4.1487839771101562</v>
      </c>
      <c r="Y99" s="231">
        <v>625</v>
      </c>
      <c r="Z99" s="273">
        <v>1.042</v>
      </c>
      <c r="AA99" s="274">
        <f>ROUND(W99*Z99,2)</f>
        <v>728.36</v>
      </c>
      <c r="AB99" s="275">
        <f>ROUND((P99+Q99)*1.2,2)</f>
        <v>676.16</v>
      </c>
      <c r="AC99" s="276">
        <f>ROUND((AA99/AB99)*100%-100%,4)</f>
        <v>7.7200000000000005E-2</v>
      </c>
      <c r="AD99" s="277">
        <f t="shared" si="41"/>
        <v>52.199552000000004</v>
      </c>
      <c r="AF99" s="235">
        <v>646.25</v>
      </c>
      <c r="AG99" s="106">
        <v>699</v>
      </c>
      <c r="AH99" s="281">
        <f t="shared" si="42"/>
        <v>29</v>
      </c>
      <c r="AI99" s="282">
        <v>4.9500000000000002E-2</v>
      </c>
      <c r="AJ99" s="283">
        <f t="shared" si="43"/>
        <v>52.199552000000004</v>
      </c>
      <c r="AK99" s="284"/>
      <c r="AM99" s="222">
        <v>-2.93E-2</v>
      </c>
      <c r="AN99" s="285">
        <f t="shared" si="44"/>
        <v>1.0293000000000001</v>
      </c>
      <c r="AO99" s="285">
        <v>1.0640000000000001</v>
      </c>
      <c r="AQ99" s="286">
        <f t="shared" ref="AQ99:AQ141" si="65">ROUND(W99*AO99,2)</f>
        <v>743.74</v>
      </c>
      <c r="AS99" s="222">
        <v>1.034</v>
      </c>
      <c r="AT99" s="337">
        <v>-2.93E-2</v>
      </c>
      <c r="AU99" s="285">
        <f t="shared" si="45"/>
        <v>8.0000000000000071E-3</v>
      </c>
      <c r="AW99" s="288">
        <f t="shared" si="46"/>
        <v>0.10650000000000001</v>
      </c>
      <c r="AX99" s="106">
        <v>699</v>
      </c>
      <c r="AY99" s="127" t="b">
        <f t="shared" si="47"/>
        <v>1</v>
      </c>
      <c r="AZ99" s="289">
        <f t="shared" si="48"/>
        <v>-2.9379999999999997</v>
      </c>
      <c r="BC99">
        <f t="shared" si="49"/>
        <v>1.0409999999999999</v>
      </c>
    </row>
    <row r="100" spans="1:55" s="86" customFormat="1" ht="24" customHeight="1" x14ac:dyDescent="0.3">
      <c r="A100" s="651" t="s">
        <v>677</v>
      </c>
      <c r="B100" s="652"/>
      <c r="C100" s="652"/>
      <c r="D100" s="652"/>
      <c r="E100" s="652"/>
      <c r="F100" s="652"/>
      <c r="G100" s="652"/>
      <c r="H100" s="652"/>
      <c r="I100" s="652"/>
      <c r="J100" s="652"/>
      <c r="K100" s="652"/>
      <c r="L100" s="652"/>
      <c r="M100" s="652"/>
      <c r="N100" s="652"/>
      <c r="O100" s="652"/>
      <c r="P100" s="652"/>
      <c r="Q100" s="652"/>
      <c r="R100" s="652"/>
      <c r="S100" s="652"/>
      <c r="T100" s="653"/>
      <c r="U100" s="340"/>
      <c r="V100" s="261"/>
      <c r="W100" s="271"/>
      <c r="X100" s="272"/>
      <c r="Y100" s="231"/>
      <c r="Z100" s="273"/>
      <c r="AA100" s="58"/>
      <c r="AB100" s="275"/>
      <c r="AC100" s="276"/>
      <c r="AD100" s="277"/>
      <c r="AE100" s="278"/>
      <c r="AF100" s="235"/>
      <c r="AG100" s="341"/>
      <c r="AH100" s="281"/>
      <c r="AI100" s="282"/>
      <c r="AJ100" s="283"/>
      <c r="AK100" s="284"/>
      <c r="AM100" s="292"/>
      <c r="AN100" s="285"/>
      <c r="AO100" s="285"/>
      <c r="AQ100" s="286"/>
      <c r="AR100" s="293"/>
      <c r="AS100" s="292"/>
      <c r="AT100" s="294"/>
      <c r="AU100" s="285"/>
      <c r="AW100" s="288"/>
      <c r="AX100" s="341"/>
      <c r="AY100" s="127"/>
      <c r="AZ100" s="289"/>
      <c r="BA100"/>
      <c r="BB100"/>
      <c r="BC100"/>
    </row>
    <row r="101" spans="1:55" s="223" customFormat="1" ht="39" customHeight="1" x14ac:dyDescent="0.3">
      <c r="A101" s="516" t="s">
        <v>426</v>
      </c>
      <c r="B101" s="517" t="s">
        <v>343</v>
      </c>
      <c r="C101" s="518" t="s">
        <v>361</v>
      </c>
      <c r="D101" s="519" t="s">
        <v>167</v>
      </c>
      <c r="E101" s="519" t="s">
        <v>161</v>
      </c>
      <c r="F101" s="520">
        <f>VLOOKUP(E101,'[6]условия, ФОТ'!$A$14:$I$32,9, FALSE)</f>
        <v>180.5</v>
      </c>
      <c r="G101" s="520">
        <v>0.4</v>
      </c>
      <c r="H101" s="520">
        <f>ROUND(F101*G101,2)</f>
        <v>72.2</v>
      </c>
      <c r="I101" s="520">
        <f>ROUND(H101*$I$5,2)</f>
        <v>21.8</v>
      </c>
      <c r="J101" s="520">
        <f>H101+I101</f>
        <v>94</v>
      </c>
      <c r="K101" s="521"/>
      <c r="L101" s="522"/>
      <c r="M101" s="522"/>
      <c r="N101" s="522"/>
      <c r="O101" s="522"/>
      <c r="P101" s="520">
        <f>J101+O101</f>
        <v>94</v>
      </c>
      <c r="Q101" s="520">
        <f>ROUND(P101*$Q$5,2)</f>
        <v>62.51</v>
      </c>
      <c r="R101" s="269">
        <f>ROUND(T101/1.2,2)</f>
        <v>168.33</v>
      </c>
      <c r="S101" s="269">
        <f>ROUND(R101*$S$5,2)</f>
        <v>33.67</v>
      </c>
      <c r="T101" s="269">
        <f>ROUND((P101+Q101)*(1+AC101)*1.2,0)</f>
        <v>202</v>
      </c>
      <c r="U101" s="269">
        <v>149</v>
      </c>
      <c r="V101" s="336">
        <f t="shared" si="64"/>
        <v>35.570469798657712</v>
      </c>
      <c r="W101" s="350">
        <v>194</v>
      </c>
      <c r="X101" s="351">
        <f t="shared" si="40"/>
        <v>4.1237113402061993</v>
      </c>
      <c r="Y101" s="231">
        <v>153</v>
      </c>
      <c r="Z101" s="523">
        <v>1.042</v>
      </c>
      <c r="AA101" s="352">
        <f>ROUND(W101*Z101,2)</f>
        <v>202.15</v>
      </c>
      <c r="AB101" s="353">
        <f>ROUND((P101+Q101)*1.2,2)</f>
        <v>187.81</v>
      </c>
      <c r="AC101" s="524">
        <f>ROUND((AA101/AB101)*100%-100%,4)</f>
        <v>7.6399999999999996E-2</v>
      </c>
      <c r="AD101" s="354">
        <f t="shared" si="41"/>
        <v>14.348683999999999</v>
      </c>
      <c r="AE101" s="355"/>
      <c r="AF101" s="356">
        <v>158.202</v>
      </c>
      <c r="AG101" s="357">
        <v>194</v>
      </c>
      <c r="AH101" s="358">
        <f t="shared" si="42"/>
        <v>8</v>
      </c>
      <c r="AI101" s="359">
        <v>4.9700000000000001E-2</v>
      </c>
      <c r="AJ101" s="525">
        <f t="shared" si="43"/>
        <v>14.348683999999999</v>
      </c>
      <c r="AK101" s="360"/>
      <c r="AM101" s="361">
        <v>-0.1447</v>
      </c>
      <c r="AN101" s="362">
        <f t="shared" si="44"/>
        <v>1.1447000000000001</v>
      </c>
      <c r="AO101" s="362">
        <v>1.1839999999999999</v>
      </c>
      <c r="AQ101" s="363">
        <f t="shared" si="65"/>
        <v>229.7</v>
      </c>
      <c r="AR101" s="492"/>
      <c r="AS101" s="361">
        <v>1.034</v>
      </c>
      <c r="AT101" s="18">
        <v>-0.1447</v>
      </c>
      <c r="AU101" s="362">
        <f t="shared" si="45"/>
        <v>8.0000000000000071E-3</v>
      </c>
      <c r="AW101" s="364">
        <f t="shared" si="46"/>
        <v>0.22109999999999999</v>
      </c>
      <c r="AX101" s="357">
        <v>194</v>
      </c>
      <c r="AY101" s="526" t="b">
        <f t="shared" si="47"/>
        <v>1</v>
      </c>
      <c r="AZ101" s="527">
        <f t="shared" si="48"/>
        <v>-2.9180000000000001</v>
      </c>
      <c r="BC101" s="223">
        <f t="shared" si="49"/>
        <v>1.0409999999999999</v>
      </c>
    </row>
    <row r="102" spans="1:55" ht="31.7" customHeight="1" x14ac:dyDescent="0.3">
      <c r="A102" s="719" t="s">
        <v>678</v>
      </c>
      <c r="B102" s="720"/>
      <c r="C102" s="720"/>
      <c r="D102" s="720"/>
      <c r="E102" s="720"/>
      <c r="F102" s="720"/>
      <c r="G102" s="720"/>
      <c r="H102" s="720"/>
      <c r="I102" s="720"/>
      <c r="J102" s="720"/>
      <c r="K102" s="720"/>
      <c r="L102" s="720"/>
      <c r="M102" s="720"/>
      <c r="N102" s="720"/>
      <c r="O102" s="720"/>
      <c r="P102" s="720"/>
      <c r="Q102" s="720"/>
      <c r="R102" s="343"/>
      <c r="S102" s="343"/>
      <c r="T102" s="343"/>
      <c r="U102" s="344"/>
      <c r="V102" s="338"/>
      <c r="W102" s="271"/>
      <c r="X102" s="272"/>
      <c r="Z102" s="273"/>
      <c r="AA102" s="58"/>
      <c r="AB102" s="275"/>
      <c r="AC102" s="276"/>
      <c r="AD102" s="277"/>
      <c r="AG102" s="341"/>
      <c r="AH102" s="281"/>
      <c r="AI102" s="282"/>
      <c r="AJ102" s="283"/>
      <c r="AK102" s="284"/>
      <c r="AM102" s="222"/>
      <c r="AN102" s="285"/>
      <c r="AO102" s="285"/>
      <c r="AQ102" s="286"/>
      <c r="AS102" s="222"/>
      <c r="AT102" s="337"/>
      <c r="AU102" s="285"/>
      <c r="AW102" s="288"/>
      <c r="AX102" s="341"/>
      <c r="AZ102" s="289"/>
    </row>
    <row r="103" spans="1:55" ht="37.5" customHeight="1" x14ac:dyDescent="0.3">
      <c r="A103" s="264" t="s">
        <v>427</v>
      </c>
      <c r="B103" s="264" t="s">
        <v>171</v>
      </c>
      <c r="C103" s="265" t="s">
        <v>371</v>
      </c>
      <c r="D103" s="239" t="s">
        <v>30</v>
      </c>
      <c r="E103" s="239" t="s">
        <v>162</v>
      </c>
      <c r="F103" s="168">
        <f>VLOOKUP(E103,'[6]условия, ФОТ'!$A$14:$I$32,9, FALSE)</f>
        <v>180.5</v>
      </c>
      <c r="G103" s="266">
        <v>1</v>
      </c>
      <c r="H103" s="168">
        <f>ROUND(F103*G103,2)</f>
        <v>180.5</v>
      </c>
      <c r="I103" s="168">
        <f>ROUND(H103*$I$5,2)</f>
        <v>54.51</v>
      </c>
      <c r="J103" s="168">
        <f>H103+I103</f>
        <v>235.01</v>
      </c>
      <c r="K103" s="267"/>
      <c r="L103" s="168"/>
      <c r="M103" s="168"/>
      <c r="N103" s="168"/>
      <c r="O103" s="168">
        <f>SUM(O104:O106)</f>
        <v>4.3500000000000005</v>
      </c>
      <c r="P103" s="168">
        <f>J103+O103</f>
        <v>239.35999999999999</v>
      </c>
      <c r="Q103" s="168">
        <f>ROUND(P103*$Q$5,2)</f>
        <v>159.16999999999999</v>
      </c>
      <c r="R103" s="268">
        <f>ROUND(T103/1.2,2)</f>
        <v>429.17</v>
      </c>
      <c r="S103" s="268">
        <f>ROUND(R103*$S$5,2)</f>
        <v>85.83</v>
      </c>
      <c r="T103" s="268">
        <f>ROUND((P103+Q103)*(1+AC103)*1.2,0)</f>
        <v>515</v>
      </c>
      <c r="U103" s="269">
        <v>431</v>
      </c>
      <c r="V103" s="336">
        <f>T103/U103*100-100</f>
        <v>19.48955916473318</v>
      </c>
      <c r="W103" s="271">
        <v>494</v>
      </c>
      <c r="X103" s="272">
        <f t="shared" si="40"/>
        <v>4.2510121457489873</v>
      </c>
      <c r="Y103" s="231">
        <v>444</v>
      </c>
      <c r="Z103" s="273">
        <v>1.042</v>
      </c>
      <c r="AA103" s="274">
        <f>ROUND(W103*Z103,2)</f>
        <v>514.75</v>
      </c>
      <c r="AB103" s="275">
        <f>ROUND((P103+Q103)*1.2,2)</f>
        <v>478.24</v>
      </c>
      <c r="AC103" s="276">
        <f>ROUND((AA103/AB103)*100%-100%,4)</f>
        <v>7.6300000000000007E-2</v>
      </c>
      <c r="AD103" s="277">
        <f t="shared" si="41"/>
        <v>36.489712000000004</v>
      </c>
      <c r="AF103" s="235">
        <v>459.096</v>
      </c>
      <c r="AG103" s="106">
        <v>494</v>
      </c>
      <c r="AH103" s="281">
        <f t="shared" si="42"/>
        <v>21</v>
      </c>
      <c r="AI103" s="282">
        <v>4.9299999999999997E-2</v>
      </c>
      <c r="AJ103" s="283">
        <f t="shared" si="43"/>
        <v>36.489712000000004</v>
      </c>
      <c r="AK103" s="284"/>
      <c r="AM103" s="222">
        <v>-2.5100000000000001E-2</v>
      </c>
      <c r="AN103" s="285">
        <f t="shared" si="44"/>
        <v>1.0250999999999999</v>
      </c>
      <c r="AO103" s="285">
        <v>1.06</v>
      </c>
      <c r="AQ103" s="286">
        <f t="shared" si="65"/>
        <v>523.64</v>
      </c>
      <c r="AS103" s="222">
        <v>1.034</v>
      </c>
      <c r="AT103" s="337">
        <v>-2.5100000000000001E-2</v>
      </c>
      <c r="AU103" s="285">
        <f t="shared" si="45"/>
        <v>8.0000000000000071E-3</v>
      </c>
      <c r="AW103" s="288">
        <f t="shared" si="46"/>
        <v>0.1014</v>
      </c>
      <c r="AX103" s="106">
        <v>494</v>
      </c>
      <c r="AY103" s="127" t="b">
        <f t="shared" si="47"/>
        <v>1</v>
      </c>
      <c r="AZ103" s="289">
        <f t="shared" si="48"/>
        <v>-3.0380000000000003</v>
      </c>
      <c r="BC103">
        <f t="shared" si="49"/>
        <v>1.0429999999999999</v>
      </c>
    </row>
    <row r="104" spans="1:55" ht="26.25" customHeight="1" outlineLevel="1" x14ac:dyDescent="0.3">
      <c r="A104" s="264"/>
      <c r="B104" s="264"/>
      <c r="C104" s="265"/>
      <c r="D104" s="239"/>
      <c r="E104" s="239"/>
      <c r="F104" s="168"/>
      <c r="G104" s="266"/>
      <c r="H104" s="168"/>
      <c r="I104" s="168"/>
      <c r="J104" s="295" t="s">
        <v>366</v>
      </c>
      <c r="K104" s="121" t="s">
        <v>335</v>
      </c>
      <c r="L104" s="266" t="str">
        <f>VLOOKUP(K104,[6]материалы!$A$5:$G$31,5, FALSE)</f>
        <v>кг</v>
      </c>
      <c r="M104" s="168">
        <f>VLOOKUP(K104,[6]материалы!$A$5:$G$34,7, FALSE)</f>
        <v>720.83</v>
      </c>
      <c r="N104" s="168">
        <v>5.0000000000000001E-3</v>
      </c>
      <c r="O104" s="168">
        <f>ROUND(M104*N104,2)</f>
        <v>3.6</v>
      </c>
      <c r="P104" s="168"/>
      <c r="Q104" s="168"/>
      <c r="R104" s="268"/>
      <c r="S104" s="268"/>
      <c r="T104" s="268"/>
      <c r="U104" s="269"/>
      <c r="V104" s="336"/>
      <c r="W104" s="271"/>
      <c r="X104" s="272"/>
      <c r="Z104" s="273"/>
      <c r="AA104" s="58"/>
      <c r="AB104" s="275"/>
      <c r="AC104" s="276"/>
      <c r="AD104" s="277"/>
      <c r="AG104" s="106"/>
      <c r="AH104" s="281"/>
      <c r="AI104" s="282"/>
      <c r="AJ104" s="283"/>
      <c r="AK104" s="284"/>
      <c r="AM104" s="222"/>
      <c r="AN104" s="285"/>
      <c r="AO104" s="285"/>
      <c r="AQ104" s="286"/>
      <c r="AS104" s="222"/>
      <c r="AT104" s="337"/>
      <c r="AU104" s="285"/>
      <c r="AW104" s="288"/>
      <c r="AX104" s="106"/>
      <c r="AZ104" s="289"/>
    </row>
    <row r="105" spans="1:55" ht="18.95" customHeight="1" outlineLevel="1" x14ac:dyDescent="0.3">
      <c r="A105" s="264"/>
      <c r="B105" s="264"/>
      <c r="C105" s="265"/>
      <c r="D105" s="239"/>
      <c r="E105" s="239"/>
      <c r="F105" s="168"/>
      <c r="G105" s="266"/>
      <c r="H105" s="168"/>
      <c r="I105" s="168"/>
      <c r="J105" s="168"/>
      <c r="K105" s="296" t="s">
        <v>329</v>
      </c>
      <c r="L105" s="266" t="str">
        <f>VLOOKUP(K105,[6]материалы!$A$5:$G$31,5, FALSE)</f>
        <v>кг</v>
      </c>
      <c r="M105" s="168">
        <f>VLOOKUP(K105,[6]материалы!$A$5:$G$34,7, FALSE)</f>
        <v>79.17</v>
      </c>
      <c r="N105" s="301">
        <v>1E-3</v>
      </c>
      <c r="O105" s="168">
        <f>ROUND(M105*N105,2)</f>
        <v>0.08</v>
      </c>
      <c r="P105" s="168"/>
      <c r="Q105" s="168"/>
      <c r="R105" s="268"/>
      <c r="S105" s="268"/>
      <c r="T105" s="268"/>
      <c r="U105" s="269"/>
      <c r="V105" s="336"/>
      <c r="W105" s="271"/>
      <c r="X105" s="272"/>
      <c r="Z105" s="273"/>
      <c r="AA105" s="58"/>
      <c r="AB105" s="275"/>
      <c r="AC105" s="276"/>
      <c r="AD105" s="277"/>
      <c r="AG105" s="106"/>
      <c r="AH105" s="281"/>
      <c r="AI105" s="282"/>
      <c r="AJ105" s="283"/>
      <c r="AK105" s="284"/>
      <c r="AM105" s="222"/>
      <c r="AN105" s="285"/>
      <c r="AO105" s="285"/>
      <c r="AQ105" s="286"/>
      <c r="AS105" s="222"/>
      <c r="AT105" s="337"/>
      <c r="AU105" s="285"/>
      <c r="AW105" s="288"/>
      <c r="AX105" s="106"/>
      <c r="AZ105" s="289"/>
    </row>
    <row r="106" spans="1:55" ht="21" customHeight="1" outlineLevel="1" x14ac:dyDescent="0.3">
      <c r="A106" s="264"/>
      <c r="B106" s="264"/>
      <c r="C106" s="265"/>
      <c r="D106" s="239"/>
      <c r="E106" s="239"/>
      <c r="F106" s="168"/>
      <c r="G106" s="266"/>
      <c r="H106" s="168"/>
      <c r="I106" s="168"/>
      <c r="J106" s="168"/>
      <c r="K106" s="296" t="s">
        <v>330</v>
      </c>
      <c r="L106" s="266" t="str">
        <f>VLOOKUP(K106,[6]материалы!$A$5:$G$31,5, FALSE)</f>
        <v>кг</v>
      </c>
      <c r="M106" s="168">
        <f>VLOOKUP(K106,[6]материалы!$A$5:$G$34,7, FALSE)</f>
        <v>66.67</v>
      </c>
      <c r="N106" s="266">
        <v>0.01</v>
      </c>
      <c r="O106" s="168">
        <f>ROUND(M106*N106,2)</f>
        <v>0.67</v>
      </c>
      <c r="P106" s="168"/>
      <c r="Q106" s="168"/>
      <c r="R106" s="268"/>
      <c r="S106" s="268"/>
      <c r="T106" s="268"/>
      <c r="U106" s="269"/>
      <c r="V106" s="336"/>
      <c r="W106" s="271"/>
      <c r="X106" s="272"/>
      <c r="Z106" s="273"/>
      <c r="AA106" s="58"/>
      <c r="AB106" s="275"/>
      <c r="AC106" s="276"/>
      <c r="AD106" s="277"/>
      <c r="AG106" s="106"/>
      <c r="AH106" s="281"/>
      <c r="AI106" s="282"/>
      <c r="AJ106" s="283"/>
      <c r="AK106" s="284"/>
      <c r="AM106" s="222"/>
      <c r="AN106" s="285"/>
      <c r="AO106" s="285"/>
      <c r="AQ106" s="286"/>
      <c r="AS106" s="222"/>
      <c r="AT106" s="337"/>
      <c r="AU106" s="285"/>
      <c r="AW106" s="288"/>
      <c r="AX106" s="106"/>
      <c r="AZ106" s="289"/>
    </row>
    <row r="107" spans="1:55" ht="39.75" customHeight="1" x14ac:dyDescent="0.3">
      <c r="A107" s="264" t="s">
        <v>428</v>
      </c>
      <c r="B107" s="660" t="s">
        <v>679</v>
      </c>
      <c r="C107" s="660"/>
      <c r="D107" s="239" t="s">
        <v>30</v>
      </c>
      <c r="E107" s="214"/>
      <c r="F107" s="168"/>
      <c r="G107" s="266"/>
      <c r="H107" s="168"/>
      <c r="I107" s="168"/>
      <c r="J107" s="168"/>
      <c r="K107" s="267"/>
      <c r="L107" s="168"/>
      <c r="M107" s="168"/>
      <c r="N107" s="168"/>
      <c r="O107" s="168"/>
      <c r="P107" s="168"/>
      <c r="Q107" s="168"/>
      <c r="R107" s="268"/>
      <c r="S107" s="268"/>
      <c r="T107" s="268"/>
      <c r="U107" s="269"/>
      <c r="V107" s="336"/>
      <c r="W107" s="271"/>
      <c r="X107" s="272"/>
      <c r="Z107" s="273"/>
      <c r="AA107" s="58"/>
      <c r="AB107" s="275"/>
      <c r="AC107" s="276"/>
      <c r="AD107" s="277"/>
      <c r="AG107" s="106"/>
      <c r="AH107" s="281"/>
      <c r="AI107" s="282"/>
      <c r="AJ107" s="283"/>
      <c r="AK107" s="284"/>
      <c r="AM107" s="222"/>
      <c r="AN107" s="285"/>
      <c r="AO107" s="285"/>
      <c r="AQ107" s="286"/>
      <c r="AS107" s="222"/>
      <c r="AT107" s="337"/>
      <c r="AU107" s="285"/>
      <c r="AW107" s="288"/>
      <c r="AX107" s="106"/>
      <c r="AZ107" s="289"/>
    </row>
    <row r="108" spans="1:55" ht="23.25" customHeight="1" x14ac:dyDescent="0.25">
      <c r="A108" s="647" t="s">
        <v>351</v>
      </c>
      <c r="B108" s="647" t="s">
        <v>169</v>
      </c>
      <c r="C108" s="660" t="s">
        <v>21</v>
      </c>
      <c r="D108" s="649" t="s">
        <v>22</v>
      </c>
      <c r="E108" s="239" t="s">
        <v>166</v>
      </c>
      <c r="F108" s="168">
        <f>VLOOKUP(E108,'[6]условия, ФОТ'!$A$14:$I$32,9, FALSE)</f>
        <v>193.64</v>
      </c>
      <c r="G108" s="266">
        <v>0.68</v>
      </c>
      <c r="H108" s="661">
        <f>ROUND(F108*G108+F109*G109,2)</f>
        <v>254.42</v>
      </c>
      <c r="I108" s="661">
        <f t="shared" ref="I108:I109" si="66">ROUND(H108*$I$5,2)</f>
        <v>76.83</v>
      </c>
      <c r="J108" s="661">
        <f t="shared" ref="J108:J109" si="67">H108+I108</f>
        <v>331.25</v>
      </c>
      <c r="K108" s="669"/>
      <c r="L108" s="661"/>
      <c r="M108" s="661"/>
      <c r="N108" s="661"/>
      <c r="O108" s="661">
        <f>SUM(O110:O116)</f>
        <v>117.25</v>
      </c>
      <c r="P108" s="661">
        <f>J108+O108</f>
        <v>448.5</v>
      </c>
      <c r="Q108" s="661">
        <f t="shared" ref="Q108:Q109" si="68">ROUND(P108*$Q$5,2)</f>
        <v>298.25</v>
      </c>
      <c r="R108" s="665">
        <f>ROUND(T108/1.2,2)</f>
        <v>840.83</v>
      </c>
      <c r="S108" s="665">
        <f t="shared" ref="S108:S109" si="69">ROUND(R108*$S$5,2)</f>
        <v>168.17</v>
      </c>
      <c r="T108" s="665">
        <f>ROUND((P108+Q108)*(1+AC108)*1.2,0)</f>
        <v>1009</v>
      </c>
      <c r="U108" s="666">
        <v>907</v>
      </c>
      <c r="V108" s="336">
        <f t="shared" ref="V108:V258" si="70">T108/U108*100-100</f>
        <v>11.245865490628447</v>
      </c>
      <c r="W108" s="822">
        <v>968</v>
      </c>
      <c r="X108" s="679">
        <f t="shared" si="40"/>
        <v>4.2355371900826526</v>
      </c>
      <c r="Y108" s="231">
        <v>936</v>
      </c>
      <c r="Z108" s="823">
        <v>1.042</v>
      </c>
      <c r="AA108" s="825">
        <f>ROUND(W108*Z108,2)</f>
        <v>1008.66</v>
      </c>
      <c r="AB108" s="826">
        <f>ROUND((P108+Q108)*1.2,2)</f>
        <v>896.1</v>
      </c>
      <c r="AC108" s="814">
        <f>ROUND((AA108/AB108)*100%-100%,4)</f>
        <v>0.12559999999999999</v>
      </c>
      <c r="AD108" s="681">
        <f t="shared" si="41"/>
        <v>112.55015999999999</v>
      </c>
      <c r="AF108" s="235">
        <v>967.82400000000007</v>
      </c>
      <c r="AG108" s="674">
        <v>968</v>
      </c>
      <c r="AH108" s="816">
        <f t="shared" si="42"/>
        <v>41</v>
      </c>
      <c r="AI108" s="817">
        <v>0.1414</v>
      </c>
      <c r="AJ108" s="819">
        <f t="shared" si="43"/>
        <v>112.55015999999999</v>
      </c>
      <c r="AK108" s="284"/>
      <c r="AM108" s="715">
        <v>0.1414</v>
      </c>
      <c r="AN108" s="670">
        <f t="shared" si="44"/>
        <v>0.1414</v>
      </c>
      <c r="AO108" s="670">
        <v>0</v>
      </c>
      <c r="AQ108" s="286"/>
      <c r="AS108" s="715">
        <v>1.034</v>
      </c>
      <c r="AT108" s="717">
        <v>0.1414</v>
      </c>
      <c r="AU108" s="670">
        <f t="shared" si="45"/>
        <v>8.0000000000000071E-3</v>
      </c>
      <c r="AW108" s="672">
        <f t="shared" si="46"/>
        <v>-1.5800000000000008E-2</v>
      </c>
      <c r="AX108" s="674">
        <v>968</v>
      </c>
      <c r="AY108" s="675" t="b">
        <f t="shared" si="47"/>
        <v>1</v>
      </c>
      <c r="AZ108" s="289">
        <f t="shared" si="48"/>
        <v>-3.0179999999999998</v>
      </c>
      <c r="BC108">
        <f t="shared" si="49"/>
        <v>1.042</v>
      </c>
    </row>
    <row r="109" spans="1:55" ht="24" customHeight="1" x14ac:dyDescent="0.25">
      <c r="A109" s="647"/>
      <c r="B109" s="647"/>
      <c r="C109" s="660"/>
      <c r="D109" s="649"/>
      <c r="E109" s="239" t="s">
        <v>162</v>
      </c>
      <c r="F109" s="168">
        <f>VLOOKUP(E109,'[6]условия, ФОТ'!$A$14:$I$32,9, FALSE)</f>
        <v>180.5</v>
      </c>
      <c r="G109" s="266">
        <v>0.68</v>
      </c>
      <c r="H109" s="661"/>
      <c r="I109" s="661">
        <f t="shared" si="66"/>
        <v>0</v>
      </c>
      <c r="J109" s="661">
        <f t="shared" si="67"/>
        <v>0</v>
      </c>
      <c r="K109" s="669"/>
      <c r="L109" s="661"/>
      <c r="M109" s="661"/>
      <c r="N109" s="661"/>
      <c r="O109" s="661"/>
      <c r="P109" s="661"/>
      <c r="Q109" s="661">
        <f t="shared" si="68"/>
        <v>0</v>
      </c>
      <c r="R109" s="665">
        <f t="shared" ref="R109" si="71">ROUND(T109/1.18,2)</f>
        <v>0</v>
      </c>
      <c r="S109" s="665">
        <f t="shared" si="69"/>
        <v>0</v>
      </c>
      <c r="T109" s="665">
        <f>ROUND((P109+Q109)*(1+$R$5)*1.18,0)</f>
        <v>0</v>
      </c>
      <c r="U109" s="827"/>
      <c r="V109" s="336"/>
      <c r="W109" s="822"/>
      <c r="X109" s="679"/>
      <c r="Y109" s="231">
        <v>0</v>
      </c>
      <c r="Z109" s="824"/>
      <c r="AA109" s="825"/>
      <c r="AB109" s="826"/>
      <c r="AC109" s="815"/>
      <c r="AD109" s="682"/>
      <c r="AG109" s="674"/>
      <c r="AH109" s="816"/>
      <c r="AI109" s="818"/>
      <c r="AJ109" s="820"/>
      <c r="AK109" s="284"/>
      <c r="AM109" s="716"/>
      <c r="AN109" s="671"/>
      <c r="AO109" s="671"/>
      <c r="AQ109" s="286"/>
      <c r="AS109" s="716"/>
      <c r="AT109" s="718"/>
      <c r="AU109" s="671"/>
      <c r="AW109" s="673"/>
      <c r="AX109" s="674"/>
      <c r="AY109" s="675"/>
      <c r="AZ109" s="289"/>
    </row>
    <row r="110" spans="1:55" ht="17.25" customHeight="1" outlineLevel="1" x14ac:dyDescent="0.3">
      <c r="A110" s="647"/>
      <c r="B110" s="264"/>
      <c r="C110" s="265"/>
      <c r="D110" s="239"/>
      <c r="E110" s="239"/>
      <c r="F110" s="168"/>
      <c r="G110" s="266"/>
      <c r="H110" s="168"/>
      <c r="I110" s="168"/>
      <c r="J110" s="295" t="s">
        <v>366</v>
      </c>
      <c r="K110" s="296" t="s">
        <v>323</v>
      </c>
      <c r="L110" s="266" t="str">
        <f>VLOOKUP(K110,[6]материалы!$A$5:$G$31,5, FALSE)</f>
        <v>м3</v>
      </c>
      <c r="M110" s="168">
        <f>VLOOKUP(K110,[6]материалы!$A$5:$G$34,7, FALSE)</f>
        <v>486.11</v>
      </c>
      <c r="N110" s="266">
        <v>8.7499999999999994E-2</v>
      </c>
      <c r="O110" s="168">
        <f>ROUND(M110*N110,2)</f>
        <v>42.53</v>
      </c>
      <c r="P110" s="168"/>
      <c r="Q110" s="168"/>
      <c r="R110" s="268"/>
      <c r="S110" s="268"/>
      <c r="T110" s="268"/>
      <c r="U110" s="269"/>
      <c r="V110" s="336"/>
      <c r="W110" s="271"/>
      <c r="X110" s="272"/>
      <c r="Z110" s="273"/>
      <c r="AA110" s="58"/>
      <c r="AB110" s="275"/>
      <c r="AC110" s="276"/>
      <c r="AD110" s="277"/>
      <c r="AG110" s="106"/>
      <c r="AH110" s="281"/>
      <c r="AI110" s="282"/>
      <c r="AJ110" s="283"/>
      <c r="AK110" s="284"/>
      <c r="AM110" s="222"/>
      <c r="AN110" s="285"/>
      <c r="AO110" s="285"/>
      <c r="AQ110" s="286"/>
      <c r="AS110" s="222"/>
      <c r="AT110" s="337"/>
      <c r="AU110" s="285"/>
      <c r="AW110" s="288"/>
      <c r="AX110" s="106"/>
      <c r="AZ110" s="289"/>
    </row>
    <row r="111" spans="1:55" ht="17.25" customHeight="1" outlineLevel="1" x14ac:dyDescent="0.3">
      <c r="A111" s="647"/>
      <c r="B111" s="264"/>
      <c r="C111" s="265"/>
      <c r="D111" s="239"/>
      <c r="E111" s="239"/>
      <c r="F111" s="168"/>
      <c r="G111" s="266"/>
      <c r="H111" s="168"/>
      <c r="I111" s="168"/>
      <c r="J111" s="168"/>
      <c r="K111" s="296" t="s">
        <v>324</v>
      </c>
      <c r="L111" s="266" t="str">
        <f>VLOOKUP(K111,[6]материалы!$A$5:$G$31,5, FALSE)</f>
        <v>м3</v>
      </c>
      <c r="M111" s="168">
        <f>VLOOKUP(K111,[6]материалы!$A$5:$G$34,7, FALSE)</f>
        <v>152.78</v>
      </c>
      <c r="N111" s="168">
        <v>0.15</v>
      </c>
      <c r="O111" s="168">
        <f t="shared" ref="O111:O116" si="72">ROUND(M111*N111,2)</f>
        <v>22.92</v>
      </c>
      <c r="P111" s="168"/>
      <c r="Q111" s="168"/>
      <c r="R111" s="268"/>
      <c r="S111" s="268"/>
      <c r="T111" s="268"/>
      <c r="U111" s="269"/>
      <c r="V111" s="336"/>
      <c r="W111" s="271"/>
      <c r="X111" s="272"/>
      <c r="Z111" s="273"/>
      <c r="AA111" s="58"/>
      <c r="AB111" s="275"/>
      <c r="AC111" s="276"/>
      <c r="AD111" s="277"/>
      <c r="AG111" s="106"/>
      <c r="AH111" s="281"/>
      <c r="AI111" s="282"/>
      <c r="AJ111" s="283"/>
      <c r="AK111" s="284"/>
      <c r="AM111" s="222"/>
      <c r="AN111" s="285"/>
      <c r="AO111" s="285"/>
      <c r="AQ111" s="286"/>
      <c r="AS111" s="222"/>
      <c r="AT111" s="337"/>
      <c r="AU111" s="285"/>
      <c r="AW111" s="288"/>
      <c r="AX111" s="106"/>
      <c r="AZ111" s="289"/>
    </row>
    <row r="112" spans="1:55" ht="42.75" customHeight="1" outlineLevel="1" x14ac:dyDescent="0.3">
      <c r="A112" s="647"/>
      <c r="B112" s="264"/>
      <c r="C112" s="265"/>
      <c r="D112" s="239"/>
      <c r="E112" s="239"/>
      <c r="F112" s="168"/>
      <c r="G112" s="266"/>
      <c r="H112" s="168"/>
      <c r="I112" s="168"/>
      <c r="J112" s="168"/>
      <c r="K112" s="296" t="s">
        <v>341</v>
      </c>
      <c r="L112" s="266" t="str">
        <f>VLOOKUP(K112,[6]материалы!$A$5:$G$31,5, FALSE)</f>
        <v>кг</v>
      </c>
      <c r="M112" s="168">
        <f>VLOOKUP(K112,[6]материалы!$A$5:$G$34,7, FALSE)</f>
        <v>125</v>
      </c>
      <c r="N112" s="168">
        <v>0.1</v>
      </c>
      <c r="O112" s="168">
        <f t="shared" si="72"/>
        <v>12.5</v>
      </c>
      <c r="P112" s="168"/>
      <c r="Q112" s="168"/>
      <c r="R112" s="268"/>
      <c r="S112" s="268"/>
      <c r="T112" s="268"/>
      <c r="U112" s="269"/>
      <c r="V112" s="336"/>
      <c r="W112" s="271"/>
      <c r="X112" s="272"/>
      <c r="Z112" s="273"/>
      <c r="AA112" s="58"/>
      <c r="AB112" s="275"/>
      <c r="AC112" s="276"/>
      <c r="AD112" s="277"/>
      <c r="AG112" s="106"/>
      <c r="AH112" s="281"/>
      <c r="AI112" s="282"/>
      <c r="AJ112" s="283"/>
      <c r="AK112" s="284"/>
      <c r="AM112" s="222"/>
      <c r="AN112" s="285"/>
      <c r="AO112" s="285"/>
      <c r="AQ112" s="286"/>
      <c r="AS112" s="222"/>
      <c r="AT112" s="337"/>
      <c r="AU112" s="285"/>
      <c r="AW112" s="288"/>
      <c r="AX112" s="106"/>
      <c r="AZ112" s="289"/>
    </row>
    <row r="113" spans="1:55" ht="24" customHeight="1" outlineLevel="1" x14ac:dyDescent="0.3">
      <c r="A113" s="647"/>
      <c r="B113" s="264"/>
      <c r="C113" s="265"/>
      <c r="D113" s="239"/>
      <c r="E113" s="239"/>
      <c r="F113" s="168"/>
      <c r="G113" s="266"/>
      <c r="H113" s="168"/>
      <c r="I113" s="168"/>
      <c r="J113" s="168"/>
      <c r="K113" s="296" t="s">
        <v>346</v>
      </c>
      <c r="L113" s="266" t="str">
        <f>VLOOKUP(K113,[6]материалы!$A$5:$G$31,5, FALSE)</f>
        <v>шт.</v>
      </c>
      <c r="M113" s="168">
        <f>VLOOKUP(K113,[6]материалы!$A$5:$G$34,7, FALSE)</f>
        <v>29.17</v>
      </c>
      <c r="N113" s="168">
        <v>1</v>
      </c>
      <c r="O113" s="168">
        <f t="shared" si="72"/>
        <v>29.17</v>
      </c>
      <c r="P113" s="168"/>
      <c r="Q113" s="168"/>
      <c r="R113" s="268"/>
      <c r="S113" s="268"/>
      <c r="T113" s="268"/>
      <c r="U113" s="269"/>
      <c r="V113" s="336"/>
      <c r="W113" s="271"/>
      <c r="X113" s="272"/>
      <c r="Z113" s="273"/>
      <c r="AA113" s="58"/>
      <c r="AB113" s="275"/>
      <c r="AC113" s="276"/>
      <c r="AD113" s="277"/>
      <c r="AG113" s="106"/>
      <c r="AH113" s="281"/>
      <c r="AI113" s="282"/>
      <c r="AJ113" s="283"/>
      <c r="AK113" s="284"/>
      <c r="AM113" s="222"/>
      <c r="AN113" s="285"/>
      <c r="AO113" s="285"/>
      <c r="AQ113" s="286"/>
      <c r="AS113" s="222"/>
      <c r="AT113" s="337"/>
      <c r="AU113" s="285"/>
      <c r="AW113" s="288"/>
      <c r="AX113" s="106"/>
      <c r="AZ113" s="289"/>
    </row>
    <row r="114" spans="1:55" ht="32.25" customHeight="1" outlineLevel="1" x14ac:dyDescent="0.3">
      <c r="A114" s="647"/>
      <c r="B114" s="264"/>
      <c r="C114" s="265"/>
      <c r="D114" s="239"/>
      <c r="E114" s="239"/>
      <c r="F114" s="168"/>
      <c r="G114" s="266"/>
      <c r="H114" s="168"/>
      <c r="I114" s="168"/>
      <c r="J114" s="168"/>
      <c r="K114" s="296" t="s">
        <v>342</v>
      </c>
      <c r="L114" s="266" t="str">
        <f>VLOOKUP(K114,[6]материалы!$A$5:$G$31,5, FALSE)</f>
        <v>шт.</v>
      </c>
      <c r="M114" s="168">
        <f>VLOOKUP(K114,[6]материалы!$A$5:$G$34,7, FALSE)</f>
        <v>37.5</v>
      </c>
      <c r="N114" s="168">
        <v>0.25</v>
      </c>
      <c r="O114" s="168">
        <f t="shared" si="72"/>
        <v>9.3800000000000008</v>
      </c>
      <c r="P114" s="168"/>
      <c r="Q114" s="168"/>
      <c r="R114" s="268"/>
      <c r="S114" s="268"/>
      <c r="T114" s="268"/>
      <c r="U114" s="269"/>
      <c r="V114" s="336"/>
      <c r="W114" s="271"/>
      <c r="X114" s="272"/>
      <c r="Z114" s="273"/>
      <c r="AA114" s="58"/>
      <c r="AB114" s="275"/>
      <c r="AC114" s="276"/>
      <c r="AD114" s="277"/>
      <c r="AG114" s="106"/>
      <c r="AH114" s="281"/>
      <c r="AI114" s="282"/>
      <c r="AJ114" s="283"/>
      <c r="AK114" s="284"/>
      <c r="AM114" s="222"/>
      <c r="AN114" s="285"/>
      <c r="AO114" s="285"/>
      <c r="AQ114" s="286"/>
      <c r="AS114" s="222"/>
      <c r="AT114" s="337"/>
      <c r="AU114" s="285"/>
      <c r="AW114" s="288"/>
      <c r="AX114" s="106"/>
      <c r="AZ114" s="289"/>
    </row>
    <row r="115" spans="1:55" ht="20.25" customHeight="1" outlineLevel="1" x14ac:dyDescent="0.3">
      <c r="A115" s="647"/>
      <c r="B115" s="264"/>
      <c r="C115" s="265"/>
      <c r="D115" s="239"/>
      <c r="E115" s="239"/>
      <c r="F115" s="168"/>
      <c r="G115" s="266"/>
      <c r="H115" s="168"/>
      <c r="I115" s="168"/>
      <c r="J115" s="168"/>
      <c r="K115" s="296" t="s">
        <v>330</v>
      </c>
      <c r="L115" s="266" t="str">
        <f>VLOOKUP(K115,[6]материалы!$A$5:$G$31,5, FALSE)</f>
        <v>кг</v>
      </c>
      <c r="M115" s="168">
        <f>VLOOKUP(K115,[6]материалы!$A$5:$G$34,7, FALSE)</f>
        <v>66.67</v>
      </c>
      <c r="N115" s="266">
        <f>0.01</f>
        <v>0.01</v>
      </c>
      <c r="O115" s="168">
        <f t="shared" si="72"/>
        <v>0.67</v>
      </c>
      <c r="P115" s="168"/>
      <c r="Q115" s="168"/>
      <c r="R115" s="268"/>
      <c r="S115" s="268"/>
      <c r="T115" s="268"/>
      <c r="U115" s="269"/>
      <c r="V115" s="336"/>
      <c r="W115" s="271"/>
      <c r="X115" s="272"/>
      <c r="Z115" s="273"/>
      <c r="AA115" s="58"/>
      <c r="AB115" s="275"/>
      <c r="AC115" s="276"/>
      <c r="AD115" s="277"/>
      <c r="AG115" s="106"/>
      <c r="AH115" s="281"/>
      <c r="AI115" s="282"/>
      <c r="AJ115" s="283"/>
      <c r="AK115" s="284"/>
      <c r="AM115" s="222"/>
      <c r="AN115" s="285"/>
      <c r="AO115" s="285"/>
      <c r="AQ115" s="286"/>
      <c r="AS115" s="222"/>
      <c r="AT115" s="337"/>
      <c r="AU115" s="285"/>
      <c r="AW115" s="288"/>
      <c r="AX115" s="106"/>
      <c r="AZ115" s="289"/>
    </row>
    <row r="116" spans="1:55" ht="16.5" customHeight="1" outlineLevel="1" x14ac:dyDescent="0.3">
      <c r="A116" s="647"/>
      <c r="B116" s="264"/>
      <c r="C116" s="265"/>
      <c r="D116" s="239"/>
      <c r="E116" s="239"/>
      <c r="F116" s="168"/>
      <c r="G116" s="266"/>
      <c r="H116" s="168"/>
      <c r="I116" s="168"/>
      <c r="J116" s="168"/>
      <c r="K116" s="296" t="s">
        <v>329</v>
      </c>
      <c r="L116" s="266" t="str">
        <f>VLOOKUP(K116,[6]материалы!$A$5:$G$31,5, FALSE)</f>
        <v>кг</v>
      </c>
      <c r="M116" s="168">
        <f>VLOOKUP(K116,[6]материалы!$A$5:$G$34,7, FALSE)</f>
        <v>79.17</v>
      </c>
      <c r="N116" s="301">
        <f>0.001</f>
        <v>1E-3</v>
      </c>
      <c r="O116" s="168">
        <f t="shared" si="72"/>
        <v>0.08</v>
      </c>
      <c r="P116" s="168"/>
      <c r="Q116" s="168"/>
      <c r="R116" s="268"/>
      <c r="S116" s="268"/>
      <c r="T116" s="268"/>
      <c r="U116" s="269"/>
      <c r="V116" s="336"/>
      <c r="W116" s="271"/>
      <c r="X116" s="272"/>
      <c r="Z116" s="273"/>
      <c r="AA116" s="58"/>
      <c r="AB116" s="275"/>
      <c r="AC116" s="276"/>
      <c r="AD116" s="277"/>
      <c r="AG116" s="106"/>
      <c r="AH116" s="281"/>
      <c r="AI116" s="282"/>
      <c r="AJ116" s="283"/>
      <c r="AK116" s="284"/>
      <c r="AM116" s="222"/>
      <c r="AN116" s="285"/>
      <c r="AO116" s="285"/>
      <c r="AQ116" s="286"/>
      <c r="AS116" s="222"/>
      <c r="AT116" s="337"/>
      <c r="AU116" s="285"/>
      <c r="AW116" s="288"/>
      <c r="AX116" s="106"/>
      <c r="AZ116" s="289"/>
    </row>
    <row r="117" spans="1:55" s="308" customFormat="1" ht="18" customHeight="1" x14ac:dyDescent="0.25">
      <c r="A117" s="647"/>
      <c r="B117" s="647" t="s">
        <v>344</v>
      </c>
      <c r="C117" s="660" t="s">
        <v>345</v>
      </c>
      <c r="D117" s="649" t="s">
        <v>28</v>
      </c>
      <c r="E117" s="239" t="s">
        <v>166</v>
      </c>
      <c r="F117" s="168">
        <f>VLOOKUP(E117,'[6]условия, ФОТ'!$A$14:$I$32,9, FALSE)</f>
        <v>193.64</v>
      </c>
      <c r="G117" s="266">
        <v>0.2</v>
      </c>
      <c r="H117" s="661">
        <f>ROUND(F117*G117+F118*G118,2)</f>
        <v>74.83</v>
      </c>
      <c r="I117" s="661">
        <f t="shared" ref="I117:I120" si="73">ROUND(H117*$I$5,2)</f>
        <v>22.6</v>
      </c>
      <c r="J117" s="661">
        <f t="shared" ref="J117:J120" si="74">H117+I117</f>
        <v>97.43</v>
      </c>
      <c r="K117" s="669"/>
      <c r="L117" s="661"/>
      <c r="M117" s="661"/>
      <c r="N117" s="661"/>
      <c r="O117" s="661">
        <f>O119</f>
        <v>110.83</v>
      </c>
      <c r="P117" s="661">
        <f>J117+O117</f>
        <v>208.26</v>
      </c>
      <c r="Q117" s="661">
        <f>ROUND(P117*$Q$5,2)</f>
        <v>138.49</v>
      </c>
      <c r="R117" s="665">
        <f>ROUND(T117/1.2,2)</f>
        <v>361.67</v>
      </c>
      <c r="S117" s="665">
        <f>ROUND(R117*$S$5,2)</f>
        <v>72.33</v>
      </c>
      <c r="T117" s="665">
        <f>ROUND((P117+Q117)*(1+AC117)*1.2,0)</f>
        <v>434</v>
      </c>
      <c r="U117" s="705">
        <v>321</v>
      </c>
      <c r="V117" s="345">
        <f t="shared" ref="V117" si="75">T117/U117*100-100</f>
        <v>35.202492211838006</v>
      </c>
      <c r="W117" s="721">
        <v>342</v>
      </c>
      <c r="X117" s="691">
        <f t="shared" si="40"/>
        <v>26.900584795321649</v>
      </c>
      <c r="Y117" s="302">
        <v>331</v>
      </c>
      <c r="Z117" s="837">
        <v>1.268</v>
      </c>
      <c r="AA117" s="839">
        <f>ROUND(W117*Z117,2)</f>
        <v>433.66</v>
      </c>
      <c r="AB117" s="840">
        <f>ROUND((P117+Q117)*1.2,2)</f>
        <v>416.1</v>
      </c>
      <c r="AC117" s="831">
        <f>ROUND((AA117/AB117)*100%-100%,4)</f>
        <v>4.2200000000000001E-2</v>
      </c>
      <c r="AD117" s="693">
        <f t="shared" si="41"/>
        <v>17.559420000000003</v>
      </c>
      <c r="AE117" s="703">
        <v>-0.14360000000000001</v>
      </c>
      <c r="AF117" s="303">
        <v>342.25400000000002</v>
      </c>
      <c r="AG117" s="702">
        <v>342</v>
      </c>
      <c r="AH117" s="833">
        <f t="shared" si="42"/>
        <v>92</v>
      </c>
      <c r="AI117" s="834">
        <v>0.1615</v>
      </c>
      <c r="AJ117" s="819">
        <f t="shared" si="43"/>
        <v>17.559420000000003</v>
      </c>
      <c r="AK117" s="304"/>
      <c r="AM117" s="722">
        <v>0.1615</v>
      </c>
      <c r="AN117" s="698">
        <f t="shared" si="44"/>
        <v>0.1615</v>
      </c>
      <c r="AO117" s="698">
        <v>0</v>
      </c>
      <c r="AQ117" s="323"/>
      <c r="AR117" s="346"/>
      <c r="AS117" s="722">
        <v>1.034</v>
      </c>
      <c r="AT117" s="724">
        <v>0.1615</v>
      </c>
      <c r="AU117" s="698">
        <f t="shared" si="45"/>
        <v>0.23399999999999999</v>
      </c>
      <c r="AW117" s="700">
        <f t="shared" si="46"/>
        <v>-0.1193</v>
      </c>
      <c r="AX117" s="702">
        <v>342</v>
      </c>
      <c r="AY117" s="695" t="b">
        <f t="shared" si="47"/>
        <v>1</v>
      </c>
      <c r="AZ117" s="307">
        <f t="shared" si="48"/>
        <v>-19.931999999999999</v>
      </c>
      <c r="BC117" s="308">
        <f t="shared" si="49"/>
        <v>1.2689999999999999</v>
      </c>
    </row>
    <row r="118" spans="1:55" s="308" customFormat="1" ht="27.95" customHeight="1" x14ac:dyDescent="0.25">
      <c r="A118" s="647"/>
      <c r="B118" s="647"/>
      <c r="C118" s="660"/>
      <c r="D118" s="649"/>
      <c r="E118" s="239" t="s">
        <v>162</v>
      </c>
      <c r="F118" s="168">
        <f>VLOOKUP(E118,'[6]условия, ФОТ'!$A$14:$I$32,9, FALSE)</f>
        <v>180.5</v>
      </c>
      <c r="G118" s="266">
        <v>0.2</v>
      </c>
      <c r="H118" s="661"/>
      <c r="I118" s="661">
        <f t="shared" si="73"/>
        <v>0</v>
      </c>
      <c r="J118" s="661">
        <f t="shared" si="74"/>
        <v>0</v>
      </c>
      <c r="K118" s="669"/>
      <c r="L118" s="661"/>
      <c r="M118" s="661"/>
      <c r="N118" s="661"/>
      <c r="O118" s="661"/>
      <c r="P118" s="661">
        <f t="shared" ref="P118:P120" si="76">J118+O118</f>
        <v>0</v>
      </c>
      <c r="Q118" s="661">
        <f t="shared" ref="Q118:Q120" si="77">ROUND(P118*$Q$5,2)</f>
        <v>0</v>
      </c>
      <c r="R118" s="665">
        <f t="shared" ref="R118" si="78">ROUND(T118/1.18,2)</f>
        <v>0</v>
      </c>
      <c r="S118" s="665">
        <f t="shared" ref="S118" si="79">ROUND(R118*$S$5,2)</f>
        <v>0</v>
      </c>
      <c r="T118" s="665">
        <f>ROUND((P118+Q118)*(1+$R$5)*1.18,0)</f>
        <v>0</v>
      </c>
      <c r="U118" s="830"/>
      <c r="V118" s="345"/>
      <c r="W118" s="721"/>
      <c r="X118" s="691"/>
      <c r="Y118" s="302">
        <v>0</v>
      </c>
      <c r="Z118" s="838"/>
      <c r="AA118" s="839"/>
      <c r="AB118" s="840"/>
      <c r="AC118" s="832"/>
      <c r="AD118" s="694"/>
      <c r="AE118" s="704"/>
      <c r="AF118" s="303"/>
      <c r="AG118" s="702"/>
      <c r="AH118" s="833"/>
      <c r="AI118" s="835"/>
      <c r="AJ118" s="820"/>
      <c r="AK118" s="304"/>
      <c r="AM118" s="723"/>
      <c r="AN118" s="699"/>
      <c r="AO118" s="699"/>
      <c r="AQ118" s="323"/>
      <c r="AR118" s="346"/>
      <c r="AS118" s="723"/>
      <c r="AT118" s="725"/>
      <c r="AU118" s="699"/>
      <c r="AW118" s="701"/>
      <c r="AX118" s="702"/>
      <c r="AY118" s="695"/>
      <c r="AZ118" s="307"/>
    </row>
    <row r="119" spans="1:55" s="308" customFormat="1" ht="31.7" customHeight="1" outlineLevel="1" x14ac:dyDescent="0.3">
      <c r="A119" s="647"/>
      <c r="B119" s="264"/>
      <c r="C119" s="265"/>
      <c r="D119" s="239"/>
      <c r="E119" s="239"/>
      <c r="F119" s="168"/>
      <c r="G119" s="266"/>
      <c r="H119" s="168"/>
      <c r="I119" s="168"/>
      <c r="J119" s="295" t="s">
        <v>366</v>
      </c>
      <c r="K119" s="296" t="s">
        <v>369</v>
      </c>
      <c r="L119" s="266" t="str">
        <f>VLOOKUP(K119,[6]материалы!$A$5:$G$31,5, FALSE)</f>
        <v>м</v>
      </c>
      <c r="M119" s="168">
        <f>VLOOKUP(K119,[6]материалы!$A$5:$G$34,7, FALSE)</f>
        <v>110.83</v>
      </c>
      <c r="N119" s="266">
        <v>1</v>
      </c>
      <c r="O119" s="168">
        <f t="shared" ref="O119" si="80">ROUND(M119*N119,2)</f>
        <v>110.83</v>
      </c>
      <c r="P119" s="168"/>
      <c r="Q119" s="168"/>
      <c r="R119" s="268"/>
      <c r="S119" s="268"/>
      <c r="T119" s="268"/>
      <c r="U119" s="309"/>
      <c r="V119" s="345"/>
      <c r="W119" s="311"/>
      <c r="X119" s="312"/>
      <c r="Y119" s="302"/>
      <c r="Z119" s="313"/>
      <c r="AA119" s="314"/>
      <c r="AB119" s="315"/>
      <c r="AC119" s="316"/>
      <c r="AD119" s="317"/>
      <c r="AE119" s="318"/>
      <c r="AF119" s="303"/>
      <c r="AG119" s="319"/>
      <c r="AH119" s="320"/>
      <c r="AI119" s="321"/>
      <c r="AJ119" s="283"/>
      <c r="AK119" s="304"/>
      <c r="AM119" s="347"/>
      <c r="AN119" s="322"/>
      <c r="AO119" s="322"/>
      <c r="AQ119" s="323"/>
      <c r="AR119" s="346"/>
      <c r="AS119" s="347"/>
      <c r="AT119" s="348"/>
      <c r="AU119" s="322"/>
      <c r="AW119" s="324"/>
      <c r="AX119" s="319"/>
      <c r="AY119" s="325"/>
      <c r="AZ119" s="307"/>
    </row>
    <row r="120" spans="1:55" ht="35.25" customHeight="1" x14ac:dyDescent="0.3">
      <c r="A120" s="647"/>
      <c r="B120" s="264" t="s">
        <v>171</v>
      </c>
      <c r="C120" s="349" t="s">
        <v>353</v>
      </c>
      <c r="D120" s="239" t="s">
        <v>30</v>
      </c>
      <c r="E120" s="239" t="s">
        <v>162</v>
      </c>
      <c r="F120" s="168">
        <f>VLOOKUP(E120,'[6]условия, ФОТ'!$A$14:$I$32,9, FALSE)</f>
        <v>180.5</v>
      </c>
      <c r="G120" s="266">
        <v>1</v>
      </c>
      <c r="H120" s="168">
        <f t="shared" ref="H120" si="81">ROUND(F120*G120,2)</f>
        <v>180.5</v>
      </c>
      <c r="I120" s="168">
        <f t="shared" si="73"/>
        <v>54.51</v>
      </c>
      <c r="J120" s="168">
        <f t="shared" si="74"/>
        <v>235.01</v>
      </c>
      <c r="K120" s="267"/>
      <c r="L120" s="168"/>
      <c r="M120" s="168"/>
      <c r="N120" s="168"/>
      <c r="O120" s="168">
        <f>SUM(O121:O123)</f>
        <v>4.3500000000000005</v>
      </c>
      <c r="P120" s="168">
        <f t="shared" si="76"/>
        <v>239.35999999999999</v>
      </c>
      <c r="Q120" s="168">
        <f t="shared" si="77"/>
        <v>159.16999999999999</v>
      </c>
      <c r="R120" s="268">
        <f>ROUND(T120/1.2,2)</f>
        <v>429.17</v>
      </c>
      <c r="S120" s="268">
        <f>ROUND(R120*$S$5,2)</f>
        <v>85.83</v>
      </c>
      <c r="T120" s="268">
        <f>ROUND((P120+Q120)*(1+AC120)*1.2,0)</f>
        <v>515</v>
      </c>
      <c r="U120" s="269">
        <v>431</v>
      </c>
      <c r="V120" s="336">
        <f t="shared" ref="V120" si="82">T120/U120*100-100</f>
        <v>19.48955916473318</v>
      </c>
      <c r="W120" s="271">
        <v>494</v>
      </c>
      <c r="X120" s="272">
        <f t="shared" si="40"/>
        <v>4.2510121457489873</v>
      </c>
      <c r="Y120" s="231">
        <v>444</v>
      </c>
      <c r="Z120" s="273">
        <v>1.042</v>
      </c>
      <c r="AA120" s="274">
        <f>ROUND(W120*Z120,2)</f>
        <v>514.75</v>
      </c>
      <c r="AB120" s="275">
        <f>ROUND((P120+Q120)*1.2,2)</f>
        <v>478.24</v>
      </c>
      <c r="AC120" s="276">
        <f>ROUND((AA120/AB120)*100%-100%,4)</f>
        <v>7.6300000000000007E-2</v>
      </c>
      <c r="AD120" s="277">
        <f t="shared" si="41"/>
        <v>36.489712000000004</v>
      </c>
      <c r="AF120" s="235">
        <v>459.096</v>
      </c>
      <c r="AG120" s="106">
        <v>494</v>
      </c>
      <c r="AH120" s="281">
        <f t="shared" si="42"/>
        <v>21</v>
      </c>
      <c r="AI120" s="282">
        <v>4.9299999999999997E-2</v>
      </c>
      <c r="AJ120" s="283">
        <f t="shared" si="43"/>
        <v>36.489712000000004</v>
      </c>
      <c r="AK120" s="284"/>
      <c r="AM120" s="222">
        <v>-2.5100000000000001E-2</v>
      </c>
      <c r="AN120" s="285">
        <f t="shared" si="44"/>
        <v>1.0250999999999999</v>
      </c>
      <c r="AO120" s="285">
        <v>1.06</v>
      </c>
      <c r="AQ120" s="286">
        <f t="shared" si="65"/>
        <v>523.64</v>
      </c>
      <c r="AS120" s="222">
        <v>1.034</v>
      </c>
      <c r="AT120" s="337">
        <v>-2.5100000000000001E-2</v>
      </c>
      <c r="AU120" s="285">
        <f t="shared" si="45"/>
        <v>8.0000000000000071E-3</v>
      </c>
      <c r="AW120" s="288">
        <f t="shared" si="46"/>
        <v>0.1014</v>
      </c>
      <c r="AX120" s="106">
        <v>494</v>
      </c>
      <c r="AY120" s="127" t="b">
        <f t="shared" si="47"/>
        <v>1</v>
      </c>
      <c r="AZ120" s="289">
        <f t="shared" si="48"/>
        <v>-3.0380000000000003</v>
      </c>
      <c r="BC120">
        <f t="shared" si="49"/>
        <v>1.0429999999999999</v>
      </c>
    </row>
    <row r="121" spans="1:55" ht="24.75" customHeight="1" outlineLevel="1" x14ac:dyDescent="0.3">
      <c r="A121" s="647"/>
      <c r="B121" s="264"/>
      <c r="C121" s="349"/>
      <c r="D121" s="239"/>
      <c r="E121" s="239"/>
      <c r="F121" s="168"/>
      <c r="G121" s="266"/>
      <c r="H121" s="168"/>
      <c r="I121" s="168"/>
      <c r="J121" s="295" t="s">
        <v>366</v>
      </c>
      <c r="K121" s="121" t="s">
        <v>335</v>
      </c>
      <c r="L121" s="266" t="str">
        <f>VLOOKUP(K121,[6]материалы!$A$5:$G$31,5, FALSE)</f>
        <v>кг</v>
      </c>
      <c r="M121" s="168">
        <f>VLOOKUP(K121,[6]материалы!$A$5:$G$34,7, FALSE)</f>
        <v>720.83</v>
      </c>
      <c r="N121" s="168">
        <v>5.0000000000000001E-3</v>
      </c>
      <c r="O121" s="168">
        <f>ROUND(M121*N121,2)</f>
        <v>3.6</v>
      </c>
      <c r="P121" s="168"/>
      <c r="Q121" s="168"/>
      <c r="R121" s="268"/>
      <c r="S121" s="268"/>
      <c r="T121" s="268"/>
      <c r="U121" s="269"/>
      <c r="V121" s="336"/>
      <c r="W121" s="271"/>
      <c r="X121" s="272"/>
      <c r="Z121" s="273"/>
      <c r="AA121" s="58"/>
      <c r="AB121" s="275"/>
      <c r="AC121" s="276"/>
      <c r="AD121" s="277"/>
      <c r="AG121" s="106"/>
      <c r="AH121" s="281"/>
      <c r="AI121" s="282"/>
      <c r="AJ121" s="283"/>
      <c r="AK121" s="284"/>
      <c r="AM121" s="222"/>
      <c r="AN121" s="285"/>
      <c r="AO121" s="285"/>
      <c r="AQ121" s="286"/>
      <c r="AS121" s="222"/>
      <c r="AT121" s="337"/>
      <c r="AU121" s="285"/>
      <c r="AW121" s="288"/>
      <c r="AX121" s="106"/>
      <c r="AZ121" s="289"/>
    </row>
    <row r="122" spans="1:55" ht="19.5" customHeight="1" outlineLevel="1" x14ac:dyDescent="0.3">
      <c r="A122" s="647"/>
      <c r="B122" s="264"/>
      <c r="C122" s="349"/>
      <c r="D122" s="239"/>
      <c r="E122" s="239"/>
      <c r="F122" s="168"/>
      <c r="G122" s="266"/>
      <c r="H122" s="168"/>
      <c r="I122" s="168"/>
      <c r="J122" s="168"/>
      <c r="K122" s="296" t="s">
        <v>329</v>
      </c>
      <c r="L122" s="266" t="str">
        <f>VLOOKUP(K122,[6]материалы!$A$5:$G$31,5, FALSE)</f>
        <v>кг</v>
      </c>
      <c r="M122" s="168">
        <f>VLOOKUP(K122,[6]материалы!$A$5:$G$34,7, FALSE)</f>
        <v>79.17</v>
      </c>
      <c r="N122" s="301">
        <v>1E-3</v>
      </c>
      <c r="O122" s="168">
        <f>ROUND(M122*N122,2)</f>
        <v>0.08</v>
      </c>
      <c r="P122" s="168"/>
      <c r="Q122" s="168"/>
      <c r="R122" s="268"/>
      <c r="S122" s="268"/>
      <c r="T122" s="268"/>
      <c r="U122" s="269"/>
      <c r="V122" s="336"/>
      <c r="W122" s="271"/>
      <c r="X122" s="272"/>
      <c r="Z122" s="273"/>
      <c r="AA122" s="58"/>
      <c r="AB122" s="275"/>
      <c r="AC122" s="276"/>
      <c r="AD122" s="277"/>
      <c r="AG122" s="106"/>
      <c r="AH122" s="281"/>
      <c r="AI122" s="282"/>
      <c r="AJ122" s="283"/>
      <c r="AK122" s="284"/>
      <c r="AM122" s="222"/>
      <c r="AN122" s="285"/>
      <c r="AO122" s="285"/>
      <c r="AQ122" s="286"/>
      <c r="AS122" s="222"/>
      <c r="AT122" s="337"/>
      <c r="AU122" s="285"/>
      <c r="AW122" s="288"/>
      <c r="AX122" s="106"/>
      <c r="AZ122" s="289"/>
    </row>
    <row r="123" spans="1:55" ht="16.5" customHeight="1" outlineLevel="1" x14ac:dyDescent="0.3">
      <c r="A123" s="647"/>
      <c r="B123" s="264"/>
      <c r="C123" s="349"/>
      <c r="D123" s="239"/>
      <c r="E123" s="239"/>
      <c r="F123" s="168"/>
      <c r="G123" s="266"/>
      <c r="H123" s="168"/>
      <c r="I123" s="168"/>
      <c r="J123" s="168"/>
      <c r="K123" s="296" t="s">
        <v>330</v>
      </c>
      <c r="L123" s="266" t="str">
        <f>VLOOKUP(K123,[6]материалы!$A$5:$G$31,5, FALSE)</f>
        <v>кг</v>
      </c>
      <c r="M123" s="168">
        <f>VLOOKUP(K123,[6]материалы!$A$5:$G$34,7, FALSE)</f>
        <v>66.67</v>
      </c>
      <c r="N123" s="266">
        <v>0.01</v>
      </c>
      <c r="O123" s="168">
        <f>ROUND(M123*N123,2)</f>
        <v>0.67</v>
      </c>
      <c r="P123" s="168"/>
      <c r="Q123" s="168"/>
      <c r="R123" s="268"/>
      <c r="S123" s="268"/>
      <c r="T123" s="268"/>
      <c r="U123" s="269"/>
      <c r="V123" s="336"/>
      <c r="W123" s="271"/>
      <c r="X123" s="272"/>
      <c r="Z123" s="273"/>
      <c r="AA123" s="58"/>
      <c r="AB123" s="275"/>
      <c r="AC123" s="276"/>
      <c r="AD123" s="277"/>
      <c r="AG123" s="106"/>
      <c r="AH123" s="281"/>
      <c r="AI123" s="282"/>
      <c r="AJ123" s="283"/>
      <c r="AK123" s="284"/>
      <c r="AM123" s="222"/>
      <c r="AN123" s="285"/>
      <c r="AO123" s="285"/>
      <c r="AQ123" s="286"/>
      <c r="AS123" s="222"/>
      <c r="AT123" s="337"/>
      <c r="AU123" s="285"/>
      <c r="AW123" s="288"/>
      <c r="AX123" s="106"/>
      <c r="AZ123" s="289"/>
    </row>
    <row r="124" spans="1:55" ht="46.5" customHeight="1" x14ac:dyDescent="0.3">
      <c r="A124" s="647"/>
      <c r="B124" s="264" t="s">
        <v>170</v>
      </c>
      <c r="C124" s="265" t="s">
        <v>559</v>
      </c>
      <c r="D124" s="239" t="s">
        <v>26</v>
      </c>
      <c r="E124" s="239" t="s">
        <v>162</v>
      </c>
      <c r="F124" s="168">
        <f>VLOOKUP(E124,'[6]условия, ФОТ'!$A$14:$I$32,9, FALSE)</f>
        <v>180.5</v>
      </c>
      <c r="G124" s="266">
        <v>0.25</v>
      </c>
      <c r="H124" s="168">
        <f t="shared" ref="H124" si="83">ROUND(F124*G124,2)</f>
        <v>45.13</v>
      </c>
      <c r="I124" s="168">
        <f t="shared" ref="I124" si="84">ROUND(H124*$I$5,2)</f>
        <v>13.63</v>
      </c>
      <c r="J124" s="168">
        <f t="shared" ref="J124" si="85">H124+I124</f>
        <v>58.760000000000005</v>
      </c>
      <c r="K124" s="267"/>
      <c r="L124" s="168"/>
      <c r="M124" s="168"/>
      <c r="N124" s="168"/>
      <c r="O124" s="168">
        <f>SUM(O125:O127)</f>
        <v>4.3500000000000005</v>
      </c>
      <c r="P124" s="168">
        <f t="shared" ref="P124" si="86">J124+O124</f>
        <v>63.110000000000007</v>
      </c>
      <c r="Q124" s="168">
        <f t="shared" ref="Q124" si="87">ROUND(P124*$Q$5,2)</f>
        <v>41.97</v>
      </c>
      <c r="R124" s="268">
        <f>ROUND(T124/1.2,2)</f>
        <v>112.5</v>
      </c>
      <c r="S124" s="268">
        <f>ROUND(R124*$S$5,2)</f>
        <v>22.5</v>
      </c>
      <c r="T124" s="268">
        <f>ROUND((P124+Q124)*(1+AC124)*1.2,0)</f>
        <v>135</v>
      </c>
      <c r="U124" s="269">
        <v>115</v>
      </c>
      <c r="V124" s="336">
        <f t="shared" ref="V124" si="88">T124/U124*100-100</f>
        <v>17.391304347826093</v>
      </c>
      <c r="W124" s="271">
        <v>130</v>
      </c>
      <c r="X124" s="272">
        <f t="shared" si="40"/>
        <v>3.8461538461538538</v>
      </c>
      <c r="Y124" s="231">
        <v>119</v>
      </c>
      <c r="Z124" s="273">
        <v>1.042</v>
      </c>
      <c r="AA124" s="274">
        <f>ROUND(W124*Z124,2)</f>
        <v>135.46</v>
      </c>
      <c r="AB124" s="275">
        <f>ROUND((P124+Q124)*1.2,2)</f>
        <v>126.1</v>
      </c>
      <c r="AC124" s="276">
        <f>ROUND((AA124/AB124)*100%-100%,4)</f>
        <v>7.4200000000000002E-2</v>
      </c>
      <c r="AD124" s="277">
        <f t="shared" si="41"/>
        <v>9.3566199999999995</v>
      </c>
      <c r="AF124" s="235">
        <v>123.04600000000001</v>
      </c>
      <c r="AG124" s="106">
        <v>130</v>
      </c>
      <c r="AH124" s="281">
        <f t="shared" si="42"/>
        <v>5</v>
      </c>
      <c r="AI124" s="282">
        <v>4.9200000000000001E-2</v>
      </c>
      <c r="AJ124" s="283">
        <f t="shared" si="43"/>
        <v>9.3566199999999995</v>
      </c>
      <c r="AK124" s="284"/>
      <c r="AM124" s="222">
        <v>-9.2999999999999992E-3</v>
      </c>
      <c r="AN124" s="285">
        <f t="shared" si="44"/>
        <v>1.0093000000000001</v>
      </c>
      <c r="AO124" s="285">
        <v>1.044</v>
      </c>
      <c r="AQ124" s="286">
        <f t="shared" si="65"/>
        <v>135.72</v>
      </c>
      <c r="AS124" s="222">
        <v>1.034</v>
      </c>
      <c r="AT124" s="337">
        <v>-9.2999999999999992E-3</v>
      </c>
      <c r="AU124" s="285">
        <f t="shared" si="45"/>
        <v>8.0000000000000071E-3</v>
      </c>
      <c r="AW124" s="288">
        <f t="shared" si="46"/>
        <v>8.3500000000000005E-2</v>
      </c>
      <c r="AX124" s="106">
        <v>130</v>
      </c>
      <c r="AY124" s="127" t="b">
        <f t="shared" si="47"/>
        <v>1</v>
      </c>
      <c r="AZ124" s="289">
        <f t="shared" si="48"/>
        <v>-2.6580000000000004</v>
      </c>
      <c r="BC124">
        <f t="shared" si="49"/>
        <v>1.038</v>
      </c>
    </row>
    <row r="125" spans="1:55" ht="30.75" customHeight="1" x14ac:dyDescent="0.3">
      <c r="A125" s="712" t="s">
        <v>576</v>
      </c>
      <c r="B125" s="712"/>
      <c r="C125" s="712"/>
      <c r="D125" s="712"/>
      <c r="E125" s="712"/>
      <c r="F125" s="712"/>
      <c r="G125" s="712"/>
      <c r="H125" s="712"/>
      <c r="I125" s="712"/>
      <c r="J125" s="295" t="s">
        <v>366</v>
      </c>
      <c r="K125" s="121" t="s">
        <v>335</v>
      </c>
      <c r="L125" s="266" t="str">
        <f>VLOOKUP(K125,[6]материалы!$A$5:$G$31,5, FALSE)</f>
        <v>кг</v>
      </c>
      <c r="M125" s="168">
        <f>VLOOKUP(K125,[6]материалы!$A$5:$G$34,7, FALSE)</f>
        <v>720.83</v>
      </c>
      <c r="N125" s="168">
        <v>5.0000000000000001E-3</v>
      </c>
      <c r="O125" s="168">
        <f t="shared" ref="O125:O127" si="89">ROUND(M125*N125,2)</f>
        <v>3.6</v>
      </c>
      <c r="P125" s="168"/>
      <c r="Q125" s="168"/>
      <c r="R125" s="268"/>
      <c r="S125" s="268"/>
      <c r="T125" s="268"/>
      <c r="U125" s="269"/>
      <c r="V125" s="336"/>
      <c r="W125" s="271"/>
      <c r="X125" s="272"/>
      <c r="Z125" s="273"/>
      <c r="AA125" s="58"/>
      <c r="AB125" s="275"/>
      <c r="AC125" s="276"/>
      <c r="AD125" s="277"/>
      <c r="AG125" s="106"/>
      <c r="AH125" s="281"/>
      <c r="AI125" s="282"/>
      <c r="AJ125" s="283"/>
      <c r="AK125" s="284"/>
      <c r="AM125" s="222"/>
      <c r="AN125" s="285"/>
      <c r="AO125" s="285"/>
      <c r="AQ125" s="286"/>
      <c r="AS125" s="222"/>
      <c r="AT125" s="337"/>
      <c r="AU125" s="285"/>
      <c r="AW125" s="288"/>
      <c r="AX125" s="106"/>
      <c r="AZ125" s="289"/>
    </row>
    <row r="126" spans="1:55" ht="24.75" customHeight="1" x14ac:dyDescent="0.3">
      <c r="A126" s="712"/>
      <c r="B126" s="712"/>
      <c r="C126" s="712"/>
      <c r="D126" s="712"/>
      <c r="E126" s="712"/>
      <c r="F126" s="712"/>
      <c r="G126" s="712"/>
      <c r="H126" s="712"/>
      <c r="I126" s="712"/>
      <c r="J126" s="168"/>
      <c r="K126" s="296" t="s">
        <v>329</v>
      </c>
      <c r="L126" s="266" t="str">
        <f>VLOOKUP(K126,[6]материалы!$A$5:$G$31,5, FALSE)</f>
        <v>кг</v>
      </c>
      <c r="M126" s="168">
        <f>VLOOKUP(K126,[6]материалы!$A$5:$G$34,7, FALSE)</f>
        <v>79.17</v>
      </c>
      <c r="N126" s="301">
        <f>0.001</f>
        <v>1E-3</v>
      </c>
      <c r="O126" s="168">
        <f t="shared" si="89"/>
        <v>0.08</v>
      </c>
      <c r="P126" s="168"/>
      <c r="Q126" s="168"/>
      <c r="R126" s="268"/>
      <c r="S126" s="268"/>
      <c r="T126" s="268"/>
      <c r="U126" s="269"/>
      <c r="V126" s="336"/>
      <c r="W126" s="271"/>
      <c r="X126" s="272"/>
      <c r="Z126" s="273"/>
      <c r="AA126" s="58"/>
      <c r="AB126" s="275"/>
      <c r="AC126" s="276"/>
      <c r="AD126" s="277"/>
      <c r="AG126" s="106"/>
      <c r="AH126" s="281"/>
      <c r="AI126" s="282"/>
      <c r="AJ126" s="283"/>
      <c r="AK126" s="284"/>
      <c r="AM126" s="222"/>
      <c r="AN126" s="285"/>
      <c r="AO126" s="285"/>
      <c r="AQ126" s="286"/>
      <c r="AS126" s="222"/>
      <c r="AT126" s="337"/>
      <c r="AU126" s="285"/>
      <c r="AW126" s="288"/>
      <c r="AX126" s="106"/>
      <c r="AZ126" s="289"/>
    </row>
    <row r="127" spans="1:55" ht="27" customHeight="1" x14ac:dyDescent="0.3">
      <c r="A127" s="712"/>
      <c r="B127" s="712"/>
      <c r="C127" s="712"/>
      <c r="D127" s="712"/>
      <c r="E127" s="712"/>
      <c r="F127" s="712"/>
      <c r="G127" s="712"/>
      <c r="H127" s="712"/>
      <c r="I127" s="712"/>
      <c r="J127" s="168"/>
      <c r="K127" s="296" t="s">
        <v>330</v>
      </c>
      <c r="L127" s="266" t="str">
        <f>VLOOKUP(K127,[6]материалы!$A$5:$G$31,5, FALSE)</f>
        <v>кг</v>
      </c>
      <c r="M127" s="168">
        <f>VLOOKUP(K127,[6]материалы!$A$5:$G$34,7, FALSE)</f>
        <v>66.67</v>
      </c>
      <c r="N127" s="266">
        <f>0.01</f>
        <v>0.01</v>
      </c>
      <c r="O127" s="168">
        <f t="shared" si="89"/>
        <v>0.67</v>
      </c>
      <c r="P127" s="168"/>
      <c r="Q127" s="168"/>
      <c r="R127" s="268"/>
      <c r="S127" s="268"/>
      <c r="T127" s="268"/>
      <c r="U127" s="269"/>
      <c r="V127" s="336"/>
      <c r="W127" s="271"/>
      <c r="X127" s="272"/>
      <c r="Z127" s="273"/>
      <c r="AA127" s="58"/>
      <c r="AB127" s="275"/>
      <c r="AC127" s="276"/>
      <c r="AD127" s="277"/>
      <c r="AG127" s="106"/>
      <c r="AH127" s="281"/>
      <c r="AI127" s="282"/>
      <c r="AJ127" s="283"/>
      <c r="AK127" s="284"/>
      <c r="AM127" s="222"/>
      <c r="AN127" s="285"/>
      <c r="AO127" s="285"/>
      <c r="AQ127" s="286"/>
      <c r="AS127" s="222"/>
      <c r="AT127" s="337"/>
      <c r="AU127" s="285"/>
      <c r="AW127" s="288"/>
      <c r="AX127" s="106"/>
      <c r="AZ127" s="289"/>
    </row>
    <row r="128" spans="1:55" ht="44.25" customHeight="1" x14ac:dyDescent="0.3">
      <c r="A128" s="264" t="s">
        <v>429</v>
      </c>
      <c r="B128" s="660" t="s">
        <v>680</v>
      </c>
      <c r="C128" s="660"/>
      <c r="D128" s="239" t="s">
        <v>30</v>
      </c>
      <c r="E128" s="239"/>
      <c r="F128" s="168"/>
      <c r="G128" s="266"/>
      <c r="H128" s="168"/>
      <c r="I128" s="168"/>
      <c r="J128" s="168"/>
      <c r="K128" s="267"/>
      <c r="L128" s="168"/>
      <c r="M128" s="168"/>
      <c r="N128" s="168"/>
      <c r="O128" s="168"/>
      <c r="P128" s="168"/>
      <c r="Q128" s="168"/>
      <c r="R128" s="268"/>
      <c r="S128" s="268"/>
      <c r="T128" s="268"/>
      <c r="U128" s="269"/>
      <c r="V128" s="336"/>
      <c r="W128" s="271"/>
      <c r="X128" s="272"/>
      <c r="Z128" s="273"/>
      <c r="AA128" s="58"/>
      <c r="AB128" s="275"/>
      <c r="AC128" s="276"/>
      <c r="AD128" s="277"/>
      <c r="AG128" s="106"/>
      <c r="AH128" s="281"/>
      <c r="AI128" s="282"/>
      <c r="AJ128" s="283"/>
      <c r="AK128" s="284"/>
      <c r="AM128" s="222"/>
      <c r="AN128" s="285"/>
      <c r="AO128" s="285"/>
      <c r="AQ128" s="286"/>
      <c r="AS128" s="222"/>
      <c r="AT128" s="337"/>
      <c r="AU128" s="285"/>
      <c r="AW128" s="288"/>
      <c r="AX128" s="106"/>
      <c r="AZ128" s="289"/>
    </row>
    <row r="129" spans="1:55" s="223" customFormat="1" ht="29.25" customHeight="1" x14ac:dyDescent="0.3">
      <c r="A129" s="647" t="s">
        <v>351</v>
      </c>
      <c r="B129" s="264" t="s">
        <v>355</v>
      </c>
      <c r="C129" s="349" t="s">
        <v>354</v>
      </c>
      <c r="D129" s="239" t="s">
        <v>356</v>
      </c>
      <c r="E129" s="168" t="s">
        <v>161</v>
      </c>
      <c r="F129" s="168">
        <f>VLOOKUP(E129,'[6]условия, ФОТ'!$A$14:$I$32,9, FALSE)</f>
        <v>180.5</v>
      </c>
      <c r="G129" s="266">
        <v>3</v>
      </c>
      <c r="H129" s="168">
        <f t="shared" ref="H129" si="90">ROUND(F129*G129,2)</f>
        <v>541.5</v>
      </c>
      <c r="I129" s="168">
        <f t="shared" ref="I129:I141" si="91">ROUND(H129*$I$5,2)</f>
        <v>163.53</v>
      </c>
      <c r="J129" s="168">
        <f t="shared" ref="J129:J141" si="92">H129+I129</f>
        <v>705.03</v>
      </c>
      <c r="K129" s="267"/>
      <c r="L129" s="168"/>
      <c r="M129" s="168"/>
      <c r="N129" s="168"/>
      <c r="O129" s="168"/>
      <c r="P129" s="168">
        <f t="shared" ref="P129" si="93">J129+O129</f>
        <v>705.03</v>
      </c>
      <c r="Q129" s="168">
        <f t="shared" ref="Q129:Q141" si="94">ROUND(P129*$Q$5,2)</f>
        <v>468.84</v>
      </c>
      <c r="R129" s="268">
        <f>ROUND(T129/1.2,2)</f>
        <v>1302.5</v>
      </c>
      <c r="S129" s="268">
        <f>ROUND(R129*$S$5,2)</f>
        <v>260.5</v>
      </c>
      <c r="T129" s="268">
        <f>ROUND((P129+Q129)*(1+AC129)*1.2,0)</f>
        <v>1563</v>
      </c>
      <c r="U129" s="269">
        <v>186</v>
      </c>
      <c r="V129" s="336">
        <f t="shared" ref="V129:V130" si="95">T129/U129*100-100</f>
        <v>740.32258064516122</v>
      </c>
      <c r="W129" s="350">
        <v>1500</v>
      </c>
      <c r="X129" s="351">
        <f t="shared" si="40"/>
        <v>4.2000000000000028</v>
      </c>
      <c r="Y129" s="231">
        <v>192</v>
      </c>
      <c r="Z129" s="273">
        <v>1.042</v>
      </c>
      <c r="AA129" s="352">
        <f>ROUND(W129*Z129,2)</f>
        <v>1563</v>
      </c>
      <c r="AB129" s="353">
        <f>ROUND((P129+Q129)*1.2,2)</f>
        <v>1408.64</v>
      </c>
      <c r="AC129" s="276">
        <f>ROUND((AA129/AB129)*100%-100%,4)</f>
        <v>0.1096</v>
      </c>
      <c r="AD129" s="354">
        <f t="shared" si="41"/>
        <v>154.38694400000003</v>
      </c>
      <c r="AE129" s="355"/>
      <c r="AF129" s="356">
        <v>198.52800000000002</v>
      </c>
      <c r="AG129" s="357">
        <v>1500</v>
      </c>
      <c r="AH129" s="358">
        <f t="shared" si="42"/>
        <v>63</v>
      </c>
      <c r="AI129" s="359">
        <v>8.1500000000000003E-2</v>
      </c>
      <c r="AJ129" s="283">
        <f t="shared" si="43"/>
        <v>154.38694400000003</v>
      </c>
      <c r="AK129" s="360"/>
      <c r="AM129" s="361">
        <v>-0.14119999999999999</v>
      </c>
      <c r="AN129" s="362">
        <f t="shared" si="44"/>
        <v>1.1412</v>
      </c>
      <c r="AO129" s="362">
        <v>1.18</v>
      </c>
      <c r="AQ129" s="363">
        <f t="shared" si="65"/>
        <v>1770</v>
      </c>
      <c r="AR129" s="237"/>
      <c r="AS129" s="361">
        <v>1.034</v>
      </c>
      <c r="AT129" s="18">
        <v>-0.14119999999999999</v>
      </c>
      <c r="AU129" s="362">
        <f t="shared" si="45"/>
        <v>8.0000000000000071E-3</v>
      </c>
      <c r="AW129" s="364">
        <f t="shared" si="46"/>
        <v>0.25080000000000002</v>
      </c>
      <c r="AX129" s="357">
        <v>1500</v>
      </c>
      <c r="AY129" s="127" t="b">
        <f t="shared" si="47"/>
        <v>1</v>
      </c>
      <c r="AZ129" s="289">
        <f t="shared" si="48"/>
        <v>-2.9880000000000004</v>
      </c>
      <c r="BA129"/>
      <c r="BB129"/>
      <c r="BC129">
        <f t="shared" si="49"/>
        <v>1.042</v>
      </c>
    </row>
    <row r="130" spans="1:55" s="308" customFormat="1" ht="24.75" customHeight="1" x14ac:dyDescent="0.25">
      <c r="A130" s="647"/>
      <c r="B130" s="647" t="s">
        <v>344</v>
      </c>
      <c r="C130" s="660" t="s">
        <v>345</v>
      </c>
      <c r="D130" s="649" t="s">
        <v>28</v>
      </c>
      <c r="E130" s="239" t="s">
        <v>166</v>
      </c>
      <c r="F130" s="168">
        <f>VLOOKUP(E130,'[6]условия, ФОТ'!$A$14:$I$32,9, FALSE)</f>
        <v>193.64</v>
      </c>
      <c r="G130" s="266">
        <v>0.2</v>
      </c>
      <c r="H130" s="661">
        <f>ROUND(F130*G130+F131*G131,2)</f>
        <v>74.83</v>
      </c>
      <c r="I130" s="661">
        <f t="shared" si="91"/>
        <v>22.6</v>
      </c>
      <c r="J130" s="661">
        <f t="shared" si="92"/>
        <v>97.43</v>
      </c>
      <c r="K130" s="669"/>
      <c r="L130" s="661"/>
      <c r="M130" s="661"/>
      <c r="N130" s="661"/>
      <c r="O130" s="661">
        <f>O132</f>
        <v>110.83</v>
      </c>
      <c r="P130" s="661">
        <f>J130+O130</f>
        <v>208.26</v>
      </c>
      <c r="Q130" s="661">
        <f t="shared" si="94"/>
        <v>138.49</v>
      </c>
      <c r="R130" s="665">
        <f>ROUND(T130/1.2,2)</f>
        <v>361.67</v>
      </c>
      <c r="S130" s="665">
        <f t="shared" ref="S130:S133" si="96">ROUND(R130*$S$5,2)</f>
        <v>72.33</v>
      </c>
      <c r="T130" s="665">
        <f>ROUND((P130+Q130)*(1+AC130)*1.2,0)</f>
        <v>434</v>
      </c>
      <c r="U130" s="705">
        <v>321</v>
      </c>
      <c r="V130" s="345">
        <f t="shared" si="95"/>
        <v>35.202492211838006</v>
      </c>
      <c r="W130" s="721">
        <v>342</v>
      </c>
      <c r="X130" s="691">
        <f t="shared" si="40"/>
        <v>26.900584795321649</v>
      </c>
      <c r="Y130" s="302">
        <v>331</v>
      </c>
      <c r="Z130" s="837">
        <v>1.268</v>
      </c>
      <c r="AA130" s="839">
        <f>ROUND(W130*Z130,2)</f>
        <v>433.66</v>
      </c>
      <c r="AB130" s="840">
        <f>ROUND((P130+Q130)*1.2,2)</f>
        <v>416.1</v>
      </c>
      <c r="AC130" s="831">
        <f>ROUND((AA130/AB130)*100%-100%,4)</f>
        <v>4.2200000000000001E-2</v>
      </c>
      <c r="AD130" s="693">
        <f t="shared" si="41"/>
        <v>17.559420000000003</v>
      </c>
      <c r="AE130" s="703">
        <v>-0.14360000000000001</v>
      </c>
      <c r="AF130" s="303">
        <v>342.25400000000002</v>
      </c>
      <c r="AG130" s="702">
        <v>342</v>
      </c>
      <c r="AH130" s="833">
        <f t="shared" si="42"/>
        <v>92</v>
      </c>
      <c r="AI130" s="834">
        <v>0.1615</v>
      </c>
      <c r="AJ130" s="819">
        <f t="shared" si="43"/>
        <v>17.559420000000003</v>
      </c>
      <c r="AK130" s="304"/>
      <c r="AM130" s="722">
        <v>0.1615</v>
      </c>
      <c r="AN130" s="698">
        <f t="shared" si="44"/>
        <v>0.1615</v>
      </c>
      <c r="AO130" s="698">
        <v>0</v>
      </c>
      <c r="AQ130" s="323"/>
      <c r="AR130" s="346"/>
      <c r="AS130" s="347">
        <v>1.034</v>
      </c>
      <c r="AT130" s="348">
        <v>0.1615</v>
      </c>
      <c r="AU130" s="322">
        <f t="shared" si="45"/>
        <v>0.23399999999999999</v>
      </c>
      <c r="AW130" s="324">
        <f t="shared" si="46"/>
        <v>-0.1193</v>
      </c>
      <c r="AX130" s="702">
        <v>342</v>
      </c>
      <c r="AY130" s="695" t="b">
        <f t="shared" si="47"/>
        <v>1</v>
      </c>
      <c r="AZ130" s="307">
        <f t="shared" si="48"/>
        <v>-19.931999999999999</v>
      </c>
      <c r="BC130" s="308">
        <f t="shared" si="49"/>
        <v>1.2689999999999999</v>
      </c>
    </row>
    <row r="131" spans="1:55" s="308" customFormat="1" ht="22.7" customHeight="1" x14ac:dyDescent="0.25">
      <c r="A131" s="647"/>
      <c r="B131" s="647"/>
      <c r="C131" s="660"/>
      <c r="D131" s="649"/>
      <c r="E131" s="239" t="s">
        <v>162</v>
      </c>
      <c r="F131" s="168">
        <f>VLOOKUP(E131,'[6]условия, ФОТ'!$A$14:$I$32,9, FALSE)</f>
        <v>180.5</v>
      </c>
      <c r="G131" s="266">
        <v>0.2</v>
      </c>
      <c r="H131" s="661"/>
      <c r="I131" s="661"/>
      <c r="J131" s="661"/>
      <c r="K131" s="669"/>
      <c r="L131" s="661"/>
      <c r="M131" s="661"/>
      <c r="N131" s="661"/>
      <c r="O131" s="661"/>
      <c r="P131" s="661"/>
      <c r="Q131" s="661">
        <f t="shared" si="94"/>
        <v>0</v>
      </c>
      <c r="R131" s="665">
        <f t="shared" ref="R131" si="97">ROUND(T131/1.18,2)</f>
        <v>0</v>
      </c>
      <c r="S131" s="665">
        <f t="shared" si="96"/>
        <v>0</v>
      </c>
      <c r="T131" s="665">
        <f>ROUND((P131+Q131)*(1+$R$5)*1.18,0)</f>
        <v>0</v>
      </c>
      <c r="U131" s="830"/>
      <c r="V131" s="345"/>
      <c r="W131" s="721"/>
      <c r="X131" s="691"/>
      <c r="Y131" s="302">
        <v>0</v>
      </c>
      <c r="Z131" s="838"/>
      <c r="AA131" s="839"/>
      <c r="AB131" s="840"/>
      <c r="AC131" s="832"/>
      <c r="AD131" s="694"/>
      <c r="AE131" s="704"/>
      <c r="AF131" s="303"/>
      <c r="AG131" s="702"/>
      <c r="AH131" s="833"/>
      <c r="AI131" s="835"/>
      <c r="AJ131" s="820"/>
      <c r="AK131" s="304"/>
      <c r="AM131" s="723"/>
      <c r="AN131" s="699"/>
      <c r="AO131" s="699"/>
      <c r="AQ131" s="323"/>
      <c r="AR131" s="346"/>
      <c r="AS131" s="347"/>
      <c r="AT131" s="348"/>
      <c r="AU131" s="322"/>
      <c r="AW131" s="324"/>
      <c r="AX131" s="702"/>
      <c r="AY131" s="695"/>
      <c r="AZ131" s="307"/>
    </row>
    <row r="132" spans="1:55" s="308" customFormat="1" ht="27" customHeight="1" outlineLevel="1" x14ac:dyDescent="0.3">
      <c r="A132" s="647"/>
      <c r="B132" s="264"/>
      <c r="C132" s="265"/>
      <c r="D132" s="239"/>
      <c r="E132" s="239"/>
      <c r="F132" s="168"/>
      <c r="G132" s="266"/>
      <c r="H132" s="168"/>
      <c r="I132" s="168"/>
      <c r="J132" s="295" t="s">
        <v>366</v>
      </c>
      <c r="K132" s="296" t="s">
        <v>369</v>
      </c>
      <c r="L132" s="266" t="str">
        <f>VLOOKUP(K132,[6]материалы!$A$5:$G$31,5, FALSE)</f>
        <v>м</v>
      </c>
      <c r="M132" s="168">
        <f>VLOOKUP(K132,[6]материалы!$A$5:$G$34,7, FALSE)</f>
        <v>110.83</v>
      </c>
      <c r="N132" s="266">
        <v>1</v>
      </c>
      <c r="O132" s="168">
        <f t="shared" ref="O132" si="98">ROUND(M132*N132,2)</f>
        <v>110.83</v>
      </c>
      <c r="P132" s="168"/>
      <c r="Q132" s="168"/>
      <c r="R132" s="268"/>
      <c r="S132" s="268"/>
      <c r="T132" s="268"/>
      <c r="U132" s="309"/>
      <c r="V132" s="345"/>
      <c r="W132" s="311"/>
      <c r="X132" s="312"/>
      <c r="Y132" s="302"/>
      <c r="Z132" s="313"/>
      <c r="AA132" s="314"/>
      <c r="AB132" s="315"/>
      <c r="AC132" s="316"/>
      <c r="AD132" s="317"/>
      <c r="AE132" s="318"/>
      <c r="AF132" s="303"/>
      <c r="AG132" s="319"/>
      <c r="AH132" s="320"/>
      <c r="AI132" s="321"/>
      <c r="AJ132" s="283"/>
      <c r="AK132" s="304"/>
      <c r="AM132" s="347"/>
      <c r="AN132" s="322"/>
      <c r="AO132" s="322"/>
      <c r="AQ132" s="323"/>
      <c r="AR132" s="346"/>
      <c r="AS132" s="347"/>
      <c r="AT132" s="348"/>
      <c r="AU132" s="322"/>
      <c r="AW132" s="324"/>
      <c r="AX132" s="319"/>
      <c r="AY132" s="325"/>
      <c r="AZ132" s="307"/>
    </row>
    <row r="133" spans="1:55" ht="46.5" customHeight="1" x14ac:dyDescent="0.3">
      <c r="A133" s="647"/>
      <c r="B133" s="264" t="s">
        <v>169</v>
      </c>
      <c r="C133" s="349" t="s">
        <v>365</v>
      </c>
      <c r="D133" s="239" t="s">
        <v>22</v>
      </c>
      <c r="E133" s="239" t="s">
        <v>162</v>
      </c>
      <c r="F133" s="168">
        <f>VLOOKUP(E133,'[6]условия, ФОТ'!$A$14:$I$32,9, FALSE)</f>
        <v>180.5</v>
      </c>
      <c r="G133" s="301">
        <f>G20</f>
        <v>0.47599999999999998</v>
      </c>
      <c r="H133" s="168">
        <f t="shared" ref="H133" si="99">ROUND(F133*G133,2)</f>
        <v>85.92</v>
      </c>
      <c r="I133" s="168">
        <f t="shared" ref="I133" si="100">ROUND(H133*$I$5,2)</f>
        <v>25.95</v>
      </c>
      <c r="J133" s="168">
        <f t="shared" ref="J133" si="101">H133+I133</f>
        <v>111.87</v>
      </c>
      <c r="K133" s="267"/>
      <c r="L133" s="168"/>
      <c r="M133" s="168"/>
      <c r="N133" s="168"/>
      <c r="O133" s="168">
        <f>SUM(O134:O139)</f>
        <v>88.08</v>
      </c>
      <c r="P133" s="168">
        <f t="shared" ref="P133:P141" si="102">J133+O133</f>
        <v>199.95</v>
      </c>
      <c r="Q133" s="168">
        <f t="shared" si="94"/>
        <v>132.97</v>
      </c>
      <c r="R133" s="268">
        <f>ROUND(T133/1.2,2)</f>
        <v>346.67</v>
      </c>
      <c r="S133" s="268">
        <f t="shared" si="96"/>
        <v>69.33</v>
      </c>
      <c r="T133" s="268">
        <f>ROUND((P133+Q133)*(1+AC133)*1.2,0)</f>
        <v>416</v>
      </c>
      <c r="U133" s="269">
        <v>338</v>
      </c>
      <c r="V133" s="336">
        <f t="shared" ref="V133" si="103">T133/U133*100-100</f>
        <v>23.07692307692308</v>
      </c>
      <c r="W133" s="271">
        <v>361</v>
      </c>
      <c r="X133" s="272">
        <f t="shared" si="40"/>
        <v>15.23545706371192</v>
      </c>
      <c r="Y133" s="231">
        <v>349</v>
      </c>
      <c r="Z133" s="273">
        <v>1.153</v>
      </c>
      <c r="AA133" s="274">
        <f>ROUND(W133*Z133,2)</f>
        <v>416.23</v>
      </c>
      <c r="AB133" s="275">
        <f>ROUND((P133+Q133)*1.2,2)</f>
        <v>399.5</v>
      </c>
      <c r="AC133" s="365">
        <f>ROUND((AA133/AB133)*100%-100%,4)</f>
        <v>4.19E-2</v>
      </c>
      <c r="AD133" s="277">
        <f t="shared" si="41"/>
        <v>16.739049999999999</v>
      </c>
      <c r="AE133" s="366">
        <v>-5.8400000000000001E-2</v>
      </c>
      <c r="AF133" s="235">
        <v>360.86599999999999</v>
      </c>
      <c r="AG133" s="106">
        <v>361</v>
      </c>
      <c r="AH133" s="281">
        <f t="shared" si="42"/>
        <v>55</v>
      </c>
      <c r="AI133" s="282">
        <v>7.5600000000000001E-2</v>
      </c>
      <c r="AJ133" s="283">
        <f t="shared" si="43"/>
        <v>16.739049999999999</v>
      </c>
      <c r="AK133" s="284"/>
      <c r="AM133" s="222">
        <v>7.5600000000000001E-2</v>
      </c>
      <c r="AN133" s="285">
        <f t="shared" si="44"/>
        <v>7.5600000000000001E-2</v>
      </c>
      <c r="AO133" s="285">
        <v>0</v>
      </c>
      <c r="AQ133" s="286"/>
      <c r="AS133" s="222">
        <v>1.034</v>
      </c>
      <c r="AT133" s="337">
        <v>7.5600000000000001E-2</v>
      </c>
      <c r="AU133" s="285">
        <f t="shared" si="45"/>
        <v>0.11899999999999999</v>
      </c>
      <c r="AW133" s="288">
        <f t="shared" si="46"/>
        <v>-3.3700000000000001E-2</v>
      </c>
      <c r="AX133" s="106">
        <v>361</v>
      </c>
      <c r="AY133" s="127" t="b">
        <f t="shared" si="47"/>
        <v>1</v>
      </c>
      <c r="AZ133" s="289">
        <f t="shared" si="48"/>
        <v>-12.067</v>
      </c>
      <c r="BC133">
        <f t="shared" si="49"/>
        <v>1.1519999999999999</v>
      </c>
    </row>
    <row r="134" spans="1:55" ht="25.5" customHeight="1" outlineLevel="1" x14ac:dyDescent="0.3">
      <c r="A134" s="647"/>
      <c r="B134" s="264"/>
      <c r="C134" s="349"/>
      <c r="D134" s="239"/>
      <c r="E134" s="239"/>
      <c r="F134" s="168"/>
      <c r="G134" s="301"/>
      <c r="H134" s="168"/>
      <c r="I134" s="168"/>
      <c r="J134" s="295" t="s">
        <v>366</v>
      </c>
      <c r="K134" s="296" t="s">
        <v>323</v>
      </c>
      <c r="L134" s="266" t="str">
        <f>VLOOKUP(K134,[6]материалы!$A$5:$G$31,5, FALSE)</f>
        <v>м3</v>
      </c>
      <c r="M134" s="168">
        <f>VLOOKUP(K134,[6]материалы!$A$5:$G$34,7, FALSE)</f>
        <v>486.11</v>
      </c>
      <c r="N134" s="266">
        <v>8.7499999999999994E-2</v>
      </c>
      <c r="O134" s="168">
        <f>ROUND(M134*N134,2)</f>
        <v>42.53</v>
      </c>
      <c r="P134" s="168"/>
      <c r="Q134" s="168"/>
      <c r="R134" s="268"/>
      <c r="S134" s="268"/>
      <c r="T134" s="268"/>
      <c r="U134" s="269"/>
      <c r="V134" s="336"/>
      <c r="W134" s="271"/>
      <c r="X134" s="272"/>
      <c r="Z134" s="273"/>
      <c r="AA134" s="58"/>
      <c r="AB134" s="275"/>
      <c r="AC134" s="276"/>
      <c r="AD134" s="277"/>
      <c r="AG134" s="106"/>
      <c r="AH134" s="281"/>
      <c r="AI134" s="282"/>
      <c r="AJ134" s="283"/>
      <c r="AK134" s="284"/>
      <c r="AM134" s="222"/>
      <c r="AN134" s="285"/>
      <c r="AO134" s="285"/>
      <c r="AQ134" s="286"/>
      <c r="AS134" s="222"/>
      <c r="AT134" s="337"/>
      <c r="AU134" s="285"/>
      <c r="AW134" s="288"/>
      <c r="AX134" s="106"/>
      <c r="AZ134" s="289"/>
    </row>
    <row r="135" spans="1:55" ht="17.25" customHeight="1" outlineLevel="1" x14ac:dyDescent="0.3">
      <c r="A135" s="647"/>
      <c r="B135" s="264"/>
      <c r="C135" s="349"/>
      <c r="D135" s="239"/>
      <c r="E135" s="239"/>
      <c r="F135" s="168"/>
      <c r="G135" s="301"/>
      <c r="H135" s="168"/>
      <c r="I135" s="168"/>
      <c r="J135" s="168"/>
      <c r="K135" s="296" t="s">
        <v>324</v>
      </c>
      <c r="L135" s="266" t="str">
        <f>VLOOKUP(K135,[6]материалы!$A$5:$G$31,5, FALSE)</f>
        <v>м3</v>
      </c>
      <c r="M135" s="168">
        <f>VLOOKUP(K135,[6]материалы!$A$5:$G$34,7, FALSE)</f>
        <v>152.78</v>
      </c>
      <c r="N135" s="168">
        <v>0.15</v>
      </c>
      <c r="O135" s="168">
        <f t="shared" ref="O135:O139" si="104">ROUND(M135*N135,2)</f>
        <v>22.92</v>
      </c>
      <c r="P135" s="168"/>
      <c r="Q135" s="168"/>
      <c r="R135" s="268"/>
      <c r="S135" s="268"/>
      <c r="T135" s="268"/>
      <c r="U135" s="269"/>
      <c r="V135" s="336"/>
      <c r="W135" s="271"/>
      <c r="X135" s="272"/>
      <c r="Z135" s="273"/>
      <c r="AA135" s="58"/>
      <c r="AB135" s="275"/>
      <c r="AC135" s="276"/>
      <c r="AD135" s="277"/>
      <c r="AG135" s="106"/>
      <c r="AH135" s="281"/>
      <c r="AI135" s="282"/>
      <c r="AJ135" s="283"/>
      <c r="AK135" s="284"/>
      <c r="AM135" s="222"/>
      <c r="AN135" s="285"/>
      <c r="AO135" s="285"/>
      <c r="AQ135" s="286"/>
      <c r="AS135" s="222"/>
      <c r="AT135" s="337"/>
      <c r="AU135" s="285"/>
      <c r="AW135" s="288"/>
      <c r="AX135" s="106"/>
      <c r="AZ135" s="289"/>
    </row>
    <row r="136" spans="1:55" ht="41.25" customHeight="1" outlineLevel="1" x14ac:dyDescent="0.3">
      <c r="A136" s="647"/>
      <c r="B136" s="264"/>
      <c r="C136" s="349"/>
      <c r="D136" s="239"/>
      <c r="E136" s="239"/>
      <c r="F136" s="168"/>
      <c r="G136" s="301"/>
      <c r="H136" s="168"/>
      <c r="I136" s="168"/>
      <c r="J136" s="168"/>
      <c r="K136" s="296" t="s">
        <v>341</v>
      </c>
      <c r="L136" s="266" t="str">
        <f>VLOOKUP(K136,[6]материалы!$A$5:$G$31,5, FALSE)</f>
        <v>кг</v>
      </c>
      <c r="M136" s="168">
        <f>VLOOKUP(K136,[6]материалы!$A$5:$G$34,7, FALSE)</f>
        <v>125</v>
      </c>
      <c r="N136" s="168">
        <v>0.1</v>
      </c>
      <c r="O136" s="168">
        <f t="shared" si="104"/>
        <v>12.5</v>
      </c>
      <c r="P136" s="168"/>
      <c r="Q136" s="168"/>
      <c r="R136" s="268"/>
      <c r="S136" s="268"/>
      <c r="T136" s="268"/>
      <c r="U136" s="269"/>
      <c r="V136" s="336"/>
      <c r="W136" s="271"/>
      <c r="X136" s="272"/>
      <c r="Z136" s="273"/>
      <c r="AA136" s="58"/>
      <c r="AB136" s="275"/>
      <c r="AC136" s="276"/>
      <c r="AD136" s="277"/>
      <c r="AG136" s="106"/>
      <c r="AH136" s="281"/>
      <c r="AI136" s="282"/>
      <c r="AJ136" s="283"/>
      <c r="AK136" s="284"/>
      <c r="AM136" s="222"/>
      <c r="AN136" s="285"/>
      <c r="AO136" s="285"/>
      <c r="AQ136" s="286"/>
      <c r="AS136" s="222"/>
      <c r="AT136" s="337"/>
      <c r="AU136" s="285"/>
      <c r="AW136" s="288"/>
      <c r="AX136" s="106"/>
      <c r="AZ136" s="289"/>
    </row>
    <row r="137" spans="1:55" ht="38.25" customHeight="1" outlineLevel="1" x14ac:dyDescent="0.3">
      <c r="A137" s="647"/>
      <c r="B137" s="264"/>
      <c r="C137" s="349"/>
      <c r="D137" s="239"/>
      <c r="E137" s="239"/>
      <c r="F137" s="168"/>
      <c r="G137" s="301"/>
      <c r="H137" s="168"/>
      <c r="I137" s="168"/>
      <c r="J137" s="168"/>
      <c r="K137" s="296" t="s">
        <v>342</v>
      </c>
      <c r="L137" s="266" t="str">
        <f>VLOOKUP(K137,[6]материалы!$A$5:$G$31,5, FALSE)</f>
        <v>шт.</v>
      </c>
      <c r="M137" s="168">
        <f>VLOOKUP(K137,[6]материалы!$A$5:$G$34,7, FALSE)</f>
        <v>37.5</v>
      </c>
      <c r="N137" s="168">
        <v>0.25</v>
      </c>
      <c r="O137" s="168">
        <f t="shared" si="104"/>
        <v>9.3800000000000008</v>
      </c>
      <c r="P137" s="168"/>
      <c r="Q137" s="168"/>
      <c r="R137" s="268"/>
      <c r="S137" s="268"/>
      <c r="T137" s="268"/>
      <c r="U137" s="269"/>
      <c r="V137" s="336"/>
      <c r="W137" s="271"/>
      <c r="X137" s="272"/>
      <c r="Z137" s="273"/>
      <c r="AA137" s="58"/>
      <c r="AB137" s="275"/>
      <c r="AC137" s="276"/>
      <c r="AD137" s="277"/>
      <c r="AG137" s="106"/>
      <c r="AH137" s="281"/>
      <c r="AI137" s="282"/>
      <c r="AJ137" s="283"/>
      <c r="AK137" s="284"/>
      <c r="AM137" s="222"/>
      <c r="AN137" s="285"/>
      <c r="AO137" s="285"/>
      <c r="AQ137" s="286"/>
      <c r="AS137" s="222"/>
      <c r="AT137" s="337"/>
      <c r="AU137" s="285"/>
      <c r="AW137" s="288"/>
      <c r="AX137" s="106"/>
      <c r="AZ137" s="289"/>
    </row>
    <row r="138" spans="1:55" ht="15.75" customHeight="1" outlineLevel="1" x14ac:dyDescent="0.3">
      <c r="A138" s="647"/>
      <c r="B138" s="264"/>
      <c r="C138" s="349"/>
      <c r="D138" s="239"/>
      <c r="E138" s="239"/>
      <c r="F138" s="168"/>
      <c r="G138" s="301"/>
      <c r="H138" s="168"/>
      <c r="I138" s="168"/>
      <c r="J138" s="168"/>
      <c r="K138" s="296" t="s">
        <v>329</v>
      </c>
      <c r="L138" s="266" t="str">
        <f>VLOOKUP(K138,[6]материалы!$A$5:$G$31,5, FALSE)</f>
        <v>кг</v>
      </c>
      <c r="M138" s="168">
        <f>VLOOKUP(K138,[6]материалы!$A$5:$G$34,7, FALSE)</f>
        <v>79.17</v>
      </c>
      <c r="N138" s="301">
        <f>0.001</f>
        <v>1E-3</v>
      </c>
      <c r="O138" s="168">
        <f t="shared" si="104"/>
        <v>0.08</v>
      </c>
      <c r="P138" s="168"/>
      <c r="Q138" s="168"/>
      <c r="R138" s="268"/>
      <c r="S138" s="268"/>
      <c r="T138" s="268"/>
      <c r="U138" s="269"/>
      <c r="V138" s="336"/>
      <c r="W138" s="271"/>
      <c r="X138" s="272"/>
      <c r="Z138" s="273"/>
      <c r="AA138" s="58"/>
      <c r="AB138" s="275"/>
      <c r="AC138" s="276"/>
      <c r="AD138" s="277"/>
      <c r="AG138" s="106"/>
      <c r="AH138" s="281"/>
      <c r="AI138" s="282"/>
      <c r="AJ138" s="283"/>
      <c r="AK138" s="284"/>
      <c r="AM138" s="222"/>
      <c r="AN138" s="285"/>
      <c r="AO138" s="285"/>
      <c r="AQ138" s="286"/>
      <c r="AS138" s="222"/>
      <c r="AT138" s="337"/>
      <c r="AU138" s="285"/>
      <c r="AW138" s="288"/>
      <c r="AX138" s="106"/>
      <c r="AZ138" s="289"/>
    </row>
    <row r="139" spans="1:55" ht="21" customHeight="1" outlineLevel="1" x14ac:dyDescent="0.3">
      <c r="A139" s="647"/>
      <c r="B139" s="264"/>
      <c r="C139" s="349"/>
      <c r="D139" s="239"/>
      <c r="E139" s="239"/>
      <c r="F139" s="168"/>
      <c r="G139" s="301"/>
      <c r="H139" s="168"/>
      <c r="I139" s="168"/>
      <c r="J139" s="168"/>
      <c r="K139" s="296" t="s">
        <v>330</v>
      </c>
      <c r="L139" s="266" t="str">
        <f>VLOOKUP(K139,[6]материалы!$A$5:$G$31,5, FALSE)</f>
        <v>кг</v>
      </c>
      <c r="M139" s="168">
        <f>VLOOKUP(K139,[6]материалы!$A$5:$G$34,7, FALSE)</f>
        <v>66.67</v>
      </c>
      <c r="N139" s="266">
        <f>0.01</f>
        <v>0.01</v>
      </c>
      <c r="O139" s="168">
        <f t="shared" si="104"/>
        <v>0.67</v>
      </c>
      <c r="P139" s="168"/>
      <c r="Q139" s="168"/>
      <c r="R139" s="268"/>
      <c r="S139" s="268"/>
      <c r="T139" s="268"/>
      <c r="U139" s="269"/>
      <c r="V139" s="336"/>
      <c r="W139" s="271"/>
      <c r="X139" s="272"/>
      <c r="Z139" s="273"/>
      <c r="AA139" s="58"/>
      <c r="AB139" s="275"/>
      <c r="AC139" s="276"/>
      <c r="AD139" s="277"/>
      <c r="AG139" s="106"/>
      <c r="AH139" s="281"/>
      <c r="AI139" s="282"/>
      <c r="AJ139" s="283"/>
      <c r="AK139" s="284"/>
      <c r="AM139" s="222"/>
      <c r="AN139" s="285"/>
      <c r="AO139" s="285"/>
      <c r="AQ139" s="286"/>
      <c r="AS139" s="222"/>
      <c r="AT139" s="337"/>
      <c r="AU139" s="285"/>
      <c r="AW139" s="288"/>
      <c r="AX139" s="106"/>
      <c r="AZ139" s="289"/>
    </row>
    <row r="140" spans="1:55" ht="33" customHeight="1" x14ac:dyDescent="0.3">
      <c r="A140" s="647"/>
      <c r="B140" s="264" t="s">
        <v>171</v>
      </c>
      <c r="C140" s="349" t="s">
        <v>353</v>
      </c>
      <c r="D140" s="239" t="s">
        <v>30</v>
      </c>
      <c r="E140" s="239" t="s">
        <v>161</v>
      </c>
      <c r="F140" s="168">
        <f>VLOOKUP(E140,'[6]условия, ФОТ'!$A$14:$I$32,9, FALSE)</f>
        <v>180.5</v>
      </c>
      <c r="G140" s="266">
        <v>1</v>
      </c>
      <c r="H140" s="168">
        <f t="shared" ref="H140:H141" si="105">ROUND(F140*G140,2)</f>
        <v>180.5</v>
      </c>
      <c r="I140" s="168">
        <f t="shared" ref="I140" si="106">ROUND(H140*$I$5,2)</f>
        <v>54.51</v>
      </c>
      <c r="J140" s="168">
        <f t="shared" ref="J140" si="107">H140+I140</f>
        <v>235.01</v>
      </c>
      <c r="K140" s="267"/>
      <c r="L140" s="168"/>
      <c r="M140" s="168"/>
      <c r="N140" s="168"/>
      <c r="O140" s="168"/>
      <c r="P140" s="168">
        <f t="shared" ref="P140" si="108">J140+O140</f>
        <v>235.01</v>
      </c>
      <c r="Q140" s="168">
        <f t="shared" ref="Q140" si="109">ROUND(P140*$Q$5,2)</f>
        <v>156.28</v>
      </c>
      <c r="R140" s="268">
        <f>ROUND(T140/1.2,2)</f>
        <v>420.83</v>
      </c>
      <c r="S140" s="268">
        <f t="shared" ref="S140" si="110">ROUND(R140*$S$5,2)</f>
        <v>84.17</v>
      </c>
      <c r="T140" s="268">
        <f>ROUND((P140+Q140)*(1+AC140)*1.2,0)</f>
        <v>505</v>
      </c>
      <c r="U140" s="269">
        <v>372</v>
      </c>
      <c r="V140" s="336">
        <f t="shared" ref="V140:V141" si="111">T140/U140*100-100</f>
        <v>35.752688172043008</v>
      </c>
      <c r="W140" s="271">
        <v>485</v>
      </c>
      <c r="X140" s="272">
        <f t="shared" ref="X140:X199" si="112">T140/W140*100-100</f>
        <v>4.1237113402061993</v>
      </c>
      <c r="Y140" s="231">
        <v>383</v>
      </c>
      <c r="Z140" s="273">
        <v>1.042</v>
      </c>
      <c r="AA140" s="274">
        <f>ROUND(W140*Z140,2)</f>
        <v>505.37</v>
      </c>
      <c r="AB140" s="275">
        <f>ROUND((P140+Q140)*1.2,2)</f>
        <v>469.55</v>
      </c>
      <c r="AC140" s="276">
        <f>ROUND((AA140/AB140)*100%-100%,4)</f>
        <v>7.6300000000000007E-2</v>
      </c>
      <c r="AD140" s="277">
        <f t="shared" ref="AD140:AD199" si="113">AB140*AC140</f>
        <v>35.826665000000006</v>
      </c>
      <c r="AF140" s="235">
        <v>396.02199999999999</v>
      </c>
      <c r="AG140" s="106">
        <v>485</v>
      </c>
      <c r="AH140" s="281">
        <f t="shared" ref="AH140:AH199" si="114">T140-AG140</f>
        <v>20</v>
      </c>
      <c r="AI140" s="282">
        <v>4.9599999999999998E-2</v>
      </c>
      <c r="AJ140" s="283">
        <f t="shared" ref="AJ140:AJ199" si="115">AB140*AC140</f>
        <v>35.826665000000006</v>
      </c>
      <c r="AK140" s="284"/>
      <c r="AM140" s="222">
        <v>-0.1434</v>
      </c>
      <c r="AN140" s="285">
        <f t="shared" ref="AN140:AN199" si="116">IF(AM140&lt;0,-AM140+1,AM140)</f>
        <v>1.1434</v>
      </c>
      <c r="AO140" s="285">
        <v>1.1819999999999999</v>
      </c>
      <c r="AQ140" s="286">
        <f t="shared" si="65"/>
        <v>573.27</v>
      </c>
      <c r="AS140" s="222">
        <v>1.034</v>
      </c>
      <c r="AT140" s="337">
        <v>-0.1434</v>
      </c>
      <c r="AU140" s="285">
        <f t="shared" ref="AU140:AU199" si="117">Z140-AS140</f>
        <v>8.0000000000000071E-3</v>
      </c>
      <c r="AW140" s="288">
        <f t="shared" ref="AW140:AW199" si="118">AC140-AT140</f>
        <v>0.21970000000000001</v>
      </c>
      <c r="AX140" s="106">
        <v>485</v>
      </c>
      <c r="AY140" s="127" t="b">
        <f t="shared" ref="AY140:AY199" si="119">W140=AX140</f>
        <v>1</v>
      </c>
      <c r="AZ140" s="289">
        <f t="shared" ref="AZ140:AZ199" si="120">ROUND(W140/T140*100-100,2)+Z140</f>
        <v>-2.9180000000000001</v>
      </c>
      <c r="BC140">
        <f t="shared" ref="BC140:BC199" si="121">ROUND(T140/W140,3)</f>
        <v>1.0409999999999999</v>
      </c>
    </row>
    <row r="141" spans="1:55" ht="48.75" customHeight="1" x14ac:dyDescent="0.3">
      <c r="A141" s="647"/>
      <c r="B141" s="264" t="s">
        <v>170</v>
      </c>
      <c r="C141" s="265" t="s">
        <v>559</v>
      </c>
      <c r="D141" s="239" t="s">
        <v>26</v>
      </c>
      <c r="E141" s="239" t="s">
        <v>162</v>
      </c>
      <c r="F141" s="168">
        <f>VLOOKUP(E141,'[6]условия, ФОТ'!$A$14:$I$32,9, FALSE)</f>
        <v>180.5</v>
      </c>
      <c r="G141" s="266">
        <v>0.25</v>
      </c>
      <c r="H141" s="168">
        <f t="shared" si="105"/>
        <v>45.13</v>
      </c>
      <c r="I141" s="168">
        <f t="shared" si="91"/>
        <v>13.63</v>
      </c>
      <c r="J141" s="168">
        <f t="shared" si="92"/>
        <v>58.760000000000005</v>
      </c>
      <c r="K141" s="267"/>
      <c r="L141" s="168"/>
      <c r="M141" s="168"/>
      <c r="N141" s="168"/>
      <c r="O141" s="168">
        <f>SUM(O142:O144)</f>
        <v>4.3500000000000005</v>
      </c>
      <c r="P141" s="168">
        <f t="shared" si="102"/>
        <v>63.110000000000007</v>
      </c>
      <c r="Q141" s="168">
        <f t="shared" si="94"/>
        <v>41.97</v>
      </c>
      <c r="R141" s="268">
        <f>ROUND(T141/1.2,2)</f>
        <v>112.5</v>
      </c>
      <c r="S141" s="268">
        <f>ROUND(R141*$S$5,2)</f>
        <v>22.5</v>
      </c>
      <c r="T141" s="268">
        <f>ROUND((P141+Q141)*(1+AC141)*1.2,0)</f>
        <v>135</v>
      </c>
      <c r="U141" s="269">
        <v>115</v>
      </c>
      <c r="V141" s="336">
        <f t="shared" si="111"/>
        <v>17.391304347826093</v>
      </c>
      <c r="W141" s="271">
        <v>130</v>
      </c>
      <c r="X141" s="272">
        <f t="shared" si="112"/>
        <v>3.8461538461538538</v>
      </c>
      <c r="Y141" s="231">
        <v>119</v>
      </c>
      <c r="Z141" s="273">
        <v>1.042</v>
      </c>
      <c r="AA141" s="274">
        <f>ROUND(W141*Z141,2)</f>
        <v>135.46</v>
      </c>
      <c r="AB141" s="275">
        <f>ROUND((P141+Q141)*1.2,2)</f>
        <v>126.1</v>
      </c>
      <c r="AC141" s="276">
        <f>ROUND((AA141/AB141)*100%-100%,4)</f>
        <v>7.4200000000000002E-2</v>
      </c>
      <c r="AD141" s="277">
        <f t="shared" si="113"/>
        <v>9.3566199999999995</v>
      </c>
      <c r="AF141" s="235">
        <v>123.04600000000001</v>
      </c>
      <c r="AG141" s="106">
        <v>130</v>
      </c>
      <c r="AH141" s="281">
        <f t="shared" si="114"/>
        <v>5</v>
      </c>
      <c r="AI141" s="282">
        <v>4.9200000000000001E-2</v>
      </c>
      <c r="AJ141" s="283">
        <f t="shared" si="115"/>
        <v>9.3566199999999995</v>
      </c>
      <c r="AK141" s="284"/>
      <c r="AM141" s="222">
        <v>-9.2999999999999992E-3</v>
      </c>
      <c r="AN141" s="285">
        <f t="shared" si="116"/>
        <v>1.0093000000000001</v>
      </c>
      <c r="AO141" s="285">
        <v>1.044</v>
      </c>
      <c r="AQ141" s="286">
        <f t="shared" si="65"/>
        <v>135.72</v>
      </c>
      <c r="AS141" s="222">
        <v>1.034</v>
      </c>
      <c r="AT141" s="337">
        <v>-9.2999999999999992E-3</v>
      </c>
      <c r="AU141" s="285">
        <f t="shared" si="117"/>
        <v>8.0000000000000071E-3</v>
      </c>
      <c r="AW141" s="288">
        <f t="shared" si="118"/>
        <v>8.3500000000000005E-2</v>
      </c>
      <c r="AX141" s="106">
        <v>130</v>
      </c>
      <c r="AY141" s="127" t="b">
        <f t="shared" si="119"/>
        <v>1</v>
      </c>
      <c r="AZ141" s="289">
        <f t="shared" si="120"/>
        <v>-2.6580000000000004</v>
      </c>
      <c r="BC141">
        <f t="shared" si="121"/>
        <v>1.038</v>
      </c>
    </row>
    <row r="142" spans="1:55" ht="31.7" customHeight="1" x14ac:dyDescent="0.3">
      <c r="A142" s="712" t="s">
        <v>577</v>
      </c>
      <c r="B142" s="712"/>
      <c r="C142" s="712"/>
      <c r="D142" s="712"/>
      <c r="E142" s="712"/>
      <c r="F142" s="712"/>
      <c r="G142" s="712"/>
      <c r="H142" s="712"/>
      <c r="I142" s="712"/>
      <c r="J142" s="295" t="s">
        <v>366</v>
      </c>
      <c r="K142" s="121" t="s">
        <v>335</v>
      </c>
      <c r="L142" s="266" t="str">
        <f>VLOOKUP(K142,[6]материалы!$A$5:$G$31,5, FALSE)</f>
        <v>кг</v>
      </c>
      <c r="M142" s="168">
        <f>VLOOKUP(K142,[6]материалы!$A$5:$G$34,7, FALSE)</f>
        <v>720.83</v>
      </c>
      <c r="N142" s="168">
        <v>5.0000000000000001E-3</v>
      </c>
      <c r="O142" s="168">
        <f t="shared" ref="O142:O144" si="122">ROUND(M142*N142,2)</f>
        <v>3.6</v>
      </c>
      <c r="P142" s="168"/>
      <c r="Q142" s="168"/>
      <c r="R142" s="268"/>
      <c r="S142" s="268"/>
      <c r="T142" s="268"/>
      <c r="U142" s="269"/>
      <c r="V142" s="336"/>
      <c r="W142" s="271"/>
      <c r="X142" s="272"/>
      <c r="Z142" s="273"/>
      <c r="AA142" s="58"/>
      <c r="AB142" s="275"/>
      <c r="AC142" s="276"/>
      <c r="AD142" s="277"/>
      <c r="AG142" s="106"/>
      <c r="AH142" s="281"/>
      <c r="AI142" s="282"/>
      <c r="AJ142" s="283"/>
      <c r="AK142" s="284"/>
      <c r="AM142" s="222"/>
      <c r="AN142" s="285"/>
      <c r="AO142" s="285"/>
      <c r="AQ142" s="286"/>
      <c r="AS142" s="222"/>
      <c r="AT142" s="337"/>
      <c r="AU142" s="285"/>
      <c r="AW142" s="288"/>
      <c r="AX142" s="106"/>
      <c r="AZ142" s="289"/>
    </row>
    <row r="143" spans="1:55" ht="14.25" customHeight="1" x14ac:dyDescent="0.3">
      <c r="A143" s="712"/>
      <c r="B143" s="712"/>
      <c r="C143" s="712"/>
      <c r="D143" s="712"/>
      <c r="E143" s="712"/>
      <c r="F143" s="712"/>
      <c r="G143" s="712"/>
      <c r="H143" s="712"/>
      <c r="I143" s="712"/>
      <c r="J143" s="168"/>
      <c r="K143" s="296" t="s">
        <v>329</v>
      </c>
      <c r="L143" s="266" t="str">
        <f>VLOOKUP(K143,[6]материалы!$A$5:$G$31,5, FALSE)</f>
        <v>кг</v>
      </c>
      <c r="M143" s="168">
        <f>VLOOKUP(K143,[6]материалы!$A$5:$G$34,7, FALSE)</f>
        <v>79.17</v>
      </c>
      <c r="N143" s="301">
        <f>0.001</f>
        <v>1E-3</v>
      </c>
      <c r="O143" s="168">
        <f t="shared" si="122"/>
        <v>0.08</v>
      </c>
      <c r="P143" s="168"/>
      <c r="Q143" s="168"/>
      <c r="R143" s="268"/>
      <c r="S143" s="268"/>
      <c r="T143" s="268"/>
      <c r="U143" s="269"/>
      <c r="V143" s="336"/>
      <c r="W143" s="271"/>
      <c r="X143" s="272"/>
      <c r="Z143" s="273"/>
      <c r="AA143" s="58"/>
      <c r="AB143" s="275"/>
      <c r="AC143" s="276"/>
      <c r="AD143" s="277"/>
      <c r="AG143" s="106"/>
      <c r="AH143" s="281"/>
      <c r="AI143" s="282"/>
      <c r="AJ143" s="283"/>
      <c r="AK143" s="284"/>
      <c r="AM143" s="222"/>
      <c r="AN143" s="285"/>
      <c r="AO143" s="285"/>
      <c r="AQ143" s="286"/>
      <c r="AS143" s="222"/>
      <c r="AT143" s="337"/>
      <c r="AU143" s="285"/>
      <c r="AW143" s="288"/>
      <c r="AX143" s="106"/>
      <c r="AZ143" s="289"/>
    </row>
    <row r="144" spans="1:55" ht="18.95" customHeight="1" x14ac:dyDescent="0.3">
      <c r="A144" s="712"/>
      <c r="B144" s="712"/>
      <c r="C144" s="712"/>
      <c r="D144" s="712"/>
      <c r="E144" s="712"/>
      <c r="F144" s="712"/>
      <c r="G144" s="712"/>
      <c r="H144" s="712"/>
      <c r="I144" s="712"/>
      <c r="J144" s="168"/>
      <c r="K144" s="296" t="s">
        <v>330</v>
      </c>
      <c r="L144" s="266" t="str">
        <f>VLOOKUP(K144,[6]материалы!$A$5:$G$31,5, FALSE)</f>
        <v>кг</v>
      </c>
      <c r="M144" s="168">
        <f>VLOOKUP(K144,[6]материалы!$A$5:$G$34,7, FALSE)</f>
        <v>66.67</v>
      </c>
      <c r="N144" s="266">
        <f>0.01</f>
        <v>0.01</v>
      </c>
      <c r="O144" s="168">
        <f t="shared" si="122"/>
        <v>0.67</v>
      </c>
      <c r="P144" s="168"/>
      <c r="Q144" s="168"/>
      <c r="R144" s="268"/>
      <c r="S144" s="268"/>
      <c r="T144" s="268"/>
      <c r="U144" s="269"/>
      <c r="V144" s="336"/>
      <c r="W144" s="271"/>
      <c r="X144" s="272"/>
      <c r="Z144" s="273"/>
      <c r="AA144" s="58"/>
      <c r="AB144" s="275"/>
      <c r="AC144" s="276"/>
      <c r="AD144" s="277"/>
      <c r="AG144" s="106"/>
      <c r="AH144" s="281"/>
      <c r="AI144" s="282"/>
      <c r="AJ144" s="283"/>
      <c r="AK144" s="284"/>
      <c r="AM144" s="222"/>
      <c r="AN144" s="285"/>
      <c r="AO144" s="285"/>
      <c r="AQ144" s="286"/>
      <c r="AS144" s="222"/>
      <c r="AT144" s="337"/>
      <c r="AU144" s="285"/>
      <c r="AW144" s="288"/>
      <c r="AX144" s="106"/>
      <c r="AZ144" s="289"/>
    </row>
    <row r="145" spans="1:55" ht="15" customHeight="1" x14ac:dyDescent="0.25">
      <c r="A145" s="647" t="s">
        <v>430</v>
      </c>
      <c r="B145" s="264" t="s">
        <v>172</v>
      </c>
      <c r="C145" s="660" t="s">
        <v>31</v>
      </c>
      <c r="D145" s="649" t="s">
        <v>30</v>
      </c>
      <c r="E145" s="168" t="s">
        <v>162</v>
      </c>
      <c r="F145" s="168">
        <f>VLOOKUP(E145,'[6]условия, ФОТ'!$A$14:$I$32,9, FALSE)</f>
        <v>180.5</v>
      </c>
      <c r="G145" s="266">
        <f>0.72+0.68</f>
        <v>1.4</v>
      </c>
      <c r="H145" s="661">
        <f>ROUND(F145*G145+F146*G146,2)</f>
        <v>384.38</v>
      </c>
      <c r="I145" s="661">
        <f t="shared" ref="I145:I326" si="123">ROUND(H145*$I$5,2)</f>
        <v>116.08</v>
      </c>
      <c r="J145" s="661">
        <f t="shared" ref="J145:J258" si="124">H145+I145</f>
        <v>500.46</v>
      </c>
      <c r="K145" s="669"/>
      <c r="L145" s="661"/>
      <c r="M145" s="661"/>
      <c r="N145" s="661"/>
      <c r="O145" s="661">
        <f>SUM(O147:O153)</f>
        <v>117.25</v>
      </c>
      <c r="P145" s="661">
        <f>J145+O145</f>
        <v>617.71</v>
      </c>
      <c r="Q145" s="661">
        <f t="shared" si="20"/>
        <v>410.78</v>
      </c>
      <c r="R145" s="665">
        <f>ROUND(T145/1.2,2)</f>
        <v>1120</v>
      </c>
      <c r="S145" s="665">
        <f>ROUND(R145*$S$5,2)</f>
        <v>224</v>
      </c>
      <c r="T145" s="665">
        <f>ROUND((P145+Q145)*(1+AC145)*1.2,0)</f>
        <v>1344</v>
      </c>
      <c r="U145" s="666">
        <v>1210</v>
      </c>
      <c r="V145" s="336">
        <f t="shared" si="70"/>
        <v>11.074380165289256</v>
      </c>
      <c r="W145" s="749">
        <v>1290</v>
      </c>
      <c r="X145" s="679">
        <f t="shared" si="112"/>
        <v>4.1860465116279073</v>
      </c>
      <c r="Y145" s="231">
        <v>1248</v>
      </c>
      <c r="Z145" s="823">
        <v>1.042</v>
      </c>
      <c r="AA145" s="825">
        <f>ROUND(W145*Z145,2)</f>
        <v>1344.18</v>
      </c>
      <c r="AB145" s="826">
        <f>ROUND((P145+Q145)*1.2,2)</f>
        <v>1234.19</v>
      </c>
      <c r="AC145" s="814">
        <f>ROUND((AA145/AB145)*100%-100%,4)</f>
        <v>8.9099999999999999E-2</v>
      </c>
      <c r="AD145" s="681">
        <f t="shared" si="113"/>
        <v>109.966329</v>
      </c>
      <c r="AF145" s="235">
        <v>1290.432</v>
      </c>
      <c r="AG145" s="674">
        <v>1290</v>
      </c>
      <c r="AH145" s="816">
        <f t="shared" si="114"/>
        <v>54</v>
      </c>
      <c r="AI145" s="817">
        <v>9.2799999999999994E-2</v>
      </c>
      <c r="AJ145" s="819">
        <f t="shared" si="115"/>
        <v>109.966329</v>
      </c>
      <c r="AK145" s="284"/>
      <c r="AM145" s="715">
        <v>9.2799999999999994E-2</v>
      </c>
      <c r="AN145" s="670">
        <f t="shared" si="116"/>
        <v>9.2799999999999994E-2</v>
      </c>
      <c r="AO145" s="670">
        <v>0</v>
      </c>
      <c r="AQ145" s="286"/>
      <c r="AS145" s="715">
        <v>1.034</v>
      </c>
      <c r="AT145" s="717">
        <v>9.2799999999999994E-2</v>
      </c>
      <c r="AU145" s="670">
        <f t="shared" si="117"/>
        <v>8.0000000000000071E-3</v>
      </c>
      <c r="AW145" s="672">
        <f t="shared" si="118"/>
        <v>-3.699999999999995E-3</v>
      </c>
      <c r="AX145" s="674">
        <v>1290</v>
      </c>
      <c r="AY145" s="675" t="b">
        <f t="shared" si="119"/>
        <v>1</v>
      </c>
      <c r="AZ145" s="289">
        <f t="shared" si="120"/>
        <v>-2.9779999999999998</v>
      </c>
      <c r="BC145">
        <f t="shared" si="121"/>
        <v>1.042</v>
      </c>
    </row>
    <row r="146" spans="1:55" ht="14.25" customHeight="1" x14ac:dyDescent="0.25">
      <c r="A146" s="647"/>
      <c r="B146" s="264" t="s">
        <v>169</v>
      </c>
      <c r="C146" s="660"/>
      <c r="D146" s="649"/>
      <c r="E146" s="239" t="s">
        <v>166</v>
      </c>
      <c r="F146" s="168">
        <f>VLOOKUP(E146,'[6]условия, ФОТ'!$A$14:$I$32,9, FALSE)</f>
        <v>193.64</v>
      </c>
      <c r="G146" s="266">
        <v>0.68</v>
      </c>
      <c r="H146" s="661"/>
      <c r="I146" s="661"/>
      <c r="J146" s="661"/>
      <c r="K146" s="669"/>
      <c r="L146" s="661"/>
      <c r="M146" s="661"/>
      <c r="N146" s="661"/>
      <c r="O146" s="661"/>
      <c r="P146" s="661"/>
      <c r="Q146" s="661"/>
      <c r="R146" s="665"/>
      <c r="S146" s="665"/>
      <c r="T146" s="665">
        <f>ROUND((P146+Q146)*(1+$R$5)*1.18,0)</f>
        <v>0</v>
      </c>
      <c r="U146" s="827"/>
      <c r="V146" s="336"/>
      <c r="W146" s="750"/>
      <c r="X146" s="679"/>
      <c r="Z146" s="824"/>
      <c r="AA146" s="825"/>
      <c r="AB146" s="826"/>
      <c r="AC146" s="815"/>
      <c r="AD146" s="682"/>
      <c r="AG146" s="674"/>
      <c r="AH146" s="816"/>
      <c r="AI146" s="818"/>
      <c r="AJ146" s="820"/>
      <c r="AK146" s="284"/>
      <c r="AM146" s="716"/>
      <c r="AN146" s="671"/>
      <c r="AO146" s="671"/>
      <c r="AQ146" s="286"/>
      <c r="AS146" s="716"/>
      <c r="AT146" s="718"/>
      <c r="AU146" s="671"/>
      <c r="AW146" s="673"/>
      <c r="AX146" s="674"/>
      <c r="AY146" s="675"/>
      <c r="AZ146" s="289"/>
    </row>
    <row r="147" spans="1:55" ht="18.95" customHeight="1" outlineLevel="1" x14ac:dyDescent="0.3">
      <c r="A147" s="264"/>
      <c r="B147" s="264"/>
      <c r="C147" s="265"/>
      <c r="D147" s="239"/>
      <c r="E147" s="239"/>
      <c r="F147" s="168"/>
      <c r="G147" s="266"/>
      <c r="H147" s="168"/>
      <c r="I147" s="168"/>
      <c r="J147" s="295" t="s">
        <v>366</v>
      </c>
      <c r="K147" s="121" t="s">
        <v>324</v>
      </c>
      <c r="L147" s="266" t="str">
        <f>VLOOKUP(K147,[6]материалы!$A$5:$G$31,5, FALSE)</f>
        <v>м3</v>
      </c>
      <c r="M147" s="168">
        <f>VLOOKUP(K147,[6]материалы!$A$5:$G$34,7, FALSE)</f>
        <v>152.78</v>
      </c>
      <c r="N147" s="168">
        <v>0.15</v>
      </c>
      <c r="O147" s="168">
        <f t="shared" ref="O147:O153" si="125">ROUND(M147*N147,2)</f>
        <v>22.92</v>
      </c>
      <c r="P147" s="168"/>
      <c r="Q147" s="168"/>
      <c r="R147" s="268"/>
      <c r="S147" s="268"/>
      <c r="T147" s="268"/>
      <c r="U147" s="269"/>
      <c r="V147" s="336"/>
      <c r="W147" s="367"/>
      <c r="X147" s="272"/>
      <c r="Z147" s="273"/>
      <c r="AA147" s="58"/>
      <c r="AB147" s="275"/>
      <c r="AC147" s="276"/>
      <c r="AD147" s="277"/>
      <c r="AG147" s="106"/>
      <c r="AH147" s="281"/>
      <c r="AI147" s="282"/>
      <c r="AJ147" s="283"/>
      <c r="AK147" s="284"/>
      <c r="AM147" s="222"/>
      <c r="AN147" s="285"/>
      <c r="AO147" s="285"/>
      <c r="AQ147" s="286"/>
      <c r="AS147" s="222"/>
      <c r="AT147" s="337"/>
      <c r="AU147" s="285"/>
      <c r="AW147" s="288"/>
      <c r="AX147" s="106"/>
      <c r="AZ147" s="289"/>
    </row>
    <row r="148" spans="1:55" ht="18.95" customHeight="1" outlineLevel="1" x14ac:dyDescent="0.3">
      <c r="A148" s="264"/>
      <c r="B148" s="264"/>
      <c r="C148" s="265"/>
      <c r="D148" s="239"/>
      <c r="E148" s="239"/>
      <c r="F148" s="168"/>
      <c r="G148" s="266"/>
      <c r="H148" s="168"/>
      <c r="I148" s="168"/>
      <c r="J148" s="168"/>
      <c r="K148" s="121" t="s">
        <v>323</v>
      </c>
      <c r="L148" s="266" t="str">
        <f>VLOOKUP(K148,[6]материалы!$A$5:$G$31,5, FALSE)</f>
        <v>м3</v>
      </c>
      <c r="M148" s="168">
        <f>VLOOKUP(K148,[6]материалы!$A$5:$G$34,7, FALSE)</f>
        <v>486.11</v>
      </c>
      <c r="N148" s="266">
        <v>8.7499999999999994E-2</v>
      </c>
      <c r="O148" s="168">
        <f t="shared" si="125"/>
        <v>42.53</v>
      </c>
      <c r="P148" s="168"/>
      <c r="Q148" s="168"/>
      <c r="R148" s="268"/>
      <c r="S148" s="268"/>
      <c r="T148" s="268"/>
      <c r="U148" s="269"/>
      <c r="V148" s="336"/>
      <c r="W148" s="367"/>
      <c r="X148" s="272"/>
      <c r="Z148" s="273"/>
      <c r="AA148" s="58"/>
      <c r="AB148" s="275"/>
      <c r="AC148" s="276"/>
      <c r="AD148" s="277"/>
      <c r="AG148" s="106"/>
      <c r="AH148" s="281"/>
      <c r="AI148" s="282"/>
      <c r="AJ148" s="283"/>
      <c r="AK148" s="284"/>
      <c r="AM148" s="222"/>
      <c r="AN148" s="285"/>
      <c r="AO148" s="285"/>
      <c r="AQ148" s="286"/>
      <c r="AS148" s="222"/>
      <c r="AT148" s="337"/>
      <c r="AU148" s="285"/>
      <c r="AW148" s="288"/>
      <c r="AX148" s="106"/>
      <c r="AZ148" s="289"/>
    </row>
    <row r="149" spans="1:55" ht="41.25" customHeight="1" outlineLevel="1" x14ac:dyDescent="0.3">
      <c r="A149" s="264"/>
      <c r="B149" s="264"/>
      <c r="C149" s="265"/>
      <c r="D149" s="239"/>
      <c r="E149" s="239"/>
      <c r="F149" s="168"/>
      <c r="G149" s="266"/>
      <c r="H149" s="168"/>
      <c r="I149" s="168"/>
      <c r="J149" s="168"/>
      <c r="K149" s="121" t="s">
        <v>341</v>
      </c>
      <c r="L149" s="266" t="str">
        <f>VLOOKUP(K149,[6]материалы!$A$5:$G$31,5, FALSE)</f>
        <v>кг</v>
      </c>
      <c r="M149" s="168">
        <f>VLOOKUP(K149,[6]материалы!$A$5:$G$34,7, FALSE)</f>
        <v>125</v>
      </c>
      <c r="N149" s="168">
        <v>0.1</v>
      </c>
      <c r="O149" s="168">
        <f t="shared" si="125"/>
        <v>12.5</v>
      </c>
      <c r="P149" s="168"/>
      <c r="Q149" s="168"/>
      <c r="R149" s="268"/>
      <c r="S149" s="268"/>
      <c r="T149" s="268"/>
      <c r="U149" s="269"/>
      <c r="V149" s="336"/>
      <c r="W149" s="367"/>
      <c r="X149" s="272"/>
      <c r="Z149" s="273"/>
      <c r="AA149" s="58"/>
      <c r="AB149" s="275"/>
      <c r="AC149" s="276"/>
      <c r="AD149" s="277"/>
      <c r="AG149" s="106"/>
      <c r="AH149" s="281"/>
      <c r="AI149" s="282"/>
      <c r="AJ149" s="283"/>
      <c r="AK149" s="284"/>
      <c r="AM149" s="222"/>
      <c r="AN149" s="285"/>
      <c r="AO149" s="285"/>
      <c r="AQ149" s="286"/>
      <c r="AS149" s="222"/>
      <c r="AT149" s="337"/>
      <c r="AU149" s="285"/>
      <c r="AW149" s="288"/>
      <c r="AX149" s="106"/>
      <c r="AZ149" s="289"/>
    </row>
    <row r="150" spans="1:55" ht="29.25" customHeight="1" outlineLevel="1" x14ac:dyDescent="0.3">
      <c r="A150" s="264"/>
      <c r="B150" s="264"/>
      <c r="C150" s="265"/>
      <c r="D150" s="239"/>
      <c r="E150" s="239"/>
      <c r="F150" s="168"/>
      <c r="G150" s="266"/>
      <c r="H150" s="168"/>
      <c r="I150" s="168"/>
      <c r="J150" s="168"/>
      <c r="K150" s="121" t="s">
        <v>342</v>
      </c>
      <c r="L150" s="266" t="str">
        <f>VLOOKUP(K150,[6]материалы!$A$5:$G$31,5, FALSE)</f>
        <v>шт.</v>
      </c>
      <c r="M150" s="168">
        <f>VLOOKUP(K150,[6]материалы!$A$5:$G$34,7, FALSE)</f>
        <v>37.5</v>
      </c>
      <c r="N150" s="168">
        <v>0.25</v>
      </c>
      <c r="O150" s="168">
        <f t="shared" si="125"/>
        <v>9.3800000000000008</v>
      </c>
      <c r="P150" s="168"/>
      <c r="Q150" s="168"/>
      <c r="R150" s="268"/>
      <c r="S150" s="268"/>
      <c r="T150" s="268"/>
      <c r="U150" s="269"/>
      <c r="V150" s="336"/>
      <c r="W150" s="367"/>
      <c r="X150" s="272"/>
      <c r="Z150" s="273"/>
      <c r="AA150" s="58"/>
      <c r="AB150" s="275"/>
      <c r="AC150" s="276"/>
      <c r="AD150" s="277"/>
      <c r="AG150" s="106"/>
      <c r="AH150" s="281"/>
      <c r="AI150" s="282"/>
      <c r="AJ150" s="283"/>
      <c r="AK150" s="284"/>
      <c r="AM150" s="222"/>
      <c r="AN150" s="285"/>
      <c r="AO150" s="285"/>
      <c r="AQ150" s="286"/>
      <c r="AS150" s="222"/>
      <c r="AT150" s="337"/>
      <c r="AU150" s="285"/>
      <c r="AW150" s="288"/>
      <c r="AX150" s="106"/>
      <c r="AZ150" s="289"/>
    </row>
    <row r="151" spans="1:55" ht="29.25" customHeight="1" outlineLevel="1" x14ac:dyDescent="0.3">
      <c r="A151" s="264"/>
      <c r="B151" s="264"/>
      <c r="C151" s="265"/>
      <c r="D151" s="239"/>
      <c r="E151" s="239"/>
      <c r="F151" s="168"/>
      <c r="G151" s="266"/>
      <c r="H151" s="168"/>
      <c r="I151" s="168"/>
      <c r="J151" s="168"/>
      <c r="K151" s="121" t="s">
        <v>346</v>
      </c>
      <c r="L151" s="266" t="str">
        <f>VLOOKUP(K151,[6]материалы!$A$5:$G$31,5, FALSE)</f>
        <v>шт.</v>
      </c>
      <c r="M151" s="168">
        <f>VLOOKUP(K151,[6]материалы!$A$5:$G$34,7, FALSE)</f>
        <v>29.17</v>
      </c>
      <c r="N151" s="168">
        <v>1</v>
      </c>
      <c r="O151" s="168">
        <f t="shared" si="125"/>
        <v>29.17</v>
      </c>
      <c r="P151" s="168"/>
      <c r="Q151" s="168"/>
      <c r="R151" s="268"/>
      <c r="S151" s="268"/>
      <c r="T151" s="268"/>
      <c r="U151" s="269"/>
      <c r="V151" s="336"/>
      <c r="W151" s="367"/>
      <c r="X151" s="272"/>
      <c r="Z151" s="273"/>
      <c r="AA151" s="58"/>
      <c r="AB151" s="275"/>
      <c r="AC151" s="276"/>
      <c r="AD151" s="277"/>
      <c r="AG151" s="106"/>
      <c r="AH151" s="281"/>
      <c r="AI151" s="282"/>
      <c r="AJ151" s="283"/>
      <c r="AK151" s="284"/>
      <c r="AM151" s="222"/>
      <c r="AN151" s="285"/>
      <c r="AO151" s="285"/>
      <c r="AQ151" s="286"/>
      <c r="AS151" s="222"/>
      <c r="AT151" s="337"/>
      <c r="AU151" s="285"/>
      <c r="AW151" s="288"/>
      <c r="AX151" s="106"/>
      <c r="AZ151" s="289"/>
    </row>
    <row r="152" spans="1:55" ht="18" customHeight="1" outlineLevel="1" x14ac:dyDescent="0.3">
      <c r="A152" s="264"/>
      <c r="B152" s="264"/>
      <c r="C152" s="265"/>
      <c r="D152" s="239"/>
      <c r="E152" s="239"/>
      <c r="F152" s="168"/>
      <c r="G152" s="266"/>
      <c r="H152" s="168"/>
      <c r="I152" s="168"/>
      <c r="J152" s="168"/>
      <c r="K152" s="296" t="s">
        <v>329</v>
      </c>
      <c r="L152" s="266" t="str">
        <f>VLOOKUP(K152,[6]материалы!$A$5:$G$31,5, FALSE)</f>
        <v>кг</v>
      </c>
      <c r="M152" s="168">
        <f>VLOOKUP(K152,[6]материалы!$A$5:$G$34,7, FALSE)</f>
        <v>79.17</v>
      </c>
      <c r="N152" s="168">
        <v>1E-3</v>
      </c>
      <c r="O152" s="168">
        <f t="shared" si="125"/>
        <v>0.08</v>
      </c>
      <c r="P152" s="168"/>
      <c r="Q152" s="168"/>
      <c r="R152" s="268"/>
      <c r="S152" s="268"/>
      <c r="T152" s="268"/>
      <c r="U152" s="269"/>
      <c r="V152" s="336"/>
      <c r="W152" s="367"/>
      <c r="X152" s="272"/>
      <c r="Z152" s="273"/>
      <c r="AA152" s="58"/>
      <c r="AB152" s="275"/>
      <c r="AC152" s="276"/>
      <c r="AD152" s="277"/>
      <c r="AG152" s="106"/>
      <c r="AH152" s="281"/>
      <c r="AI152" s="282"/>
      <c r="AJ152" s="283"/>
      <c r="AK152" s="284"/>
      <c r="AM152" s="222"/>
      <c r="AN152" s="285"/>
      <c r="AO152" s="285"/>
      <c r="AQ152" s="286"/>
      <c r="AS152" s="222"/>
      <c r="AT152" s="337"/>
      <c r="AU152" s="285"/>
      <c r="AW152" s="288"/>
      <c r="AX152" s="106"/>
      <c r="AZ152" s="289"/>
    </row>
    <row r="153" spans="1:55" ht="20.25" customHeight="1" outlineLevel="1" x14ac:dyDescent="0.3">
      <c r="A153" s="264"/>
      <c r="B153" s="264"/>
      <c r="C153" s="265"/>
      <c r="D153" s="239"/>
      <c r="E153" s="239"/>
      <c r="F153" s="168"/>
      <c r="G153" s="266"/>
      <c r="H153" s="168"/>
      <c r="I153" s="168"/>
      <c r="J153" s="168"/>
      <c r="K153" s="296" t="s">
        <v>330</v>
      </c>
      <c r="L153" s="266" t="str">
        <f>VLOOKUP(K153,[6]материалы!$A$5:$G$31,5, FALSE)</f>
        <v>кг</v>
      </c>
      <c r="M153" s="168">
        <f>VLOOKUP(K153,[6]материалы!$A$5:$G$34,7, FALSE)</f>
        <v>66.67</v>
      </c>
      <c r="N153" s="168">
        <v>0.01</v>
      </c>
      <c r="O153" s="168">
        <f t="shared" si="125"/>
        <v>0.67</v>
      </c>
      <c r="P153" s="168"/>
      <c r="Q153" s="168"/>
      <c r="R153" s="268"/>
      <c r="S153" s="268"/>
      <c r="T153" s="268"/>
      <c r="U153" s="269"/>
      <c r="V153" s="336"/>
      <c r="W153" s="367"/>
      <c r="X153" s="272"/>
      <c r="Z153" s="273"/>
      <c r="AA153" s="58"/>
      <c r="AB153" s="275"/>
      <c r="AC153" s="276"/>
      <c r="AD153" s="277"/>
      <c r="AG153" s="106"/>
      <c r="AH153" s="281"/>
      <c r="AI153" s="282"/>
      <c r="AJ153" s="283"/>
      <c r="AK153" s="284"/>
      <c r="AM153" s="222"/>
      <c r="AN153" s="285"/>
      <c r="AO153" s="285"/>
      <c r="AQ153" s="286"/>
      <c r="AS153" s="222"/>
      <c r="AT153" s="337"/>
      <c r="AU153" s="285"/>
      <c r="AW153" s="288"/>
      <c r="AX153" s="106"/>
      <c r="AZ153" s="289"/>
    </row>
    <row r="154" spans="1:55" ht="51" x14ac:dyDescent="0.3">
      <c r="A154" s="264" t="s">
        <v>431</v>
      </c>
      <c r="B154" s="264" t="s">
        <v>173</v>
      </c>
      <c r="C154" s="265" t="s">
        <v>407</v>
      </c>
      <c r="D154" s="239" t="s">
        <v>30</v>
      </c>
      <c r="E154" s="239" t="s">
        <v>161</v>
      </c>
      <c r="F154" s="168">
        <f>VLOOKUP(E154,'[6]условия, ФОТ'!$A$14:$I$32,9, FALSE)</f>
        <v>180.5</v>
      </c>
      <c r="G154" s="266">
        <v>1.3</v>
      </c>
      <c r="H154" s="168">
        <f t="shared" ref="H154:H258" si="126">ROUND(F154*G154,2)</f>
        <v>234.65</v>
      </c>
      <c r="I154" s="168">
        <f t="shared" si="123"/>
        <v>70.86</v>
      </c>
      <c r="J154" s="168">
        <f t="shared" si="124"/>
        <v>305.51</v>
      </c>
      <c r="K154" s="267"/>
      <c r="L154" s="168"/>
      <c r="M154" s="168"/>
      <c r="N154" s="168"/>
      <c r="O154" s="168">
        <f>SUM(O155:O157)</f>
        <v>4.3500000000000005</v>
      </c>
      <c r="P154" s="168">
        <f>J154+O154</f>
        <v>309.86</v>
      </c>
      <c r="Q154" s="168">
        <f t="shared" si="20"/>
        <v>206.06</v>
      </c>
      <c r="R154" s="268">
        <f>ROUND(T154/1.2,2)</f>
        <v>555.83000000000004</v>
      </c>
      <c r="S154" s="268">
        <f t="shared" si="21"/>
        <v>111.17</v>
      </c>
      <c r="T154" s="268">
        <f>ROUND((P154+Q154)*(1+AC154)*1.2,0)</f>
        <v>667</v>
      </c>
      <c r="U154" s="269">
        <v>493</v>
      </c>
      <c r="V154" s="336">
        <f t="shared" si="70"/>
        <v>35.29411764705884</v>
      </c>
      <c r="W154" s="271">
        <v>640</v>
      </c>
      <c r="X154" s="272">
        <f t="shared" si="112"/>
        <v>4.21875</v>
      </c>
      <c r="Y154" s="231">
        <v>509</v>
      </c>
      <c r="Z154" s="273">
        <v>1.042</v>
      </c>
      <c r="AA154" s="274">
        <f>ROUND(W154*Z154,2)</f>
        <v>666.88</v>
      </c>
      <c r="AB154" s="275">
        <f>ROUND((P154+Q154)*1.2,2)</f>
        <v>619.1</v>
      </c>
      <c r="AC154" s="276">
        <f>ROUND((AA154/AB154)*100%-100%,4)</f>
        <v>7.7200000000000005E-2</v>
      </c>
      <c r="AD154" s="277">
        <f t="shared" si="113"/>
        <v>47.794520000000006</v>
      </c>
      <c r="AF154" s="235">
        <v>526.30600000000004</v>
      </c>
      <c r="AG154" s="106">
        <v>640</v>
      </c>
      <c r="AH154" s="281">
        <f t="shared" si="114"/>
        <v>27</v>
      </c>
      <c r="AI154" s="282">
        <v>4.9500000000000002E-2</v>
      </c>
      <c r="AJ154" s="283">
        <f t="shared" si="115"/>
        <v>47.794520000000006</v>
      </c>
      <c r="AK154" s="284"/>
      <c r="AM154" s="222">
        <v>-0.13669999999999999</v>
      </c>
      <c r="AN154" s="285">
        <f t="shared" si="116"/>
        <v>1.1367</v>
      </c>
      <c r="AO154" s="285">
        <v>1.175</v>
      </c>
      <c r="AQ154" s="286">
        <f t="shared" ref="AQ154:AQ212" si="127">ROUND(W154*AO154,2)</f>
        <v>752</v>
      </c>
      <c r="AS154" s="222">
        <v>1.034</v>
      </c>
      <c r="AT154" s="337">
        <v>-0.13669999999999999</v>
      </c>
      <c r="AU154" s="285">
        <f t="shared" si="117"/>
        <v>8.0000000000000071E-3</v>
      </c>
      <c r="AW154" s="288">
        <f t="shared" si="118"/>
        <v>0.21389999999999998</v>
      </c>
      <c r="AX154" s="106">
        <v>640</v>
      </c>
      <c r="AY154" s="127" t="b">
        <f t="shared" si="119"/>
        <v>1</v>
      </c>
      <c r="AZ154" s="289">
        <f t="shared" si="120"/>
        <v>-3.008</v>
      </c>
      <c r="BC154">
        <f t="shared" si="121"/>
        <v>1.042</v>
      </c>
    </row>
    <row r="155" spans="1:55" ht="25.5" outlineLevel="1" x14ac:dyDescent="0.3">
      <c r="A155" s="264"/>
      <c r="B155" s="264"/>
      <c r="C155" s="265"/>
      <c r="D155" s="239"/>
      <c r="E155" s="239"/>
      <c r="F155" s="168"/>
      <c r="G155" s="266"/>
      <c r="H155" s="168"/>
      <c r="I155" s="168"/>
      <c r="J155" s="295" t="s">
        <v>366</v>
      </c>
      <c r="K155" s="121" t="s">
        <v>335</v>
      </c>
      <c r="L155" s="266" t="str">
        <f>VLOOKUP(K155,[6]материалы!$A$5:$G$31,5, FALSE)</f>
        <v>кг</v>
      </c>
      <c r="M155" s="168">
        <f>VLOOKUP(K155,[6]материалы!$A$5:$G$34,7, FALSE)</f>
        <v>720.83</v>
      </c>
      <c r="N155" s="168">
        <v>5.0000000000000001E-3</v>
      </c>
      <c r="O155" s="168">
        <f t="shared" ref="O155:O157" si="128">ROUND(M155*N155,2)</f>
        <v>3.6</v>
      </c>
      <c r="P155" s="168"/>
      <c r="Q155" s="168"/>
      <c r="R155" s="268"/>
      <c r="S155" s="268"/>
      <c r="T155" s="268"/>
      <c r="U155" s="269"/>
      <c r="V155" s="336"/>
      <c r="W155" s="271"/>
      <c r="X155" s="272"/>
      <c r="Z155" s="273"/>
      <c r="AA155" s="58"/>
      <c r="AB155" s="275"/>
      <c r="AC155" s="276"/>
      <c r="AD155" s="277"/>
      <c r="AG155" s="106"/>
      <c r="AH155" s="281"/>
      <c r="AI155" s="282"/>
      <c r="AJ155" s="283"/>
      <c r="AK155" s="284"/>
      <c r="AM155" s="222"/>
      <c r="AN155" s="285"/>
      <c r="AO155" s="285"/>
      <c r="AQ155" s="286"/>
      <c r="AS155" s="222"/>
      <c r="AT155" s="337"/>
      <c r="AU155" s="285"/>
      <c r="AW155" s="288"/>
      <c r="AX155" s="106"/>
      <c r="AZ155" s="289"/>
    </row>
    <row r="156" spans="1:55" outlineLevel="1" x14ac:dyDescent="0.3">
      <c r="A156" s="264"/>
      <c r="B156" s="264"/>
      <c r="C156" s="265"/>
      <c r="D156" s="239"/>
      <c r="E156" s="239"/>
      <c r="F156" s="168"/>
      <c r="G156" s="266"/>
      <c r="H156" s="168"/>
      <c r="I156" s="168"/>
      <c r="J156" s="168"/>
      <c r="K156" s="296" t="s">
        <v>329</v>
      </c>
      <c r="L156" s="266" t="str">
        <f>VLOOKUP(K156,[6]материалы!$A$5:$G$31,5, FALSE)</f>
        <v>кг</v>
      </c>
      <c r="M156" s="168">
        <f>VLOOKUP(K156,[6]материалы!$A$5:$G$34,7, FALSE)</f>
        <v>79.17</v>
      </c>
      <c r="N156" s="168">
        <v>1E-3</v>
      </c>
      <c r="O156" s="168">
        <f t="shared" si="128"/>
        <v>0.08</v>
      </c>
      <c r="P156" s="168"/>
      <c r="Q156" s="168"/>
      <c r="R156" s="268"/>
      <c r="S156" s="268"/>
      <c r="T156" s="268"/>
      <c r="U156" s="269"/>
      <c r="V156" s="336"/>
      <c r="W156" s="271"/>
      <c r="X156" s="272"/>
      <c r="Z156" s="273"/>
      <c r="AA156" s="58"/>
      <c r="AB156" s="275"/>
      <c r="AC156" s="276"/>
      <c r="AD156" s="277"/>
      <c r="AG156" s="106"/>
      <c r="AH156" s="281"/>
      <c r="AI156" s="282"/>
      <c r="AJ156" s="283"/>
      <c r="AK156" s="284"/>
      <c r="AM156" s="222"/>
      <c r="AN156" s="285"/>
      <c r="AO156" s="285"/>
      <c r="AQ156" s="286"/>
      <c r="AS156" s="222"/>
      <c r="AT156" s="337"/>
      <c r="AU156" s="285"/>
      <c r="AW156" s="288"/>
      <c r="AX156" s="106"/>
      <c r="AZ156" s="289"/>
    </row>
    <row r="157" spans="1:55" outlineLevel="1" x14ac:dyDescent="0.3">
      <c r="A157" s="264"/>
      <c r="B157" s="264"/>
      <c r="C157" s="265"/>
      <c r="D157" s="239"/>
      <c r="E157" s="239"/>
      <c r="F157" s="168"/>
      <c r="G157" s="266"/>
      <c r="H157" s="168"/>
      <c r="I157" s="168"/>
      <c r="J157" s="168"/>
      <c r="K157" s="296" t="s">
        <v>330</v>
      </c>
      <c r="L157" s="266" t="str">
        <f>VLOOKUP(K157,[6]материалы!$A$5:$G$31,5, FALSE)</f>
        <v>кг</v>
      </c>
      <c r="M157" s="168">
        <f>VLOOKUP(K157,[6]материалы!$A$5:$G$34,7, FALSE)</f>
        <v>66.67</v>
      </c>
      <c r="N157" s="168">
        <v>0.01</v>
      </c>
      <c r="O157" s="168">
        <f t="shared" si="128"/>
        <v>0.67</v>
      </c>
      <c r="P157" s="168"/>
      <c r="Q157" s="168"/>
      <c r="R157" s="268"/>
      <c r="S157" s="268"/>
      <c r="T157" s="268"/>
      <c r="U157" s="269"/>
      <c r="V157" s="336"/>
      <c r="W157" s="271"/>
      <c r="X157" s="272"/>
      <c r="Z157" s="273"/>
      <c r="AA157" s="58"/>
      <c r="AB157" s="275"/>
      <c r="AC157" s="276"/>
      <c r="AD157" s="277"/>
      <c r="AG157" s="106"/>
      <c r="AH157" s="281"/>
      <c r="AI157" s="282"/>
      <c r="AJ157" s="283"/>
      <c r="AK157" s="284"/>
      <c r="AM157" s="222"/>
      <c r="AN157" s="285"/>
      <c r="AO157" s="285"/>
      <c r="AQ157" s="286"/>
      <c r="AS157" s="222"/>
      <c r="AT157" s="337"/>
      <c r="AU157" s="285"/>
      <c r="AW157" s="288"/>
      <c r="AX157" s="106"/>
      <c r="AZ157" s="289"/>
    </row>
    <row r="158" spans="1:55" ht="45.95" customHeight="1" x14ac:dyDescent="0.3">
      <c r="A158" s="264" t="s">
        <v>432</v>
      </c>
      <c r="B158" s="264" t="s">
        <v>27</v>
      </c>
      <c r="C158" s="265" t="s">
        <v>408</v>
      </c>
      <c r="D158" s="239" t="s">
        <v>30</v>
      </c>
      <c r="E158" s="239" t="s">
        <v>161</v>
      </c>
      <c r="F158" s="168">
        <f>VLOOKUP(E158,'[6]условия, ФОТ'!$A$14:$I$32,9, FALSE)</f>
        <v>180.5</v>
      </c>
      <c r="G158" s="266">
        <v>1.4</v>
      </c>
      <c r="H158" s="168">
        <f t="shared" si="126"/>
        <v>252.7</v>
      </c>
      <c r="I158" s="168">
        <f t="shared" si="123"/>
        <v>76.319999999999993</v>
      </c>
      <c r="J158" s="168">
        <f t="shared" si="124"/>
        <v>329.02</v>
      </c>
      <c r="K158" s="267"/>
      <c r="L158" s="168"/>
      <c r="M158" s="168"/>
      <c r="N158" s="168"/>
      <c r="O158" s="168">
        <f>SUM(O159:O161)</f>
        <v>4.3500000000000005</v>
      </c>
      <c r="P158" s="168">
        <f t="shared" ref="P158:P258" si="129">J158+O158</f>
        <v>333.37</v>
      </c>
      <c r="Q158" s="168">
        <f t="shared" si="20"/>
        <v>221.69</v>
      </c>
      <c r="R158" s="268">
        <f>ROUND(T158/1.2,2)</f>
        <v>598.33000000000004</v>
      </c>
      <c r="S158" s="268">
        <f t="shared" si="21"/>
        <v>119.67</v>
      </c>
      <c r="T158" s="268">
        <f>ROUND((P158+Q158)*(1+AC158)*1.2,0)</f>
        <v>718</v>
      </c>
      <c r="U158" s="269">
        <v>531</v>
      </c>
      <c r="V158" s="336">
        <f t="shared" si="70"/>
        <v>35.216572504708097</v>
      </c>
      <c r="W158" s="271">
        <v>689</v>
      </c>
      <c r="X158" s="272">
        <f t="shared" si="112"/>
        <v>4.2089985486211958</v>
      </c>
      <c r="Y158" s="231">
        <v>547</v>
      </c>
      <c r="Z158" s="273">
        <v>1.042</v>
      </c>
      <c r="AA158" s="274">
        <f>ROUND(W158*Z158,2)</f>
        <v>717.94</v>
      </c>
      <c r="AB158" s="275">
        <f>ROUND((P158+Q158)*1.2,2)</f>
        <v>666.07</v>
      </c>
      <c r="AC158" s="276">
        <f>ROUND((AA158/AB158)*100%-100%,4)</f>
        <v>7.7899999999999997E-2</v>
      </c>
      <c r="AD158" s="277">
        <f t="shared" si="113"/>
        <v>51.886853000000002</v>
      </c>
      <c r="AF158" s="235">
        <v>565.59800000000007</v>
      </c>
      <c r="AG158" s="106">
        <v>689</v>
      </c>
      <c r="AH158" s="281">
        <f t="shared" si="114"/>
        <v>29</v>
      </c>
      <c r="AI158" s="282">
        <v>0.05</v>
      </c>
      <c r="AJ158" s="283">
        <f t="shared" si="115"/>
        <v>51.886853000000002</v>
      </c>
      <c r="AK158" s="284"/>
      <c r="AM158" s="222">
        <v>-0.13769999999999999</v>
      </c>
      <c r="AN158" s="285">
        <f t="shared" si="116"/>
        <v>1.1376999999999999</v>
      </c>
      <c r="AO158" s="285">
        <v>1.1759999999999999</v>
      </c>
      <c r="AQ158" s="286">
        <f t="shared" si="127"/>
        <v>810.26</v>
      </c>
      <c r="AS158" s="222">
        <v>1.034</v>
      </c>
      <c r="AT158" s="337">
        <v>-0.13769999999999999</v>
      </c>
      <c r="AU158" s="285">
        <f t="shared" si="117"/>
        <v>8.0000000000000071E-3</v>
      </c>
      <c r="AW158" s="288">
        <f t="shared" si="118"/>
        <v>0.21559999999999999</v>
      </c>
      <c r="AX158" s="106">
        <v>689</v>
      </c>
      <c r="AY158" s="127" t="b">
        <f t="shared" si="119"/>
        <v>1</v>
      </c>
      <c r="AZ158" s="289">
        <f t="shared" si="120"/>
        <v>-2.9980000000000002</v>
      </c>
      <c r="BC158">
        <f t="shared" si="121"/>
        <v>1.042</v>
      </c>
    </row>
    <row r="159" spans="1:55" ht="25.5" outlineLevel="1" x14ac:dyDescent="0.3">
      <c r="A159" s="264"/>
      <c r="B159" s="264"/>
      <c r="C159" s="265"/>
      <c r="D159" s="239"/>
      <c r="E159" s="239"/>
      <c r="F159" s="168"/>
      <c r="G159" s="266"/>
      <c r="H159" s="168"/>
      <c r="I159" s="168"/>
      <c r="J159" s="295" t="s">
        <v>366</v>
      </c>
      <c r="K159" s="121" t="s">
        <v>335</v>
      </c>
      <c r="L159" s="266" t="str">
        <f>VLOOKUP(K159,[6]материалы!$A$5:$G$31,5, FALSE)</f>
        <v>кг</v>
      </c>
      <c r="M159" s="168">
        <f>VLOOKUP(K159,[6]материалы!$A$5:$G$34,7, FALSE)</f>
        <v>720.83</v>
      </c>
      <c r="N159" s="168">
        <v>5.0000000000000001E-3</v>
      </c>
      <c r="O159" s="168">
        <f t="shared" ref="O159:O165" si="130">ROUND(M159*N159,2)</f>
        <v>3.6</v>
      </c>
      <c r="P159" s="168"/>
      <c r="Q159" s="168"/>
      <c r="R159" s="268"/>
      <c r="S159" s="268"/>
      <c r="T159" s="268"/>
      <c r="U159" s="269"/>
      <c r="V159" s="336"/>
      <c r="W159" s="271"/>
      <c r="X159" s="272"/>
      <c r="Z159" s="273"/>
      <c r="AA159" s="58"/>
      <c r="AB159" s="275"/>
      <c r="AC159" s="276"/>
      <c r="AD159" s="277"/>
      <c r="AG159" s="106"/>
      <c r="AH159" s="281"/>
      <c r="AI159" s="282"/>
      <c r="AJ159" s="283"/>
      <c r="AK159" s="284"/>
      <c r="AM159" s="222"/>
      <c r="AN159" s="285"/>
      <c r="AO159" s="285"/>
      <c r="AQ159" s="286"/>
      <c r="AS159" s="222"/>
      <c r="AT159" s="337"/>
      <c r="AU159" s="285"/>
      <c r="AW159" s="288"/>
      <c r="AX159" s="106"/>
      <c r="AZ159" s="289"/>
    </row>
    <row r="160" spans="1:55" outlineLevel="1" x14ac:dyDescent="0.3">
      <c r="A160" s="264"/>
      <c r="B160" s="264"/>
      <c r="C160" s="265"/>
      <c r="D160" s="239"/>
      <c r="E160" s="239"/>
      <c r="F160" s="168"/>
      <c r="G160" s="266"/>
      <c r="H160" s="168"/>
      <c r="I160" s="168"/>
      <c r="J160" s="168"/>
      <c r="K160" s="296" t="s">
        <v>329</v>
      </c>
      <c r="L160" s="266" t="str">
        <f>VLOOKUP(K160,[6]материалы!$A$5:$G$31,5, FALSE)</f>
        <v>кг</v>
      </c>
      <c r="M160" s="168">
        <f>VLOOKUP(K160,[6]материалы!$A$5:$G$34,7, FALSE)</f>
        <v>79.17</v>
      </c>
      <c r="N160" s="168">
        <v>1E-3</v>
      </c>
      <c r="O160" s="168">
        <f t="shared" si="130"/>
        <v>0.08</v>
      </c>
      <c r="P160" s="168"/>
      <c r="Q160" s="168"/>
      <c r="R160" s="268"/>
      <c r="S160" s="268"/>
      <c r="T160" s="268"/>
      <c r="U160" s="269"/>
      <c r="V160" s="336"/>
      <c r="W160" s="271"/>
      <c r="X160" s="272"/>
      <c r="Z160" s="273"/>
      <c r="AA160" s="58"/>
      <c r="AB160" s="275"/>
      <c r="AC160" s="276"/>
      <c r="AD160" s="277"/>
      <c r="AG160" s="106"/>
      <c r="AH160" s="281"/>
      <c r="AI160" s="282"/>
      <c r="AJ160" s="283"/>
      <c r="AK160" s="284"/>
      <c r="AM160" s="222"/>
      <c r="AN160" s="285"/>
      <c r="AO160" s="285"/>
      <c r="AQ160" s="286"/>
      <c r="AS160" s="222"/>
      <c r="AT160" s="337"/>
      <c r="AU160" s="285"/>
      <c r="AW160" s="288"/>
      <c r="AX160" s="106"/>
      <c r="AZ160" s="289"/>
    </row>
    <row r="161" spans="1:55" outlineLevel="1" x14ac:dyDescent="0.3">
      <c r="A161" s="264"/>
      <c r="B161" s="264"/>
      <c r="C161" s="265"/>
      <c r="D161" s="239"/>
      <c r="E161" s="239"/>
      <c r="F161" s="168"/>
      <c r="G161" s="266"/>
      <c r="H161" s="168"/>
      <c r="I161" s="168"/>
      <c r="J161" s="168"/>
      <c r="K161" s="296" t="s">
        <v>330</v>
      </c>
      <c r="L161" s="266" t="str">
        <f>VLOOKUP(K161,[6]материалы!$A$5:$G$31,5, FALSE)</f>
        <v>кг</v>
      </c>
      <c r="M161" s="168">
        <f>VLOOKUP(K161,[6]материалы!$A$5:$G$34,7, FALSE)</f>
        <v>66.67</v>
      </c>
      <c r="N161" s="168">
        <v>0.01</v>
      </c>
      <c r="O161" s="168">
        <f t="shared" si="130"/>
        <v>0.67</v>
      </c>
      <c r="P161" s="168"/>
      <c r="Q161" s="168"/>
      <c r="R161" s="268"/>
      <c r="S161" s="268"/>
      <c r="T161" s="268"/>
      <c r="U161" s="269"/>
      <c r="V161" s="336"/>
      <c r="W161" s="271"/>
      <c r="X161" s="272"/>
      <c r="Z161" s="273"/>
      <c r="AA161" s="58"/>
      <c r="AB161" s="275"/>
      <c r="AC161" s="276"/>
      <c r="AD161" s="277"/>
      <c r="AG161" s="106"/>
      <c r="AH161" s="281"/>
      <c r="AI161" s="282"/>
      <c r="AJ161" s="283"/>
      <c r="AK161" s="284"/>
      <c r="AM161" s="222"/>
      <c r="AN161" s="285"/>
      <c r="AO161" s="285"/>
      <c r="AQ161" s="286"/>
      <c r="AS161" s="222"/>
      <c r="AT161" s="337"/>
      <c r="AU161" s="285"/>
      <c r="AW161" s="288"/>
      <c r="AX161" s="106"/>
      <c r="AZ161" s="289"/>
    </row>
    <row r="162" spans="1:55" ht="39.75" customHeight="1" x14ac:dyDescent="0.3">
      <c r="A162" s="264" t="s">
        <v>433</v>
      </c>
      <c r="B162" s="264" t="s">
        <v>27</v>
      </c>
      <c r="C162" s="265" t="s">
        <v>409</v>
      </c>
      <c r="D162" s="239" t="s">
        <v>30</v>
      </c>
      <c r="E162" s="239" t="s">
        <v>161</v>
      </c>
      <c r="F162" s="168">
        <f>VLOOKUP(E162,'[6]условия, ФОТ'!$A$14:$I$32,9, FALSE)</f>
        <v>180.5</v>
      </c>
      <c r="G162" s="266">
        <v>0.9</v>
      </c>
      <c r="H162" s="168">
        <f t="shared" si="126"/>
        <v>162.44999999999999</v>
      </c>
      <c r="I162" s="168">
        <f t="shared" si="123"/>
        <v>49.06</v>
      </c>
      <c r="J162" s="168">
        <f t="shared" si="124"/>
        <v>211.51</v>
      </c>
      <c r="K162" s="267"/>
      <c r="L162" s="168"/>
      <c r="M162" s="168"/>
      <c r="N162" s="168"/>
      <c r="O162" s="168">
        <f>SUM(O163:O165)</f>
        <v>4.3500000000000005</v>
      </c>
      <c r="P162" s="168">
        <f>J162+O162</f>
        <v>215.85999999999999</v>
      </c>
      <c r="Q162" s="168">
        <f t="shared" si="20"/>
        <v>143.55000000000001</v>
      </c>
      <c r="R162" s="268">
        <f>ROUND(T162/1.2,2)</f>
        <v>387.5</v>
      </c>
      <c r="S162" s="268">
        <f t="shared" si="21"/>
        <v>77.5</v>
      </c>
      <c r="T162" s="268">
        <f>ROUND((P162+Q162)*(1+AC162)*1.2,0)</f>
        <v>465</v>
      </c>
      <c r="U162" s="269">
        <v>345</v>
      </c>
      <c r="V162" s="336">
        <f t="shared" si="70"/>
        <v>34.782608695652186</v>
      </c>
      <c r="W162" s="271">
        <v>446</v>
      </c>
      <c r="X162" s="272">
        <f t="shared" si="112"/>
        <v>4.2600896860986524</v>
      </c>
      <c r="Y162" s="231">
        <v>356</v>
      </c>
      <c r="Z162" s="273">
        <v>1.042</v>
      </c>
      <c r="AA162" s="274">
        <f>ROUND(W162*Z162,2)</f>
        <v>464.73</v>
      </c>
      <c r="AB162" s="275">
        <f>ROUND((P162+Q162)*1.2,2)</f>
        <v>431.29</v>
      </c>
      <c r="AC162" s="276">
        <f>ROUND((AA162/AB162)*100%-100%,4)</f>
        <v>7.7499999999999999E-2</v>
      </c>
      <c r="AD162" s="277">
        <f t="shared" si="113"/>
        <v>33.424975000000003</v>
      </c>
      <c r="AF162" s="235">
        <v>368.10399999999998</v>
      </c>
      <c r="AG162" s="106">
        <v>446</v>
      </c>
      <c r="AH162" s="281">
        <f t="shared" si="114"/>
        <v>19</v>
      </c>
      <c r="AI162" s="282">
        <v>4.9399999999999999E-2</v>
      </c>
      <c r="AJ162" s="283">
        <f t="shared" si="115"/>
        <v>33.424975000000003</v>
      </c>
      <c r="AK162" s="284"/>
      <c r="AM162" s="222">
        <v>-0.1333</v>
      </c>
      <c r="AN162" s="285">
        <f t="shared" si="116"/>
        <v>1.1333</v>
      </c>
      <c r="AO162" s="285">
        <v>1.1719999999999999</v>
      </c>
      <c r="AQ162" s="286">
        <f t="shared" si="127"/>
        <v>522.71</v>
      </c>
      <c r="AS162" s="222">
        <v>1.034</v>
      </c>
      <c r="AT162" s="337">
        <v>-0.1333</v>
      </c>
      <c r="AU162" s="285">
        <f t="shared" si="117"/>
        <v>8.0000000000000071E-3</v>
      </c>
      <c r="AW162" s="288">
        <f t="shared" si="118"/>
        <v>0.21079999999999999</v>
      </c>
      <c r="AX162" s="106">
        <v>446</v>
      </c>
      <c r="AY162" s="127" t="b">
        <f t="shared" si="119"/>
        <v>1</v>
      </c>
      <c r="AZ162" s="289">
        <f t="shared" si="120"/>
        <v>-3.048</v>
      </c>
      <c r="BC162">
        <f t="shared" si="121"/>
        <v>1.0429999999999999</v>
      </c>
    </row>
    <row r="163" spans="1:55" ht="25.5" outlineLevel="1" x14ac:dyDescent="0.3">
      <c r="A163" s="264"/>
      <c r="B163" s="264"/>
      <c r="C163" s="265"/>
      <c r="D163" s="239"/>
      <c r="E163" s="239"/>
      <c r="F163" s="168"/>
      <c r="G163" s="266"/>
      <c r="H163" s="168"/>
      <c r="I163" s="168"/>
      <c r="J163" s="295" t="s">
        <v>366</v>
      </c>
      <c r="K163" s="121" t="s">
        <v>335</v>
      </c>
      <c r="L163" s="266" t="str">
        <f>VLOOKUP(K163,[6]материалы!$A$5:$G$31,5, FALSE)</f>
        <v>кг</v>
      </c>
      <c r="M163" s="168">
        <f>VLOOKUP(K163,[6]материалы!$A$5:$G$34,7, FALSE)</f>
        <v>720.83</v>
      </c>
      <c r="N163" s="168">
        <v>5.0000000000000001E-3</v>
      </c>
      <c r="O163" s="168">
        <f t="shared" si="130"/>
        <v>3.6</v>
      </c>
      <c r="P163" s="168"/>
      <c r="Q163" s="168"/>
      <c r="R163" s="268"/>
      <c r="S163" s="268"/>
      <c r="T163" s="268"/>
      <c r="U163" s="269"/>
      <c r="V163" s="336"/>
      <c r="W163" s="271"/>
      <c r="X163" s="272"/>
      <c r="Z163" s="273"/>
      <c r="AA163" s="58"/>
      <c r="AB163" s="275"/>
      <c r="AC163" s="276"/>
      <c r="AD163" s="277"/>
      <c r="AG163" s="106"/>
      <c r="AH163" s="281"/>
      <c r="AI163" s="282"/>
      <c r="AJ163" s="283"/>
      <c r="AK163" s="284"/>
      <c r="AM163" s="222"/>
      <c r="AN163" s="285"/>
      <c r="AO163" s="285"/>
      <c r="AQ163" s="286"/>
      <c r="AS163" s="222"/>
      <c r="AT163" s="337"/>
      <c r="AU163" s="285"/>
      <c r="AW163" s="288"/>
      <c r="AX163" s="106"/>
      <c r="AZ163" s="289"/>
    </row>
    <row r="164" spans="1:55" outlineLevel="1" x14ac:dyDescent="0.3">
      <c r="A164" s="264"/>
      <c r="B164" s="264"/>
      <c r="C164" s="265"/>
      <c r="D164" s="239"/>
      <c r="E164" s="239"/>
      <c r="F164" s="168"/>
      <c r="G164" s="266"/>
      <c r="H164" s="168"/>
      <c r="I164" s="168"/>
      <c r="J164" s="168"/>
      <c r="K164" s="296" t="s">
        <v>329</v>
      </c>
      <c r="L164" s="266" t="str">
        <f>VLOOKUP(K164,[6]материалы!$A$5:$G$31,5, FALSE)</f>
        <v>кг</v>
      </c>
      <c r="M164" s="168">
        <f>VLOOKUP(K164,[6]материалы!$A$5:$G$34,7, FALSE)</f>
        <v>79.17</v>
      </c>
      <c r="N164" s="168">
        <v>1E-3</v>
      </c>
      <c r="O164" s="168">
        <f t="shared" si="130"/>
        <v>0.08</v>
      </c>
      <c r="P164" s="168"/>
      <c r="Q164" s="168"/>
      <c r="R164" s="268"/>
      <c r="S164" s="268"/>
      <c r="T164" s="268"/>
      <c r="U164" s="269"/>
      <c r="V164" s="336"/>
      <c r="W164" s="271"/>
      <c r="X164" s="272"/>
      <c r="Z164" s="273"/>
      <c r="AA164" s="58"/>
      <c r="AB164" s="275"/>
      <c r="AC164" s="276"/>
      <c r="AD164" s="277"/>
      <c r="AG164" s="106"/>
      <c r="AH164" s="281"/>
      <c r="AI164" s="282"/>
      <c r="AJ164" s="283"/>
      <c r="AK164" s="284"/>
      <c r="AM164" s="222"/>
      <c r="AN164" s="285"/>
      <c r="AO164" s="285"/>
      <c r="AQ164" s="286"/>
      <c r="AS164" s="222"/>
      <c r="AT164" s="337"/>
      <c r="AU164" s="285"/>
      <c r="AW164" s="288"/>
      <c r="AX164" s="106"/>
      <c r="AZ164" s="289"/>
    </row>
    <row r="165" spans="1:55" outlineLevel="1" x14ac:dyDescent="0.3">
      <c r="A165" s="264"/>
      <c r="B165" s="264"/>
      <c r="C165" s="265"/>
      <c r="D165" s="239"/>
      <c r="E165" s="239"/>
      <c r="F165" s="168"/>
      <c r="G165" s="266"/>
      <c r="H165" s="168"/>
      <c r="I165" s="168"/>
      <c r="J165" s="168"/>
      <c r="K165" s="296" t="s">
        <v>330</v>
      </c>
      <c r="L165" s="266" t="str">
        <f>VLOOKUP(K165,[6]материалы!$A$5:$G$31,5, FALSE)</f>
        <v>кг</v>
      </c>
      <c r="M165" s="168">
        <f>VLOOKUP(K165,[6]материалы!$A$5:$G$34,7, FALSE)</f>
        <v>66.67</v>
      </c>
      <c r="N165" s="168">
        <v>0.01</v>
      </c>
      <c r="O165" s="168">
        <f t="shared" si="130"/>
        <v>0.67</v>
      </c>
      <c r="P165" s="168"/>
      <c r="Q165" s="168"/>
      <c r="R165" s="268"/>
      <c r="S165" s="268"/>
      <c r="T165" s="268"/>
      <c r="U165" s="269"/>
      <c r="V165" s="336"/>
      <c r="W165" s="271"/>
      <c r="X165" s="272"/>
      <c r="Z165" s="273"/>
      <c r="AA165" s="58"/>
      <c r="AB165" s="275"/>
      <c r="AC165" s="276"/>
      <c r="AD165" s="277"/>
      <c r="AG165" s="106"/>
      <c r="AH165" s="281"/>
      <c r="AI165" s="282"/>
      <c r="AJ165" s="283"/>
      <c r="AK165" s="284"/>
      <c r="AM165" s="222"/>
      <c r="AN165" s="285"/>
      <c r="AO165" s="285"/>
      <c r="AQ165" s="286"/>
      <c r="AS165" s="222"/>
      <c r="AT165" s="337"/>
      <c r="AU165" s="285"/>
      <c r="AW165" s="288"/>
      <c r="AX165" s="106"/>
      <c r="AZ165" s="289"/>
    </row>
    <row r="166" spans="1:55" s="377" customFormat="1" x14ac:dyDescent="0.3">
      <c r="A166" s="264" t="s">
        <v>434</v>
      </c>
      <c r="B166" s="264" t="s">
        <v>174</v>
      </c>
      <c r="C166" s="265" t="s">
        <v>32</v>
      </c>
      <c r="D166" s="168" t="s">
        <v>175</v>
      </c>
      <c r="E166" s="239" t="s">
        <v>161</v>
      </c>
      <c r="F166" s="168">
        <f>VLOOKUP(E166,'[6]условия, ФОТ'!$A$14:$I$32,9, FALSE)</f>
        <v>180.5</v>
      </c>
      <c r="G166" s="266">
        <v>0.28999999999999998</v>
      </c>
      <c r="H166" s="168">
        <f t="shared" si="126"/>
        <v>52.35</v>
      </c>
      <c r="I166" s="168">
        <f t="shared" si="123"/>
        <v>15.81</v>
      </c>
      <c r="J166" s="168">
        <f t="shared" si="124"/>
        <v>68.16</v>
      </c>
      <c r="K166" s="267"/>
      <c r="L166" s="168"/>
      <c r="M166" s="168"/>
      <c r="N166" s="168"/>
      <c r="O166" s="168"/>
      <c r="P166" s="168">
        <f t="shared" si="129"/>
        <v>68.16</v>
      </c>
      <c r="Q166" s="168">
        <f t="shared" si="20"/>
        <v>45.33</v>
      </c>
      <c r="R166" s="268">
        <f>ROUND(T166/1.2,2)</f>
        <v>122.5</v>
      </c>
      <c r="S166" s="268">
        <f>ROUND(R166*$S$5,2)</f>
        <v>24.5</v>
      </c>
      <c r="T166" s="268">
        <f t="shared" ref="T166:T185" si="131">ROUND((P166+Q166)*(1+AC166)*1.2,0)</f>
        <v>147</v>
      </c>
      <c r="U166" s="268">
        <v>108</v>
      </c>
      <c r="V166" s="368">
        <f t="shared" si="70"/>
        <v>36.111111111111114</v>
      </c>
      <c r="W166" s="369">
        <v>141</v>
      </c>
      <c r="X166" s="370">
        <f t="shared" si="112"/>
        <v>4.2553191489361808</v>
      </c>
      <c r="Y166" s="371">
        <v>111</v>
      </c>
      <c r="Z166" s="273">
        <v>1.042</v>
      </c>
      <c r="AA166" s="372">
        <f t="shared" ref="AA166:AA185" si="132">ROUND(W166*Z166,2)</f>
        <v>146.91999999999999</v>
      </c>
      <c r="AB166" s="373">
        <f t="shared" ref="AB166:AB185" si="133">ROUND((P166+Q166)*1.2,2)</f>
        <v>136.19</v>
      </c>
      <c r="AC166" s="276">
        <f t="shared" ref="AC166:AC185" si="134">ROUND((AA166/AB166)*100%-100%,4)</f>
        <v>7.8799999999999995E-2</v>
      </c>
      <c r="AD166" s="374">
        <f t="shared" si="113"/>
        <v>10.731771999999999</v>
      </c>
      <c r="AE166" s="375"/>
      <c r="AF166" s="376">
        <v>114.774</v>
      </c>
      <c r="AG166" s="280">
        <v>141</v>
      </c>
      <c r="AH166" s="281">
        <f t="shared" si="114"/>
        <v>6</v>
      </c>
      <c r="AI166" s="282">
        <v>4.9700000000000001E-2</v>
      </c>
      <c r="AJ166" s="283">
        <f t="shared" si="115"/>
        <v>10.731771999999999</v>
      </c>
      <c r="AK166" s="284"/>
      <c r="AM166" s="378">
        <v>-0.14410000000000001</v>
      </c>
      <c r="AN166" s="285">
        <f t="shared" si="116"/>
        <v>1.1440999999999999</v>
      </c>
      <c r="AO166" s="285">
        <v>1.1830000000000001</v>
      </c>
      <c r="AQ166" s="286">
        <f t="shared" si="127"/>
        <v>166.8</v>
      </c>
      <c r="AR166" s="379"/>
      <c r="AS166" s="378">
        <v>1.034</v>
      </c>
      <c r="AT166" s="380">
        <v>-0.14410000000000001</v>
      </c>
      <c r="AU166" s="285">
        <f t="shared" si="117"/>
        <v>8.0000000000000071E-3</v>
      </c>
      <c r="AW166" s="288">
        <f t="shared" si="118"/>
        <v>0.22289999999999999</v>
      </c>
      <c r="AX166" s="280">
        <v>141</v>
      </c>
      <c r="AY166" s="127" t="b">
        <f t="shared" si="119"/>
        <v>1</v>
      </c>
      <c r="AZ166" s="289">
        <f t="shared" si="120"/>
        <v>-3.0380000000000003</v>
      </c>
      <c r="BA166"/>
      <c r="BB166"/>
      <c r="BC166">
        <f t="shared" si="121"/>
        <v>1.0429999999999999</v>
      </c>
    </row>
    <row r="167" spans="1:55" x14ac:dyDescent="0.3">
      <c r="A167" s="264" t="s">
        <v>436</v>
      </c>
      <c r="B167" s="264" t="s">
        <v>176</v>
      </c>
      <c r="C167" s="265" t="s">
        <v>33</v>
      </c>
      <c r="D167" s="168" t="s">
        <v>177</v>
      </c>
      <c r="E167" s="239" t="s">
        <v>161</v>
      </c>
      <c r="F167" s="168">
        <f>VLOOKUP(E167,'[6]условия, ФОТ'!$A$14:$I$32,9, FALSE)</f>
        <v>180.5</v>
      </c>
      <c r="G167" s="266">
        <v>0.28999999999999998</v>
      </c>
      <c r="H167" s="168">
        <f t="shared" si="126"/>
        <v>52.35</v>
      </c>
      <c r="I167" s="168">
        <f t="shared" si="123"/>
        <v>15.81</v>
      </c>
      <c r="J167" s="168">
        <f t="shared" si="124"/>
        <v>68.16</v>
      </c>
      <c r="K167" s="267"/>
      <c r="L167" s="168"/>
      <c r="M167" s="168"/>
      <c r="N167" s="168"/>
      <c r="O167" s="168"/>
      <c r="P167" s="168">
        <f t="shared" si="129"/>
        <v>68.16</v>
      </c>
      <c r="Q167" s="168">
        <f t="shared" si="20"/>
        <v>45.33</v>
      </c>
      <c r="R167" s="268">
        <f t="shared" ref="R167:R185" si="135">ROUND(T167/1.2,2)</f>
        <v>122.5</v>
      </c>
      <c r="S167" s="268">
        <f>ROUND(R167*$S$5,2)</f>
        <v>24.5</v>
      </c>
      <c r="T167" s="268">
        <f t="shared" si="131"/>
        <v>147</v>
      </c>
      <c r="U167" s="269">
        <v>108</v>
      </c>
      <c r="V167" s="336">
        <f t="shared" si="70"/>
        <v>36.111111111111114</v>
      </c>
      <c r="W167" s="271">
        <v>141</v>
      </c>
      <c r="X167" s="272">
        <f t="shared" si="112"/>
        <v>4.2553191489361808</v>
      </c>
      <c r="Y167" s="231">
        <v>111</v>
      </c>
      <c r="Z167" s="273">
        <v>1.042</v>
      </c>
      <c r="AA167" s="274">
        <f t="shared" si="132"/>
        <v>146.91999999999999</v>
      </c>
      <c r="AB167" s="275">
        <f t="shared" si="133"/>
        <v>136.19</v>
      </c>
      <c r="AC167" s="276">
        <f t="shared" si="134"/>
        <v>7.8799999999999995E-2</v>
      </c>
      <c r="AD167" s="277">
        <f t="shared" si="113"/>
        <v>10.731771999999999</v>
      </c>
      <c r="AF167" s="235">
        <v>114.774</v>
      </c>
      <c r="AG167" s="106">
        <v>141</v>
      </c>
      <c r="AH167" s="281">
        <f t="shared" si="114"/>
        <v>6</v>
      </c>
      <c r="AI167" s="282">
        <v>4.9700000000000001E-2</v>
      </c>
      <c r="AJ167" s="283">
        <f t="shared" si="115"/>
        <v>10.731771999999999</v>
      </c>
      <c r="AK167" s="284"/>
      <c r="AM167" s="222">
        <v>-0.14410000000000001</v>
      </c>
      <c r="AN167" s="285">
        <f t="shared" si="116"/>
        <v>1.1440999999999999</v>
      </c>
      <c r="AO167" s="285">
        <v>1.1830000000000001</v>
      </c>
      <c r="AQ167" s="286">
        <f t="shared" si="127"/>
        <v>166.8</v>
      </c>
      <c r="AS167" s="222">
        <v>1.034</v>
      </c>
      <c r="AT167" s="337">
        <v>-0.14410000000000001</v>
      </c>
      <c r="AU167" s="285">
        <f t="shared" si="117"/>
        <v>8.0000000000000071E-3</v>
      </c>
      <c r="AW167" s="288">
        <f t="shared" si="118"/>
        <v>0.22289999999999999</v>
      </c>
      <c r="AX167" s="106">
        <v>141</v>
      </c>
      <c r="AY167" s="127" t="b">
        <f t="shared" si="119"/>
        <v>1</v>
      </c>
      <c r="AZ167" s="289">
        <f t="shared" si="120"/>
        <v>-3.0380000000000003</v>
      </c>
      <c r="BC167">
        <f t="shared" si="121"/>
        <v>1.0429999999999999</v>
      </c>
    </row>
    <row r="168" spans="1:55" x14ac:dyDescent="0.3">
      <c r="A168" s="264" t="s">
        <v>437</v>
      </c>
      <c r="B168" s="264" t="s">
        <v>178</v>
      </c>
      <c r="C168" s="265" t="s">
        <v>34</v>
      </c>
      <c r="D168" s="168" t="s">
        <v>177</v>
      </c>
      <c r="E168" s="239" t="s">
        <v>161</v>
      </c>
      <c r="F168" s="168">
        <f>VLOOKUP(E168,'[6]условия, ФОТ'!$A$14:$I$32,9, FALSE)</f>
        <v>180.5</v>
      </c>
      <c r="G168" s="266">
        <v>0.36</v>
      </c>
      <c r="H168" s="168">
        <f t="shared" si="126"/>
        <v>64.98</v>
      </c>
      <c r="I168" s="168">
        <f t="shared" si="123"/>
        <v>19.62</v>
      </c>
      <c r="J168" s="168">
        <f t="shared" si="124"/>
        <v>84.600000000000009</v>
      </c>
      <c r="K168" s="267"/>
      <c r="L168" s="168"/>
      <c r="M168" s="168"/>
      <c r="N168" s="168"/>
      <c r="O168" s="168"/>
      <c r="P168" s="168">
        <f t="shared" si="129"/>
        <v>84.600000000000009</v>
      </c>
      <c r="Q168" s="168">
        <f t="shared" si="20"/>
        <v>56.26</v>
      </c>
      <c r="R168" s="268">
        <f t="shared" si="135"/>
        <v>151.66999999999999</v>
      </c>
      <c r="S168" s="268">
        <f>ROUND(R168*$S$5,2)</f>
        <v>30.33</v>
      </c>
      <c r="T168" s="268">
        <f t="shared" si="131"/>
        <v>182</v>
      </c>
      <c r="U168" s="269">
        <v>134</v>
      </c>
      <c r="V168" s="336">
        <f t="shared" si="70"/>
        <v>35.820895522388042</v>
      </c>
      <c r="W168" s="271">
        <v>175</v>
      </c>
      <c r="X168" s="272">
        <f t="shared" si="112"/>
        <v>4</v>
      </c>
      <c r="Y168" s="231">
        <v>138</v>
      </c>
      <c r="Z168" s="273">
        <v>1.042</v>
      </c>
      <c r="AA168" s="274">
        <f t="shared" si="132"/>
        <v>182.35</v>
      </c>
      <c r="AB168" s="275">
        <f t="shared" si="133"/>
        <v>169.03</v>
      </c>
      <c r="AC168" s="276">
        <f t="shared" si="134"/>
        <v>7.8799999999999995E-2</v>
      </c>
      <c r="AD168" s="277">
        <f t="shared" si="113"/>
        <v>13.319564</v>
      </c>
      <c r="AF168" s="235">
        <v>142.69200000000001</v>
      </c>
      <c r="AG168" s="106">
        <v>175</v>
      </c>
      <c r="AH168" s="281">
        <f t="shared" si="114"/>
        <v>7</v>
      </c>
      <c r="AI168" s="282">
        <v>4.9799999999999997E-2</v>
      </c>
      <c r="AJ168" s="283">
        <f t="shared" si="115"/>
        <v>13.319564</v>
      </c>
      <c r="AK168" s="284"/>
      <c r="AM168" s="222">
        <v>-0.1426</v>
      </c>
      <c r="AN168" s="285">
        <f t="shared" si="116"/>
        <v>1.1426000000000001</v>
      </c>
      <c r="AO168" s="285">
        <v>1.181</v>
      </c>
      <c r="AQ168" s="286">
        <f t="shared" si="127"/>
        <v>206.68</v>
      </c>
      <c r="AS168" s="222">
        <v>1.034</v>
      </c>
      <c r="AT168" s="337">
        <v>-0.1426</v>
      </c>
      <c r="AU168" s="285">
        <f t="shared" si="117"/>
        <v>8.0000000000000071E-3</v>
      </c>
      <c r="AW168" s="288">
        <f t="shared" si="118"/>
        <v>0.22139999999999999</v>
      </c>
      <c r="AX168" s="106">
        <v>175</v>
      </c>
      <c r="AY168" s="127" t="b">
        <f t="shared" si="119"/>
        <v>1</v>
      </c>
      <c r="AZ168" s="289">
        <f t="shared" si="120"/>
        <v>-2.8079999999999998</v>
      </c>
      <c r="BC168">
        <f t="shared" si="121"/>
        <v>1.04</v>
      </c>
    </row>
    <row r="169" spans="1:55" x14ac:dyDescent="0.3">
      <c r="A169" s="264" t="s">
        <v>438</v>
      </c>
      <c r="B169" s="264" t="s">
        <v>179</v>
      </c>
      <c r="C169" s="265" t="s">
        <v>35</v>
      </c>
      <c r="D169" s="168" t="s">
        <v>180</v>
      </c>
      <c r="E169" s="239" t="s">
        <v>161</v>
      </c>
      <c r="F169" s="168">
        <f>VLOOKUP(E169,'[6]условия, ФОТ'!$A$14:$I$32,9, FALSE)</f>
        <v>180.5</v>
      </c>
      <c r="G169" s="266">
        <v>0.15</v>
      </c>
      <c r="H169" s="168">
        <f t="shared" si="126"/>
        <v>27.08</v>
      </c>
      <c r="I169" s="168">
        <f t="shared" si="123"/>
        <v>8.18</v>
      </c>
      <c r="J169" s="168">
        <f t="shared" si="124"/>
        <v>35.26</v>
      </c>
      <c r="K169" s="267"/>
      <c r="L169" s="168"/>
      <c r="M169" s="168"/>
      <c r="N169" s="168"/>
      <c r="O169" s="168"/>
      <c r="P169" s="168">
        <f t="shared" si="129"/>
        <v>35.26</v>
      </c>
      <c r="Q169" s="168">
        <f t="shared" si="20"/>
        <v>23.45</v>
      </c>
      <c r="R169" s="268">
        <f t="shared" si="135"/>
        <v>63.33</v>
      </c>
      <c r="S169" s="268">
        <f t="shared" si="21"/>
        <v>12.67</v>
      </c>
      <c r="T169" s="268">
        <f t="shared" si="131"/>
        <v>76</v>
      </c>
      <c r="U169" s="269">
        <v>56</v>
      </c>
      <c r="V169" s="336">
        <f t="shared" si="70"/>
        <v>35.714285714285722</v>
      </c>
      <c r="W169" s="271">
        <v>73</v>
      </c>
      <c r="X169" s="272">
        <f t="shared" si="112"/>
        <v>4.1095890410958873</v>
      </c>
      <c r="Y169" s="231">
        <v>58</v>
      </c>
      <c r="Z169" s="273">
        <v>1.042</v>
      </c>
      <c r="AA169" s="274">
        <f t="shared" si="132"/>
        <v>76.069999999999993</v>
      </c>
      <c r="AB169" s="275">
        <f t="shared" si="133"/>
        <v>70.45</v>
      </c>
      <c r="AC169" s="276">
        <f t="shared" si="134"/>
        <v>7.9799999999999996E-2</v>
      </c>
      <c r="AD169" s="277">
        <f t="shared" si="113"/>
        <v>5.6219099999999997</v>
      </c>
      <c r="AF169" s="235">
        <v>59.972000000000001</v>
      </c>
      <c r="AG169" s="106">
        <v>73</v>
      </c>
      <c r="AH169" s="281">
        <f t="shared" si="114"/>
        <v>3</v>
      </c>
      <c r="AI169" s="282">
        <v>4.9799999999999997E-2</v>
      </c>
      <c r="AJ169" s="283">
        <f t="shared" si="115"/>
        <v>5.6219099999999997</v>
      </c>
      <c r="AK169" s="284"/>
      <c r="AM169" s="222">
        <v>-0.1351</v>
      </c>
      <c r="AN169" s="285">
        <f t="shared" si="116"/>
        <v>1.1351</v>
      </c>
      <c r="AO169" s="285">
        <v>1.1739999999999999</v>
      </c>
      <c r="AQ169" s="286">
        <f t="shared" si="127"/>
        <v>85.7</v>
      </c>
      <c r="AS169" s="222">
        <v>1.034</v>
      </c>
      <c r="AT169" s="337">
        <v>-0.1351</v>
      </c>
      <c r="AU169" s="285">
        <f t="shared" si="117"/>
        <v>8.0000000000000071E-3</v>
      </c>
      <c r="AW169" s="288">
        <f t="shared" si="118"/>
        <v>0.21489999999999998</v>
      </c>
      <c r="AX169" s="106">
        <v>73</v>
      </c>
      <c r="AY169" s="127" t="b">
        <f t="shared" si="119"/>
        <v>1</v>
      </c>
      <c r="AZ169" s="289">
        <f t="shared" si="120"/>
        <v>-2.9080000000000004</v>
      </c>
      <c r="BC169">
        <f t="shared" si="121"/>
        <v>1.0409999999999999</v>
      </c>
    </row>
    <row r="170" spans="1:55" x14ac:dyDescent="0.3">
      <c r="A170" s="264" t="s">
        <v>439</v>
      </c>
      <c r="B170" s="264" t="s">
        <v>181</v>
      </c>
      <c r="C170" s="265" t="s">
        <v>36</v>
      </c>
      <c r="D170" s="168" t="s">
        <v>182</v>
      </c>
      <c r="E170" s="239" t="s">
        <v>161</v>
      </c>
      <c r="F170" s="168">
        <f>VLOOKUP(E170,'[6]условия, ФОТ'!$A$14:$I$32,9, FALSE)</f>
        <v>180.5</v>
      </c>
      <c r="G170" s="266">
        <v>0.2</v>
      </c>
      <c r="H170" s="168">
        <f t="shared" si="126"/>
        <v>36.1</v>
      </c>
      <c r="I170" s="168">
        <f t="shared" si="123"/>
        <v>10.9</v>
      </c>
      <c r="J170" s="168">
        <f t="shared" si="124"/>
        <v>47</v>
      </c>
      <c r="K170" s="267"/>
      <c r="L170" s="168"/>
      <c r="M170" s="168"/>
      <c r="N170" s="168"/>
      <c r="O170" s="168"/>
      <c r="P170" s="168">
        <f t="shared" si="129"/>
        <v>47</v>
      </c>
      <c r="Q170" s="168">
        <f t="shared" si="20"/>
        <v>31.26</v>
      </c>
      <c r="R170" s="268">
        <f t="shared" si="135"/>
        <v>84.17</v>
      </c>
      <c r="S170" s="268">
        <f>ROUND(R170*$S$5,2)</f>
        <v>16.829999999999998</v>
      </c>
      <c r="T170" s="268">
        <f t="shared" si="131"/>
        <v>101</v>
      </c>
      <c r="U170" s="269">
        <v>74</v>
      </c>
      <c r="V170" s="336">
        <f t="shared" si="70"/>
        <v>36.486486486486484</v>
      </c>
      <c r="W170" s="271">
        <v>97</v>
      </c>
      <c r="X170" s="272">
        <f t="shared" si="112"/>
        <v>4.1237113402061993</v>
      </c>
      <c r="Y170" s="231">
        <v>77</v>
      </c>
      <c r="Z170" s="273">
        <v>1.042</v>
      </c>
      <c r="AA170" s="274">
        <f t="shared" si="132"/>
        <v>101.07</v>
      </c>
      <c r="AB170" s="275">
        <f t="shared" si="133"/>
        <v>93.91</v>
      </c>
      <c r="AC170" s="276">
        <f t="shared" si="134"/>
        <v>7.6200000000000004E-2</v>
      </c>
      <c r="AD170" s="277">
        <f t="shared" si="113"/>
        <v>7.1559420000000005</v>
      </c>
      <c r="AF170" s="235">
        <v>79.618000000000009</v>
      </c>
      <c r="AG170" s="106">
        <v>97</v>
      </c>
      <c r="AH170" s="281">
        <f t="shared" si="114"/>
        <v>4</v>
      </c>
      <c r="AI170" s="282">
        <v>0.05</v>
      </c>
      <c r="AJ170" s="283">
        <f t="shared" si="115"/>
        <v>7.1559420000000005</v>
      </c>
      <c r="AK170" s="284"/>
      <c r="AM170" s="222">
        <v>-0.1391</v>
      </c>
      <c r="AN170" s="285">
        <f t="shared" si="116"/>
        <v>1.1391</v>
      </c>
      <c r="AO170" s="285">
        <v>1.1779999999999999</v>
      </c>
      <c r="AQ170" s="286">
        <f t="shared" si="127"/>
        <v>114.27</v>
      </c>
      <c r="AS170" s="222">
        <v>1.034</v>
      </c>
      <c r="AT170" s="337">
        <v>-0.1391</v>
      </c>
      <c r="AU170" s="285">
        <f t="shared" si="117"/>
        <v>8.0000000000000071E-3</v>
      </c>
      <c r="AW170" s="288">
        <f t="shared" si="118"/>
        <v>0.21529999999999999</v>
      </c>
      <c r="AX170" s="106">
        <v>97</v>
      </c>
      <c r="AY170" s="127" t="b">
        <f t="shared" si="119"/>
        <v>1</v>
      </c>
      <c r="AZ170" s="289">
        <f t="shared" si="120"/>
        <v>-2.9180000000000001</v>
      </c>
      <c r="BC170">
        <f t="shared" si="121"/>
        <v>1.0409999999999999</v>
      </c>
    </row>
    <row r="171" spans="1:55" ht="25.5" x14ac:dyDescent="0.3">
      <c r="A171" s="264" t="s">
        <v>440</v>
      </c>
      <c r="B171" s="264" t="s">
        <v>183</v>
      </c>
      <c r="C171" s="265" t="s">
        <v>37</v>
      </c>
      <c r="D171" s="168" t="s">
        <v>184</v>
      </c>
      <c r="E171" s="239" t="s">
        <v>161</v>
      </c>
      <c r="F171" s="168">
        <f>VLOOKUP(E171,'[6]условия, ФОТ'!$A$14:$I$32,9, FALSE)</f>
        <v>180.5</v>
      </c>
      <c r="G171" s="266">
        <v>0.25</v>
      </c>
      <c r="H171" s="168">
        <f t="shared" si="126"/>
        <v>45.13</v>
      </c>
      <c r="I171" s="168">
        <f t="shared" si="123"/>
        <v>13.63</v>
      </c>
      <c r="J171" s="168">
        <f t="shared" si="124"/>
        <v>58.760000000000005</v>
      </c>
      <c r="K171" s="267"/>
      <c r="L171" s="168"/>
      <c r="M171" s="168"/>
      <c r="N171" s="168"/>
      <c r="O171" s="168"/>
      <c r="P171" s="168">
        <f t="shared" si="129"/>
        <v>58.760000000000005</v>
      </c>
      <c r="Q171" s="168">
        <f t="shared" si="20"/>
        <v>39.08</v>
      </c>
      <c r="R171" s="268">
        <f t="shared" si="135"/>
        <v>105</v>
      </c>
      <c r="S171" s="268">
        <f t="shared" si="21"/>
        <v>21</v>
      </c>
      <c r="T171" s="268">
        <f t="shared" si="131"/>
        <v>126</v>
      </c>
      <c r="U171" s="269">
        <v>93</v>
      </c>
      <c r="V171" s="336">
        <f t="shared" si="70"/>
        <v>35.483870967741922</v>
      </c>
      <c r="W171" s="271">
        <v>121</v>
      </c>
      <c r="X171" s="272">
        <f t="shared" si="112"/>
        <v>4.1322314049586879</v>
      </c>
      <c r="Y171" s="231">
        <v>96</v>
      </c>
      <c r="Z171" s="273">
        <v>1.042</v>
      </c>
      <c r="AA171" s="274">
        <f t="shared" si="132"/>
        <v>126.08</v>
      </c>
      <c r="AB171" s="275">
        <f t="shared" si="133"/>
        <v>117.41</v>
      </c>
      <c r="AC171" s="276">
        <f t="shared" si="134"/>
        <v>7.3800000000000004E-2</v>
      </c>
      <c r="AD171" s="277">
        <f t="shared" si="113"/>
        <v>8.6648580000000006</v>
      </c>
      <c r="AF171" s="235">
        <v>99.26400000000001</v>
      </c>
      <c r="AG171" s="106">
        <v>121</v>
      </c>
      <c r="AH171" s="281">
        <f t="shared" si="114"/>
        <v>5</v>
      </c>
      <c r="AI171" s="282">
        <v>4.9700000000000001E-2</v>
      </c>
      <c r="AJ171" s="283">
        <f t="shared" si="115"/>
        <v>8.6648580000000006</v>
      </c>
      <c r="AK171" s="284"/>
      <c r="AM171" s="222">
        <v>-0.14130000000000001</v>
      </c>
      <c r="AN171" s="285">
        <f t="shared" si="116"/>
        <v>1.1413</v>
      </c>
      <c r="AO171" s="285">
        <v>1.18</v>
      </c>
      <c r="AQ171" s="286">
        <f t="shared" si="127"/>
        <v>142.78</v>
      </c>
      <c r="AS171" s="222">
        <v>1.034</v>
      </c>
      <c r="AT171" s="337">
        <v>-0.14130000000000001</v>
      </c>
      <c r="AU171" s="285">
        <f t="shared" si="117"/>
        <v>8.0000000000000071E-3</v>
      </c>
      <c r="AW171" s="288">
        <f t="shared" si="118"/>
        <v>0.21510000000000001</v>
      </c>
      <c r="AX171" s="106">
        <v>121</v>
      </c>
      <c r="AY171" s="127" t="b">
        <f t="shared" si="119"/>
        <v>1</v>
      </c>
      <c r="AZ171" s="289">
        <f t="shared" si="120"/>
        <v>-2.9279999999999999</v>
      </c>
      <c r="BC171">
        <f t="shared" si="121"/>
        <v>1.0409999999999999</v>
      </c>
    </row>
    <row r="172" spans="1:55" ht="26.25" customHeight="1" x14ac:dyDescent="0.3">
      <c r="A172" s="264" t="s">
        <v>441</v>
      </c>
      <c r="B172" s="264" t="s">
        <v>185</v>
      </c>
      <c r="C172" s="265" t="s">
        <v>38</v>
      </c>
      <c r="D172" s="168" t="s">
        <v>186</v>
      </c>
      <c r="E172" s="239" t="s">
        <v>161</v>
      </c>
      <c r="F172" s="168">
        <f>VLOOKUP(E172,'[6]условия, ФОТ'!$A$14:$I$32,9, FALSE)</f>
        <v>180.5</v>
      </c>
      <c r="G172" s="266">
        <v>0.15</v>
      </c>
      <c r="H172" s="168">
        <f t="shared" si="126"/>
        <v>27.08</v>
      </c>
      <c r="I172" s="168">
        <f t="shared" si="123"/>
        <v>8.18</v>
      </c>
      <c r="J172" s="168">
        <f t="shared" si="124"/>
        <v>35.26</v>
      </c>
      <c r="K172" s="267"/>
      <c r="L172" s="168"/>
      <c r="M172" s="168"/>
      <c r="N172" s="168"/>
      <c r="O172" s="168"/>
      <c r="P172" s="168">
        <f t="shared" si="129"/>
        <v>35.26</v>
      </c>
      <c r="Q172" s="168">
        <f t="shared" si="20"/>
        <v>23.45</v>
      </c>
      <c r="R172" s="268">
        <f t="shared" si="135"/>
        <v>63.33</v>
      </c>
      <c r="S172" s="268">
        <f t="shared" si="21"/>
        <v>12.67</v>
      </c>
      <c r="T172" s="268">
        <f t="shared" si="131"/>
        <v>76</v>
      </c>
      <c r="U172" s="269">
        <v>56</v>
      </c>
      <c r="V172" s="336">
        <f t="shared" si="70"/>
        <v>35.714285714285722</v>
      </c>
      <c r="W172" s="271">
        <v>73</v>
      </c>
      <c r="X172" s="272">
        <f t="shared" si="112"/>
        <v>4.1095890410958873</v>
      </c>
      <c r="Y172" s="231">
        <v>58</v>
      </c>
      <c r="Z172" s="273">
        <v>1.042</v>
      </c>
      <c r="AA172" s="274">
        <f t="shared" si="132"/>
        <v>76.069999999999993</v>
      </c>
      <c r="AB172" s="275">
        <f t="shared" si="133"/>
        <v>70.45</v>
      </c>
      <c r="AC172" s="276">
        <f t="shared" si="134"/>
        <v>7.9799999999999996E-2</v>
      </c>
      <c r="AD172" s="277">
        <f t="shared" si="113"/>
        <v>5.6219099999999997</v>
      </c>
      <c r="AF172" s="235">
        <v>59.972000000000001</v>
      </c>
      <c r="AG172" s="106">
        <v>73</v>
      </c>
      <c r="AH172" s="281">
        <f t="shared" si="114"/>
        <v>3</v>
      </c>
      <c r="AI172" s="282">
        <v>4.9799999999999997E-2</v>
      </c>
      <c r="AJ172" s="283">
        <f t="shared" si="115"/>
        <v>5.6219099999999997</v>
      </c>
      <c r="AK172" s="284"/>
      <c r="AM172" s="222">
        <v>-0.1351</v>
      </c>
      <c r="AN172" s="285">
        <f t="shared" si="116"/>
        <v>1.1351</v>
      </c>
      <c r="AO172" s="285">
        <v>1.1739999999999999</v>
      </c>
      <c r="AQ172" s="286">
        <f t="shared" si="127"/>
        <v>85.7</v>
      </c>
      <c r="AS172" s="222">
        <v>1.034</v>
      </c>
      <c r="AT172" s="337">
        <v>-0.1351</v>
      </c>
      <c r="AU172" s="285">
        <f t="shared" si="117"/>
        <v>8.0000000000000071E-3</v>
      </c>
      <c r="AW172" s="288">
        <f t="shared" si="118"/>
        <v>0.21489999999999998</v>
      </c>
      <c r="AX172" s="106">
        <v>73</v>
      </c>
      <c r="AY172" s="127" t="b">
        <f t="shared" si="119"/>
        <v>1</v>
      </c>
      <c r="AZ172" s="289">
        <f t="shared" si="120"/>
        <v>-2.9080000000000004</v>
      </c>
      <c r="BC172">
        <f t="shared" si="121"/>
        <v>1.0409999999999999</v>
      </c>
    </row>
    <row r="173" spans="1:55" ht="25.5" customHeight="1" x14ac:dyDescent="0.3">
      <c r="A173" s="264" t="s">
        <v>442</v>
      </c>
      <c r="B173" s="264" t="s">
        <v>187</v>
      </c>
      <c r="C173" s="265" t="s">
        <v>39</v>
      </c>
      <c r="D173" s="168" t="s">
        <v>188</v>
      </c>
      <c r="E173" s="239" t="s">
        <v>161</v>
      </c>
      <c r="F173" s="168">
        <f>VLOOKUP(E173,'[6]условия, ФОТ'!$A$14:$I$32,9, FALSE)</f>
        <v>180.5</v>
      </c>
      <c r="G173" s="266">
        <v>1.24</v>
      </c>
      <c r="H173" s="168">
        <f t="shared" si="126"/>
        <v>223.82</v>
      </c>
      <c r="I173" s="168">
        <f t="shared" si="123"/>
        <v>67.59</v>
      </c>
      <c r="J173" s="168">
        <f t="shared" si="124"/>
        <v>291.40999999999997</v>
      </c>
      <c r="K173" s="267"/>
      <c r="L173" s="168"/>
      <c r="M173" s="168"/>
      <c r="N173" s="168"/>
      <c r="O173" s="168"/>
      <c r="P173" s="168">
        <f t="shared" si="129"/>
        <v>291.40999999999997</v>
      </c>
      <c r="Q173" s="168">
        <f t="shared" si="20"/>
        <v>193.79</v>
      </c>
      <c r="R173" s="268">
        <f t="shared" si="135"/>
        <v>522.5</v>
      </c>
      <c r="S173" s="268">
        <f t="shared" si="21"/>
        <v>104.5</v>
      </c>
      <c r="T173" s="268">
        <f t="shared" si="131"/>
        <v>627</v>
      </c>
      <c r="U173" s="269">
        <v>461</v>
      </c>
      <c r="V173" s="336">
        <f t="shared" si="70"/>
        <v>36.008676789587867</v>
      </c>
      <c r="W173" s="271">
        <v>602</v>
      </c>
      <c r="X173" s="272">
        <f t="shared" si="112"/>
        <v>4.1528239202657886</v>
      </c>
      <c r="Y173" s="231">
        <v>475</v>
      </c>
      <c r="Z173" s="273">
        <v>1.042</v>
      </c>
      <c r="AA173" s="274">
        <f t="shared" si="132"/>
        <v>627.28</v>
      </c>
      <c r="AB173" s="275">
        <f t="shared" si="133"/>
        <v>582.24</v>
      </c>
      <c r="AC173" s="276">
        <f t="shared" si="134"/>
        <v>7.7399999999999997E-2</v>
      </c>
      <c r="AD173" s="277">
        <f t="shared" si="113"/>
        <v>45.065376000000001</v>
      </c>
      <c r="AF173" s="235">
        <v>491.15000000000003</v>
      </c>
      <c r="AG173" s="106">
        <v>602</v>
      </c>
      <c r="AH173" s="281">
        <f t="shared" si="114"/>
        <v>25</v>
      </c>
      <c r="AI173" s="282">
        <v>4.9799999999999997E-2</v>
      </c>
      <c r="AJ173" s="283">
        <f t="shared" si="115"/>
        <v>45.065376000000001</v>
      </c>
      <c r="AK173" s="284"/>
      <c r="AM173" s="222">
        <v>-0.14330000000000001</v>
      </c>
      <c r="AN173" s="285">
        <f t="shared" si="116"/>
        <v>1.1433</v>
      </c>
      <c r="AO173" s="285">
        <v>1.1819999999999999</v>
      </c>
      <c r="AQ173" s="286">
        <f t="shared" si="127"/>
        <v>711.56</v>
      </c>
      <c r="AS173" s="222">
        <v>1.034</v>
      </c>
      <c r="AT173" s="337">
        <v>-0.14330000000000001</v>
      </c>
      <c r="AU173" s="285">
        <f t="shared" si="117"/>
        <v>8.0000000000000071E-3</v>
      </c>
      <c r="AW173" s="288">
        <f t="shared" si="118"/>
        <v>0.22070000000000001</v>
      </c>
      <c r="AX173" s="106">
        <v>602</v>
      </c>
      <c r="AY173" s="127" t="b">
        <f t="shared" si="119"/>
        <v>1</v>
      </c>
      <c r="AZ173" s="289">
        <f t="shared" si="120"/>
        <v>-2.9480000000000004</v>
      </c>
      <c r="BC173">
        <f t="shared" si="121"/>
        <v>1.042</v>
      </c>
    </row>
    <row r="174" spans="1:55" ht="24.75" customHeight="1" x14ac:dyDescent="0.3">
      <c r="A174" s="264" t="s">
        <v>443</v>
      </c>
      <c r="B174" s="264" t="s">
        <v>189</v>
      </c>
      <c r="C174" s="265" t="s">
        <v>40</v>
      </c>
      <c r="D174" s="168" t="s">
        <v>190</v>
      </c>
      <c r="E174" s="239" t="s">
        <v>161</v>
      </c>
      <c r="F174" s="168">
        <f>VLOOKUP(E174,'[6]условия, ФОТ'!$A$14:$I$32,9, FALSE)</f>
        <v>180.5</v>
      </c>
      <c r="G174" s="266">
        <v>0.81</v>
      </c>
      <c r="H174" s="168">
        <f t="shared" si="126"/>
        <v>146.21</v>
      </c>
      <c r="I174" s="168">
        <f t="shared" si="123"/>
        <v>44.16</v>
      </c>
      <c r="J174" s="168">
        <f t="shared" si="124"/>
        <v>190.37</v>
      </c>
      <c r="K174" s="267"/>
      <c r="L174" s="168"/>
      <c r="M174" s="168"/>
      <c r="N174" s="168"/>
      <c r="O174" s="168"/>
      <c r="P174" s="168">
        <f t="shared" si="129"/>
        <v>190.37</v>
      </c>
      <c r="Q174" s="168">
        <f t="shared" si="20"/>
        <v>126.6</v>
      </c>
      <c r="R174" s="268">
        <f t="shared" si="135"/>
        <v>340.83</v>
      </c>
      <c r="S174" s="268">
        <f>ROUND(R174*$S$5,2)</f>
        <v>68.17</v>
      </c>
      <c r="T174" s="268">
        <f t="shared" si="131"/>
        <v>409</v>
      </c>
      <c r="U174" s="269">
        <v>301</v>
      </c>
      <c r="V174" s="336">
        <f t="shared" si="70"/>
        <v>35.880398671096344</v>
      </c>
      <c r="W174" s="271">
        <v>393</v>
      </c>
      <c r="X174" s="272">
        <f t="shared" si="112"/>
        <v>4.0712468193384126</v>
      </c>
      <c r="Y174" s="231">
        <v>311</v>
      </c>
      <c r="Z174" s="273">
        <v>1.042</v>
      </c>
      <c r="AA174" s="274">
        <f t="shared" si="132"/>
        <v>409.51</v>
      </c>
      <c r="AB174" s="275">
        <f t="shared" si="133"/>
        <v>380.36</v>
      </c>
      <c r="AC174" s="276">
        <f t="shared" si="134"/>
        <v>7.6600000000000001E-2</v>
      </c>
      <c r="AD174" s="277">
        <f t="shared" si="113"/>
        <v>29.135576</v>
      </c>
      <c r="AF174" s="235">
        <v>321.57400000000001</v>
      </c>
      <c r="AG174" s="106">
        <v>393</v>
      </c>
      <c r="AH174" s="281">
        <f t="shared" si="114"/>
        <v>16</v>
      </c>
      <c r="AI174" s="282">
        <v>4.9599999999999998E-2</v>
      </c>
      <c r="AJ174" s="283">
        <f t="shared" si="115"/>
        <v>29.135576</v>
      </c>
      <c r="AK174" s="284"/>
      <c r="AM174" s="222">
        <v>-0.1414</v>
      </c>
      <c r="AN174" s="285">
        <f t="shared" si="116"/>
        <v>1.1414</v>
      </c>
      <c r="AO174" s="285">
        <v>1.18</v>
      </c>
      <c r="AQ174" s="286">
        <f t="shared" si="127"/>
        <v>463.74</v>
      </c>
      <c r="AS174" s="222">
        <v>1.034</v>
      </c>
      <c r="AT174" s="337">
        <v>-0.1414</v>
      </c>
      <c r="AU174" s="285">
        <f t="shared" si="117"/>
        <v>8.0000000000000071E-3</v>
      </c>
      <c r="AW174" s="288">
        <f t="shared" si="118"/>
        <v>0.218</v>
      </c>
      <c r="AX174" s="106">
        <v>393</v>
      </c>
      <c r="AY174" s="127" t="b">
        <f t="shared" si="119"/>
        <v>1</v>
      </c>
      <c r="AZ174" s="289">
        <f t="shared" si="120"/>
        <v>-2.8680000000000003</v>
      </c>
      <c r="BC174">
        <f t="shared" si="121"/>
        <v>1.0409999999999999</v>
      </c>
    </row>
    <row r="175" spans="1:55" x14ac:dyDescent="0.3">
      <c r="A175" s="264" t="s">
        <v>444</v>
      </c>
      <c r="B175" s="264" t="s">
        <v>191</v>
      </c>
      <c r="C175" s="265" t="s">
        <v>41</v>
      </c>
      <c r="D175" s="168" t="s">
        <v>192</v>
      </c>
      <c r="E175" s="239" t="s">
        <v>161</v>
      </c>
      <c r="F175" s="168">
        <f>VLOOKUP(E175,'[6]условия, ФОТ'!$A$14:$I$32,9, FALSE)</f>
        <v>180.5</v>
      </c>
      <c r="G175" s="266">
        <v>0.69</v>
      </c>
      <c r="H175" s="168">
        <f t="shared" si="126"/>
        <v>124.55</v>
      </c>
      <c r="I175" s="168">
        <f t="shared" si="123"/>
        <v>37.61</v>
      </c>
      <c r="J175" s="168">
        <f t="shared" si="124"/>
        <v>162.16</v>
      </c>
      <c r="K175" s="267"/>
      <c r="L175" s="168"/>
      <c r="M175" s="168"/>
      <c r="N175" s="168"/>
      <c r="O175" s="168"/>
      <c r="P175" s="168">
        <f t="shared" si="129"/>
        <v>162.16</v>
      </c>
      <c r="Q175" s="168">
        <f t="shared" si="20"/>
        <v>107.84</v>
      </c>
      <c r="R175" s="268">
        <f t="shared" si="135"/>
        <v>290.83</v>
      </c>
      <c r="S175" s="268">
        <f t="shared" si="21"/>
        <v>58.17</v>
      </c>
      <c r="T175" s="268">
        <f t="shared" si="131"/>
        <v>349</v>
      </c>
      <c r="U175" s="269">
        <v>256</v>
      </c>
      <c r="V175" s="336">
        <f t="shared" si="70"/>
        <v>36.328125</v>
      </c>
      <c r="W175" s="271">
        <v>335</v>
      </c>
      <c r="X175" s="272">
        <f t="shared" si="112"/>
        <v>4.1791044776119435</v>
      </c>
      <c r="Y175" s="231">
        <v>265</v>
      </c>
      <c r="Z175" s="273">
        <v>1.042</v>
      </c>
      <c r="AA175" s="274">
        <f t="shared" si="132"/>
        <v>349.07</v>
      </c>
      <c r="AB175" s="275">
        <f t="shared" si="133"/>
        <v>324</v>
      </c>
      <c r="AC175" s="276">
        <f t="shared" si="134"/>
        <v>7.7399999999999997E-2</v>
      </c>
      <c r="AD175" s="277">
        <f t="shared" si="113"/>
        <v>25.0776</v>
      </c>
      <c r="AF175" s="235">
        <v>274.01</v>
      </c>
      <c r="AG175" s="106">
        <v>335</v>
      </c>
      <c r="AH175" s="281">
        <f t="shared" si="114"/>
        <v>14</v>
      </c>
      <c r="AI175" s="282">
        <v>0.05</v>
      </c>
      <c r="AJ175" s="283">
        <f t="shared" si="115"/>
        <v>25.0776</v>
      </c>
      <c r="AK175" s="284"/>
      <c r="AM175" s="222">
        <v>-0.1411</v>
      </c>
      <c r="AN175" s="285">
        <f t="shared" si="116"/>
        <v>1.1411</v>
      </c>
      <c r="AO175" s="285">
        <v>1.18</v>
      </c>
      <c r="AQ175" s="286">
        <f t="shared" si="127"/>
        <v>395.3</v>
      </c>
      <c r="AS175" s="222">
        <v>1.034</v>
      </c>
      <c r="AT175" s="337">
        <v>-0.1411</v>
      </c>
      <c r="AU175" s="285">
        <f t="shared" si="117"/>
        <v>8.0000000000000071E-3</v>
      </c>
      <c r="AW175" s="288">
        <f t="shared" si="118"/>
        <v>0.2185</v>
      </c>
      <c r="AX175" s="106">
        <v>335</v>
      </c>
      <c r="AY175" s="127" t="b">
        <f t="shared" si="119"/>
        <v>1</v>
      </c>
      <c r="AZ175" s="289">
        <f t="shared" si="120"/>
        <v>-2.968</v>
      </c>
      <c r="BC175">
        <f t="shared" si="121"/>
        <v>1.042</v>
      </c>
    </row>
    <row r="176" spans="1:55" x14ac:dyDescent="0.3">
      <c r="A176" s="264" t="s">
        <v>445</v>
      </c>
      <c r="B176" s="264" t="s">
        <v>193</v>
      </c>
      <c r="C176" s="265" t="s">
        <v>42</v>
      </c>
      <c r="D176" s="168" t="s">
        <v>194</v>
      </c>
      <c r="E176" s="239" t="s">
        <v>161</v>
      </c>
      <c r="F176" s="168">
        <f>VLOOKUP(E176,'[6]условия, ФОТ'!$A$14:$I$32,9, FALSE)</f>
        <v>180.5</v>
      </c>
      <c r="G176" s="266">
        <v>0.43</v>
      </c>
      <c r="H176" s="168">
        <f t="shared" si="126"/>
        <v>77.62</v>
      </c>
      <c r="I176" s="168">
        <f t="shared" si="123"/>
        <v>23.44</v>
      </c>
      <c r="J176" s="168">
        <f t="shared" si="124"/>
        <v>101.06</v>
      </c>
      <c r="K176" s="267"/>
      <c r="L176" s="168"/>
      <c r="M176" s="168"/>
      <c r="N176" s="168"/>
      <c r="O176" s="168"/>
      <c r="P176" s="168">
        <f t="shared" si="129"/>
        <v>101.06</v>
      </c>
      <c r="Q176" s="168">
        <f t="shared" si="20"/>
        <v>67.2</v>
      </c>
      <c r="R176" s="268">
        <f t="shared" si="135"/>
        <v>181.67</v>
      </c>
      <c r="S176" s="268">
        <f t="shared" si="21"/>
        <v>36.33</v>
      </c>
      <c r="T176" s="268">
        <f t="shared" si="131"/>
        <v>218</v>
      </c>
      <c r="U176" s="269">
        <v>160</v>
      </c>
      <c r="V176" s="336">
        <f t="shared" si="70"/>
        <v>36.25</v>
      </c>
      <c r="W176" s="271">
        <v>209</v>
      </c>
      <c r="X176" s="272">
        <f t="shared" si="112"/>
        <v>4.3062200956937744</v>
      </c>
      <c r="Y176" s="231">
        <v>165</v>
      </c>
      <c r="Z176" s="273">
        <v>1.042</v>
      </c>
      <c r="AA176" s="274">
        <f t="shared" si="132"/>
        <v>217.78</v>
      </c>
      <c r="AB176" s="275">
        <f t="shared" si="133"/>
        <v>201.91</v>
      </c>
      <c r="AC176" s="276">
        <f t="shared" si="134"/>
        <v>7.8600000000000003E-2</v>
      </c>
      <c r="AD176" s="277">
        <f t="shared" si="113"/>
        <v>15.870126000000001</v>
      </c>
      <c r="AF176" s="235">
        <v>170.61</v>
      </c>
      <c r="AG176" s="106">
        <v>209</v>
      </c>
      <c r="AH176" s="281">
        <f t="shared" si="114"/>
        <v>9</v>
      </c>
      <c r="AI176" s="282">
        <v>4.9799999999999997E-2</v>
      </c>
      <c r="AJ176" s="283">
        <f t="shared" si="115"/>
        <v>15.870126000000001</v>
      </c>
      <c r="AK176" s="284"/>
      <c r="AM176" s="222">
        <v>-0.1419</v>
      </c>
      <c r="AN176" s="285">
        <f t="shared" si="116"/>
        <v>1.1418999999999999</v>
      </c>
      <c r="AO176" s="285">
        <v>1.181</v>
      </c>
      <c r="AQ176" s="286">
        <f t="shared" si="127"/>
        <v>246.83</v>
      </c>
      <c r="AS176" s="222">
        <v>1.034</v>
      </c>
      <c r="AT176" s="337">
        <v>-0.1419</v>
      </c>
      <c r="AU176" s="285">
        <f t="shared" si="117"/>
        <v>8.0000000000000071E-3</v>
      </c>
      <c r="AW176" s="288">
        <f t="shared" si="118"/>
        <v>0.2205</v>
      </c>
      <c r="AX176" s="106">
        <v>209</v>
      </c>
      <c r="AY176" s="127" t="b">
        <f t="shared" si="119"/>
        <v>1</v>
      </c>
      <c r="AZ176" s="289">
        <f t="shared" si="120"/>
        <v>-3.0880000000000001</v>
      </c>
      <c r="BC176">
        <f t="shared" si="121"/>
        <v>1.0429999999999999</v>
      </c>
    </row>
    <row r="177" spans="1:55" x14ac:dyDescent="0.3">
      <c r="A177" s="264" t="s">
        <v>446</v>
      </c>
      <c r="B177" s="264" t="s">
        <v>195</v>
      </c>
      <c r="C177" s="265" t="s">
        <v>43</v>
      </c>
      <c r="D177" s="168" t="s">
        <v>190</v>
      </c>
      <c r="E177" s="239" t="s">
        <v>161</v>
      </c>
      <c r="F177" s="168">
        <f>VLOOKUP(E177,'[6]условия, ФОТ'!$A$14:$I$32,9, FALSE)</f>
        <v>180.5</v>
      </c>
      <c r="G177" s="266">
        <v>0.3</v>
      </c>
      <c r="H177" s="168">
        <f t="shared" si="126"/>
        <v>54.15</v>
      </c>
      <c r="I177" s="168">
        <f t="shared" si="123"/>
        <v>16.350000000000001</v>
      </c>
      <c r="J177" s="168">
        <f t="shared" si="124"/>
        <v>70.5</v>
      </c>
      <c r="K177" s="267"/>
      <c r="L177" s="168"/>
      <c r="M177" s="168"/>
      <c r="N177" s="168"/>
      <c r="O177" s="168"/>
      <c r="P177" s="168">
        <f t="shared" si="129"/>
        <v>70.5</v>
      </c>
      <c r="Q177" s="168">
        <f t="shared" si="20"/>
        <v>46.88</v>
      </c>
      <c r="R177" s="268">
        <f t="shared" si="135"/>
        <v>126.67</v>
      </c>
      <c r="S177" s="268">
        <f>ROUND(R177*$S$5,2)</f>
        <v>25.33</v>
      </c>
      <c r="T177" s="268">
        <f t="shared" si="131"/>
        <v>152</v>
      </c>
      <c r="U177" s="269">
        <v>111</v>
      </c>
      <c r="V177" s="336">
        <f t="shared" si="70"/>
        <v>36.936936936936945</v>
      </c>
      <c r="W177" s="271">
        <v>146</v>
      </c>
      <c r="X177" s="272">
        <f t="shared" si="112"/>
        <v>4.1095890410958873</v>
      </c>
      <c r="Y177" s="231">
        <v>115</v>
      </c>
      <c r="Z177" s="273">
        <v>1.042</v>
      </c>
      <c r="AA177" s="274">
        <f t="shared" si="132"/>
        <v>152.13</v>
      </c>
      <c r="AB177" s="275">
        <f t="shared" si="133"/>
        <v>140.86000000000001</v>
      </c>
      <c r="AC177" s="276">
        <f t="shared" si="134"/>
        <v>0.08</v>
      </c>
      <c r="AD177" s="277">
        <f t="shared" si="113"/>
        <v>11.268800000000001</v>
      </c>
      <c r="AF177" s="235">
        <v>118.91</v>
      </c>
      <c r="AG177" s="106">
        <v>146</v>
      </c>
      <c r="AH177" s="281">
        <f t="shared" si="114"/>
        <v>6</v>
      </c>
      <c r="AI177" s="282">
        <v>4.9700000000000001E-2</v>
      </c>
      <c r="AJ177" s="283">
        <f t="shared" si="115"/>
        <v>11.268800000000001</v>
      </c>
      <c r="AK177" s="284"/>
      <c r="AM177" s="222">
        <v>-0.14269999999999999</v>
      </c>
      <c r="AN177" s="285">
        <f t="shared" si="116"/>
        <v>1.1427</v>
      </c>
      <c r="AO177" s="285">
        <v>1.1819999999999999</v>
      </c>
      <c r="AQ177" s="286">
        <f t="shared" si="127"/>
        <v>172.57</v>
      </c>
      <c r="AS177" s="222">
        <v>1.034</v>
      </c>
      <c r="AT177" s="337">
        <v>-0.14269999999999999</v>
      </c>
      <c r="AU177" s="285">
        <f t="shared" si="117"/>
        <v>8.0000000000000071E-3</v>
      </c>
      <c r="AW177" s="288">
        <f t="shared" si="118"/>
        <v>0.22270000000000001</v>
      </c>
      <c r="AX177" s="106">
        <v>146</v>
      </c>
      <c r="AY177" s="127" t="b">
        <f t="shared" si="119"/>
        <v>1</v>
      </c>
      <c r="AZ177" s="289">
        <f t="shared" si="120"/>
        <v>-2.9080000000000004</v>
      </c>
      <c r="BC177">
        <f t="shared" si="121"/>
        <v>1.0409999999999999</v>
      </c>
    </row>
    <row r="178" spans="1:55" x14ac:dyDescent="0.3">
      <c r="A178" s="264" t="s">
        <v>447</v>
      </c>
      <c r="B178" s="264" t="s">
        <v>196</v>
      </c>
      <c r="C178" s="265" t="s">
        <v>44</v>
      </c>
      <c r="D178" s="168" t="s">
        <v>190</v>
      </c>
      <c r="E178" s="239" t="s">
        <v>161</v>
      </c>
      <c r="F178" s="168">
        <f>VLOOKUP(E178,'[6]условия, ФОТ'!$A$14:$I$32,9, FALSE)</f>
        <v>180.5</v>
      </c>
      <c r="G178" s="266">
        <v>0.4</v>
      </c>
      <c r="H178" s="168">
        <f t="shared" si="126"/>
        <v>72.2</v>
      </c>
      <c r="I178" s="168">
        <f t="shared" si="123"/>
        <v>21.8</v>
      </c>
      <c r="J178" s="168">
        <f t="shared" si="124"/>
        <v>94</v>
      </c>
      <c r="K178" s="267"/>
      <c r="L178" s="168"/>
      <c r="M178" s="168"/>
      <c r="N178" s="168"/>
      <c r="O178" s="168"/>
      <c r="P178" s="168">
        <f t="shared" si="129"/>
        <v>94</v>
      </c>
      <c r="Q178" s="168">
        <f t="shared" si="20"/>
        <v>62.51</v>
      </c>
      <c r="R178" s="268">
        <f t="shared" si="135"/>
        <v>168.33</v>
      </c>
      <c r="S178" s="268">
        <f t="shared" si="21"/>
        <v>33.67</v>
      </c>
      <c r="T178" s="268">
        <f t="shared" si="131"/>
        <v>202</v>
      </c>
      <c r="U178" s="269">
        <v>149</v>
      </c>
      <c r="V178" s="336">
        <f t="shared" si="70"/>
        <v>35.570469798657712</v>
      </c>
      <c r="W178" s="271">
        <v>194</v>
      </c>
      <c r="X178" s="272">
        <f t="shared" si="112"/>
        <v>4.1237113402061993</v>
      </c>
      <c r="Y178" s="231">
        <v>153</v>
      </c>
      <c r="Z178" s="273">
        <v>1.042</v>
      </c>
      <c r="AA178" s="274">
        <f t="shared" si="132"/>
        <v>202.15</v>
      </c>
      <c r="AB178" s="275">
        <f t="shared" si="133"/>
        <v>187.81</v>
      </c>
      <c r="AC178" s="276">
        <f t="shared" si="134"/>
        <v>7.6399999999999996E-2</v>
      </c>
      <c r="AD178" s="277">
        <f t="shared" si="113"/>
        <v>14.348683999999999</v>
      </c>
      <c r="AF178" s="235">
        <v>158.202</v>
      </c>
      <c r="AG178" s="106">
        <v>194</v>
      </c>
      <c r="AH178" s="281">
        <f t="shared" si="114"/>
        <v>8</v>
      </c>
      <c r="AI178" s="282">
        <v>4.9700000000000001E-2</v>
      </c>
      <c r="AJ178" s="283">
        <f t="shared" si="115"/>
        <v>14.348683999999999</v>
      </c>
      <c r="AK178" s="284"/>
      <c r="AM178" s="222">
        <v>-0.1447</v>
      </c>
      <c r="AN178" s="285">
        <f t="shared" si="116"/>
        <v>1.1447000000000001</v>
      </c>
      <c r="AO178" s="285">
        <v>1.1839999999999999</v>
      </c>
      <c r="AQ178" s="286">
        <f t="shared" si="127"/>
        <v>229.7</v>
      </c>
      <c r="AS178" s="222">
        <v>1.034</v>
      </c>
      <c r="AT178" s="337">
        <v>-0.1447</v>
      </c>
      <c r="AU178" s="285">
        <f t="shared" si="117"/>
        <v>8.0000000000000071E-3</v>
      </c>
      <c r="AW178" s="288">
        <f t="shared" si="118"/>
        <v>0.22109999999999999</v>
      </c>
      <c r="AX178" s="106">
        <v>194</v>
      </c>
      <c r="AY178" s="127" t="b">
        <f t="shared" si="119"/>
        <v>1</v>
      </c>
      <c r="AZ178" s="289">
        <f t="shared" si="120"/>
        <v>-2.9180000000000001</v>
      </c>
      <c r="BC178">
        <f t="shared" si="121"/>
        <v>1.0409999999999999</v>
      </c>
    </row>
    <row r="179" spans="1:55" x14ac:dyDescent="0.3">
      <c r="A179" s="264" t="s">
        <v>448</v>
      </c>
      <c r="B179" s="264" t="s">
        <v>197</v>
      </c>
      <c r="C179" s="265" t="s">
        <v>45</v>
      </c>
      <c r="D179" s="168" t="s">
        <v>198</v>
      </c>
      <c r="E179" s="239" t="s">
        <v>161</v>
      </c>
      <c r="F179" s="168">
        <f>VLOOKUP(E179,'[6]условия, ФОТ'!$A$14:$I$32,9, FALSE)</f>
        <v>180.5</v>
      </c>
      <c r="G179" s="266">
        <v>0.6</v>
      </c>
      <c r="H179" s="168">
        <f t="shared" si="126"/>
        <v>108.3</v>
      </c>
      <c r="I179" s="168">
        <f t="shared" si="123"/>
        <v>32.71</v>
      </c>
      <c r="J179" s="168">
        <f t="shared" si="124"/>
        <v>141.01</v>
      </c>
      <c r="K179" s="267"/>
      <c r="L179" s="168"/>
      <c r="M179" s="168"/>
      <c r="N179" s="168"/>
      <c r="O179" s="168"/>
      <c r="P179" s="168">
        <f t="shared" si="129"/>
        <v>141.01</v>
      </c>
      <c r="Q179" s="168">
        <f t="shared" si="20"/>
        <v>93.77</v>
      </c>
      <c r="R179" s="268">
        <f t="shared" si="135"/>
        <v>252.5</v>
      </c>
      <c r="S179" s="268">
        <f t="shared" si="21"/>
        <v>50.5</v>
      </c>
      <c r="T179" s="268">
        <f t="shared" si="131"/>
        <v>303</v>
      </c>
      <c r="U179" s="269">
        <v>223</v>
      </c>
      <c r="V179" s="336">
        <f t="shared" si="70"/>
        <v>35.874439461883412</v>
      </c>
      <c r="W179" s="271">
        <v>291</v>
      </c>
      <c r="X179" s="272">
        <f t="shared" si="112"/>
        <v>4.1237113402061993</v>
      </c>
      <c r="Y179" s="231">
        <v>230</v>
      </c>
      <c r="Z179" s="273">
        <v>1.042</v>
      </c>
      <c r="AA179" s="274">
        <f t="shared" si="132"/>
        <v>303.22000000000003</v>
      </c>
      <c r="AB179" s="275">
        <f t="shared" si="133"/>
        <v>281.74</v>
      </c>
      <c r="AC179" s="276">
        <f t="shared" si="134"/>
        <v>7.6200000000000004E-2</v>
      </c>
      <c r="AD179" s="277">
        <f t="shared" si="113"/>
        <v>21.468588</v>
      </c>
      <c r="AF179" s="235">
        <v>237.82</v>
      </c>
      <c r="AG179" s="106">
        <v>291</v>
      </c>
      <c r="AH179" s="281">
        <f t="shared" si="114"/>
        <v>12</v>
      </c>
      <c r="AI179" s="282">
        <v>4.9700000000000001E-2</v>
      </c>
      <c r="AJ179" s="283">
        <f t="shared" si="115"/>
        <v>21.468588</v>
      </c>
      <c r="AK179" s="284"/>
      <c r="AM179" s="222">
        <v>-0.14269999999999999</v>
      </c>
      <c r="AN179" s="285">
        <f t="shared" si="116"/>
        <v>1.1427</v>
      </c>
      <c r="AO179" s="285">
        <v>1.1819999999999999</v>
      </c>
      <c r="AQ179" s="286">
        <f t="shared" si="127"/>
        <v>343.96</v>
      </c>
      <c r="AS179" s="222">
        <v>1.034</v>
      </c>
      <c r="AT179" s="337">
        <v>-0.14269999999999999</v>
      </c>
      <c r="AU179" s="285">
        <f t="shared" si="117"/>
        <v>8.0000000000000071E-3</v>
      </c>
      <c r="AW179" s="288">
        <f t="shared" si="118"/>
        <v>0.21889999999999998</v>
      </c>
      <c r="AX179" s="106">
        <v>291</v>
      </c>
      <c r="AY179" s="127" t="b">
        <f t="shared" si="119"/>
        <v>1</v>
      </c>
      <c r="AZ179" s="289">
        <f t="shared" si="120"/>
        <v>-2.9180000000000001</v>
      </c>
      <c r="BC179">
        <f t="shared" si="121"/>
        <v>1.0409999999999999</v>
      </c>
    </row>
    <row r="180" spans="1:55" ht="30.75" customHeight="1" x14ac:dyDescent="0.3">
      <c r="A180" s="264" t="s">
        <v>449</v>
      </c>
      <c r="B180" s="264" t="s">
        <v>199</v>
      </c>
      <c r="C180" s="265" t="s">
        <v>46</v>
      </c>
      <c r="D180" s="168" t="s">
        <v>198</v>
      </c>
      <c r="E180" s="239" t="s">
        <v>161</v>
      </c>
      <c r="F180" s="168">
        <f>VLOOKUP(E180,'[6]условия, ФОТ'!$A$14:$I$32,9, FALSE)</f>
        <v>180.5</v>
      </c>
      <c r="G180" s="266">
        <v>0.9</v>
      </c>
      <c r="H180" s="168">
        <f t="shared" si="126"/>
        <v>162.44999999999999</v>
      </c>
      <c r="I180" s="168">
        <f t="shared" si="123"/>
        <v>49.06</v>
      </c>
      <c r="J180" s="168">
        <f t="shared" si="124"/>
        <v>211.51</v>
      </c>
      <c r="K180" s="267"/>
      <c r="L180" s="168"/>
      <c r="M180" s="168"/>
      <c r="N180" s="168"/>
      <c r="O180" s="168"/>
      <c r="P180" s="168">
        <f t="shared" si="129"/>
        <v>211.51</v>
      </c>
      <c r="Q180" s="168">
        <f t="shared" si="20"/>
        <v>140.65</v>
      </c>
      <c r="R180" s="268">
        <f t="shared" si="135"/>
        <v>379.17</v>
      </c>
      <c r="S180" s="268">
        <f t="shared" si="21"/>
        <v>75.83</v>
      </c>
      <c r="T180" s="268">
        <f t="shared" si="131"/>
        <v>455</v>
      </c>
      <c r="U180" s="269">
        <v>334</v>
      </c>
      <c r="V180" s="336">
        <f t="shared" si="70"/>
        <v>36.227544910179631</v>
      </c>
      <c r="W180" s="271">
        <v>437</v>
      </c>
      <c r="X180" s="272">
        <f t="shared" si="112"/>
        <v>4.1189931350114506</v>
      </c>
      <c r="Y180" s="231">
        <v>345</v>
      </c>
      <c r="Z180" s="273">
        <v>1.042</v>
      </c>
      <c r="AA180" s="274">
        <f t="shared" si="132"/>
        <v>455.35</v>
      </c>
      <c r="AB180" s="275">
        <f t="shared" si="133"/>
        <v>422.59</v>
      </c>
      <c r="AC180" s="276">
        <f t="shared" si="134"/>
        <v>7.7499999999999999E-2</v>
      </c>
      <c r="AD180" s="277">
        <f t="shared" si="113"/>
        <v>32.750724999999996</v>
      </c>
      <c r="AF180" s="235">
        <v>356.73</v>
      </c>
      <c r="AG180" s="106">
        <v>437</v>
      </c>
      <c r="AH180" s="281">
        <f t="shared" si="114"/>
        <v>18</v>
      </c>
      <c r="AI180" s="282">
        <v>4.9700000000000001E-2</v>
      </c>
      <c r="AJ180" s="283">
        <f t="shared" si="115"/>
        <v>32.750724999999996</v>
      </c>
      <c r="AK180" s="284"/>
      <c r="AM180" s="222">
        <v>-0.14269999999999999</v>
      </c>
      <c r="AN180" s="285">
        <f t="shared" si="116"/>
        <v>1.1427</v>
      </c>
      <c r="AO180" s="285">
        <v>1.1819999999999999</v>
      </c>
      <c r="AQ180" s="286">
        <f t="shared" si="127"/>
        <v>516.53</v>
      </c>
      <c r="AS180" s="222">
        <v>1.034</v>
      </c>
      <c r="AT180" s="337">
        <v>-0.14269999999999999</v>
      </c>
      <c r="AU180" s="285">
        <f t="shared" si="117"/>
        <v>8.0000000000000071E-3</v>
      </c>
      <c r="AW180" s="288">
        <f t="shared" si="118"/>
        <v>0.22020000000000001</v>
      </c>
      <c r="AX180" s="106">
        <v>437</v>
      </c>
      <c r="AY180" s="127" t="b">
        <f t="shared" si="119"/>
        <v>1</v>
      </c>
      <c r="AZ180" s="289">
        <f t="shared" si="120"/>
        <v>-2.9180000000000001</v>
      </c>
      <c r="BC180">
        <f t="shared" si="121"/>
        <v>1.0409999999999999</v>
      </c>
    </row>
    <row r="181" spans="1:55" x14ac:dyDescent="0.3">
      <c r="A181" s="264" t="s">
        <v>450</v>
      </c>
      <c r="B181" s="264" t="s">
        <v>200</v>
      </c>
      <c r="C181" s="265" t="s">
        <v>47</v>
      </c>
      <c r="D181" s="168" t="s">
        <v>26</v>
      </c>
      <c r="E181" s="239" t="s">
        <v>161</v>
      </c>
      <c r="F181" s="168">
        <f>VLOOKUP(E181,'[6]условия, ФОТ'!$A$14:$I$32,9, FALSE)</f>
        <v>180.5</v>
      </c>
      <c r="G181" s="266">
        <v>0.82</v>
      </c>
      <c r="H181" s="168">
        <f t="shared" si="126"/>
        <v>148.01</v>
      </c>
      <c r="I181" s="168">
        <f t="shared" si="123"/>
        <v>44.7</v>
      </c>
      <c r="J181" s="168">
        <f t="shared" si="124"/>
        <v>192.70999999999998</v>
      </c>
      <c r="K181" s="267"/>
      <c r="L181" s="168"/>
      <c r="M181" s="168"/>
      <c r="N181" s="168"/>
      <c r="O181" s="168"/>
      <c r="P181" s="168">
        <f t="shared" si="129"/>
        <v>192.70999999999998</v>
      </c>
      <c r="Q181" s="168">
        <f t="shared" si="20"/>
        <v>128.15</v>
      </c>
      <c r="R181" s="268">
        <f t="shared" si="135"/>
        <v>345.83</v>
      </c>
      <c r="S181" s="268">
        <f>ROUND(R181*$S$5,2)</f>
        <v>69.17</v>
      </c>
      <c r="T181" s="268">
        <f t="shared" si="131"/>
        <v>415</v>
      </c>
      <c r="U181" s="269">
        <v>305</v>
      </c>
      <c r="V181" s="336">
        <f t="shared" si="70"/>
        <v>36.065573770491795</v>
      </c>
      <c r="W181" s="271">
        <v>398</v>
      </c>
      <c r="X181" s="272">
        <f t="shared" si="112"/>
        <v>4.2713567839195861</v>
      </c>
      <c r="Y181" s="231">
        <v>314</v>
      </c>
      <c r="Z181" s="273">
        <v>1.042</v>
      </c>
      <c r="AA181" s="274">
        <f t="shared" si="132"/>
        <v>414.72</v>
      </c>
      <c r="AB181" s="275">
        <f t="shared" si="133"/>
        <v>385.03</v>
      </c>
      <c r="AC181" s="276">
        <f t="shared" si="134"/>
        <v>7.7100000000000002E-2</v>
      </c>
      <c r="AD181" s="277">
        <f t="shared" si="113"/>
        <v>29.685813</v>
      </c>
      <c r="AF181" s="235">
        <v>324.67599999999999</v>
      </c>
      <c r="AG181" s="106">
        <v>398</v>
      </c>
      <c r="AH181" s="281">
        <f t="shared" si="114"/>
        <v>17</v>
      </c>
      <c r="AI181" s="282">
        <v>4.9399999999999999E-2</v>
      </c>
      <c r="AJ181" s="283">
        <f t="shared" si="115"/>
        <v>29.685813</v>
      </c>
      <c r="AK181" s="284"/>
      <c r="AM181" s="222">
        <v>-0.14360000000000001</v>
      </c>
      <c r="AN181" s="285">
        <f t="shared" si="116"/>
        <v>1.1435999999999999</v>
      </c>
      <c r="AO181" s="285">
        <v>1.1819999999999999</v>
      </c>
      <c r="AQ181" s="286">
        <f t="shared" si="127"/>
        <v>470.44</v>
      </c>
      <c r="AS181" s="222">
        <v>1.034</v>
      </c>
      <c r="AT181" s="337">
        <v>-0.14360000000000001</v>
      </c>
      <c r="AU181" s="285">
        <f t="shared" si="117"/>
        <v>8.0000000000000071E-3</v>
      </c>
      <c r="AW181" s="288">
        <f t="shared" si="118"/>
        <v>0.22070000000000001</v>
      </c>
      <c r="AX181" s="106">
        <v>398</v>
      </c>
      <c r="AY181" s="127" t="b">
        <f t="shared" si="119"/>
        <v>1</v>
      </c>
      <c r="AZ181" s="289">
        <f t="shared" si="120"/>
        <v>-3.0579999999999998</v>
      </c>
      <c r="BC181">
        <f t="shared" si="121"/>
        <v>1.0429999999999999</v>
      </c>
    </row>
    <row r="182" spans="1:55" ht="25.5" x14ac:dyDescent="0.3">
      <c r="A182" s="264" t="s">
        <v>451</v>
      </c>
      <c r="B182" s="264" t="s">
        <v>201</v>
      </c>
      <c r="C182" s="265" t="s">
        <v>48</v>
      </c>
      <c r="D182" s="168" t="s">
        <v>190</v>
      </c>
      <c r="E182" s="239" t="s">
        <v>161</v>
      </c>
      <c r="F182" s="168">
        <f>VLOOKUP(E182,'[6]условия, ФОТ'!$A$14:$I$32,9, FALSE)</f>
        <v>180.5</v>
      </c>
      <c r="G182" s="266">
        <v>0.5</v>
      </c>
      <c r="H182" s="168">
        <f t="shared" si="126"/>
        <v>90.25</v>
      </c>
      <c r="I182" s="168">
        <f t="shared" si="123"/>
        <v>27.26</v>
      </c>
      <c r="J182" s="168">
        <f t="shared" si="124"/>
        <v>117.51</v>
      </c>
      <c r="K182" s="267"/>
      <c r="L182" s="168"/>
      <c r="M182" s="168"/>
      <c r="N182" s="168"/>
      <c r="O182" s="168"/>
      <c r="P182" s="168">
        <f t="shared" si="129"/>
        <v>117.51</v>
      </c>
      <c r="Q182" s="168">
        <f t="shared" si="20"/>
        <v>78.14</v>
      </c>
      <c r="R182" s="268">
        <f t="shared" si="135"/>
        <v>210.83</v>
      </c>
      <c r="S182" s="268">
        <f>ROUND(R182*$S$5,2)</f>
        <v>42.17</v>
      </c>
      <c r="T182" s="268">
        <f t="shared" si="131"/>
        <v>253</v>
      </c>
      <c r="U182" s="269">
        <v>186</v>
      </c>
      <c r="V182" s="336">
        <f t="shared" si="70"/>
        <v>36.021505376344066</v>
      </c>
      <c r="W182" s="271">
        <v>243</v>
      </c>
      <c r="X182" s="272">
        <f t="shared" si="112"/>
        <v>4.1152263374485614</v>
      </c>
      <c r="Y182" s="231">
        <v>192</v>
      </c>
      <c r="Z182" s="273">
        <v>1.042</v>
      </c>
      <c r="AA182" s="274">
        <f t="shared" si="132"/>
        <v>253.21</v>
      </c>
      <c r="AB182" s="275">
        <f t="shared" si="133"/>
        <v>234.78</v>
      </c>
      <c r="AC182" s="276">
        <f t="shared" si="134"/>
        <v>7.85E-2</v>
      </c>
      <c r="AD182" s="277">
        <f t="shared" si="113"/>
        <v>18.430230000000002</v>
      </c>
      <c r="AF182" s="235">
        <v>198.52800000000002</v>
      </c>
      <c r="AG182" s="106">
        <v>243</v>
      </c>
      <c r="AH182" s="281">
        <f t="shared" si="114"/>
        <v>10</v>
      </c>
      <c r="AI182" s="282">
        <v>4.9799999999999997E-2</v>
      </c>
      <c r="AJ182" s="283">
        <f t="shared" si="115"/>
        <v>18.430230000000002</v>
      </c>
      <c r="AK182" s="284"/>
      <c r="AM182" s="222">
        <v>-0.14119999999999999</v>
      </c>
      <c r="AN182" s="285">
        <f t="shared" si="116"/>
        <v>1.1412</v>
      </c>
      <c r="AO182" s="285">
        <v>1.18</v>
      </c>
      <c r="AQ182" s="286">
        <f t="shared" si="127"/>
        <v>286.74</v>
      </c>
      <c r="AS182" s="222">
        <v>1.034</v>
      </c>
      <c r="AT182" s="337">
        <v>-0.14119999999999999</v>
      </c>
      <c r="AU182" s="285">
        <f t="shared" si="117"/>
        <v>8.0000000000000071E-3</v>
      </c>
      <c r="AW182" s="288">
        <f t="shared" si="118"/>
        <v>0.21970000000000001</v>
      </c>
      <c r="AX182" s="106">
        <v>243</v>
      </c>
      <c r="AY182" s="127" t="b">
        <f t="shared" si="119"/>
        <v>1</v>
      </c>
      <c r="AZ182" s="289">
        <f t="shared" si="120"/>
        <v>-2.9080000000000004</v>
      </c>
      <c r="BC182">
        <f t="shared" si="121"/>
        <v>1.0409999999999999</v>
      </c>
    </row>
    <row r="183" spans="1:55" ht="25.5" x14ac:dyDescent="0.3">
      <c r="A183" s="264" t="s">
        <v>452</v>
      </c>
      <c r="B183" s="264" t="s">
        <v>202</v>
      </c>
      <c r="C183" s="265" t="s">
        <v>49</v>
      </c>
      <c r="D183" s="168" t="s">
        <v>190</v>
      </c>
      <c r="E183" s="239" t="s">
        <v>161</v>
      </c>
      <c r="F183" s="168">
        <f>VLOOKUP(E183,'[6]условия, ФОТ'!$A$14:$I$32,9, FALSE)</f>
        <v>180.5</v>
      </c>
      <c r="G183" s="266">
        <v>1</v>
      </c>
      <c r="H183" s="168">
        <f t="shared" si="126"/>
        <v>180.5</v>
      </c>
      <c r="I183" s="168">
        <f t="shared" si="123"/>
        <v>54.51</v>
      </c>
      <c r="J183" s="168">
        <f t="shared" si="124"/>
        <v>235.01</v>
      </c>
      <c r="K183" s="267"/>
      <c r="L183" s="168"/>
      <c r="M183" s="168"/>
      <c r="N183" s="168"/>
      <c r="O183" s="168"/>
      <c r="P183" s="168">
        <f t="shared" si="129"/>
        <v>235.01</v>
      </c>
      <c r="Q183" s="168">
        <f t="shared" si="20"/>
        <v>156.28</v>
      </c>
      <c r="R183" s="268">
        <f t="shared" si="135"/>
        <v>420.83</v>
      </c>
      <c r="S183" s="268">
        <f t="shared" si="21"/>
        <v>84.17</v>
      </c>
      <c r="T183" s="268">
        <f t="shared" si="131"/>
        <v>505</v>
      </c>
      <c r="U183" s="269">
        <v>372</v>
      </c>
      <c r="V183" s="336">
        <f t="shared" si="70"/>
        <v>35.752688172043008</v>
      </c>
      <c r="W183" s="271">
        <v>485</v>
      </c>
      <c r="X183" s="272">
        <f t="shared" si="112"/>
        <v>4.1237113402061993</v>
      </c>
      <c r="Y183" s="231">
        <v>383</v>
      </c>
      <c r="Z183" s="273">
        <v>1.042</v>
      </c>
      <c r="AA183" s="274">
        <f t="shared" si="132"/>
        <v>505.37</v>
      </c>
      <c r="AB183" s="275">
        <f t="shared" si="133"/>
        <v>469.55</v>
      </c>
      <c r="AC183" s="276">
        <f t="shared" si="134"/>
        <v>7.6300000000000007E-2</v>
      </c>
      <c r="AD183" s="277">
        <f t="shared" si="113"/>
        <v>35.826665000000006</v>
      </c>
      <c r="AF183" s="235">
        <v>396.02199999999999</v>
      </c>
      <c r="AG183" s="106">
        <v>485</v>
      </c>
      <c r="AH183" s="281">
        <f t="shared" si="114"/>
        <v>20</v>
      </c>
      <c r="AI183" s="282">
        <v>4.9599999999999998E-2</v>
      </c>
      <c r="AJ183" s="283">
        <f t="shared" si="115"/>
        <v>35.826665000000006</v>
      </c>
      <c r="AK183" s="284"/>
      <c r="AM183" s="222">
        <v>-0.1434</v>
      </c>
      <c r="AN183" s="285">
        <f t="shared" si="116"/>
        <v>1.1434</v>
      </c>
      <c r="AO183" s="285">
        <v>1.1819999999999999</v>
      </c>
      <c r="AQ183" s="286">
        <f t="shared" si="127"/>
        <v>573.27</v>
      </c>
      <c r="AS183" s="222">
        <v>1.034</v>
      </c>
      <c r="AT183" s="337">
        <v>-0.1434</v>
      </c>
      <c r="AU183" s="285">
        <f t="shared" si="117"/>
        <v>8.0000000000000071E-3</v>
      </c>
      <c r="AW183" s="288">
        <f t="shared" si="118"/>
        <v>0.21970000000000001</v>
      </c>
      <c r="AX183" s="106">
        <v>485</v>
      </c>
      <c r="AY183" s="127" t="b">
        <f t="shared" si="119"/>
        <v>1</v>
      </c>
      <c r="AZ183" s="289">
        <f t="shared" si="120"/>
        <v>-2.9180000000000001</v>
      </c>
      <c r="BC183">
        <f t="shared" si="121"/>
        <v>1.0409999999999999</v>
      </c>
    </row>
    <row r="184" spans="1:55" ht="18" customHeight="1" x14ac:dyDescent="0.3">
      <c r="A184" s="264" t="s">
        <v>453</v>
      </c>
      <c r="B184" s="264" t="s">
        <v>203</v>
      </c>
      <c r="C184" s="265" t="s">
        <v>50</v>
      </c>
      <c r="D184" s="168" t="s">
        <v>190</v>
      </c>
      <c r="E184" s="239" t="s">
        <v>161</v>
      </c>
      <c r="F184" s="168">
        <f>VLOOKUP(E184,'[6]условия, ФОТ'!$A$14:$I$32,9, FALSE)</f>
        <v>180.5</v>
      </c>
      <c r="G184" s="266">
        <v>0.1</v>
      </c>
      <c r="H184" s="168">
        <f t="shared" si="126"/>
        <v>18.05</v>
      </c>
      <c r="I184" s="168">
        <f t="shared" si="123"/>
        <v>5.45</v>
      </c>
      <c r="J184" s="168">
        <f t="shared" si="124"/>
        <v>23.5</v>
      </c>
      <c r="K184" s="267"/>
      <c r="L184" s="168"/>
      <c r="M184" s="168"/>
      <c r="N184" s="168"/>
      <c r="O184" s="168"/>
      <c r="P184" s="168">
        <f t="shared" si="129"/>
        <v>23.5</v>
      </c>
      <c r="Q184" s="168">
        <f t="shared" si="20"/>
        <v>15.63</v>
      </c>
      <c r="R184" s="268">
        <f t="shared" si="135"/>
        <v>42.5</v>
      </c>
      <c r="S184" s="268">
        <f t="shared" si="21"/>
        <v>8.5</v>
      </c>
      <c r="T184" s="268">
        <f t="shared" si="131"/>
        <v>51</v>
      </c>
      <c r="U184" s="269">
        <v>37</v>
      </c>
      <c r="V184" s="336">
        <f t="shared" si="70"/>
        <v>37.837837837837839</v>
      </c>
      <c r="W184" s="271">
        <v>49</v>
      </c>
      <c r="X184" s="272">
        <f t="shared" si="112"/>
        <v>4.0816326530612344</v>
      </c>
      <c r="Y184" s="231">
        <v>38</v>
      </c>
      <c r="Z184" s="273">
        <v>1.042</v>
      </c>
      <c r="AA184" s="274">
        <f t="shared" si="132"/>
        <v>51.06</v>
      </c>
      <c r="AB184" s="275">
        <f t="shared" si="133"/>
        <v>46.96</v>
      </c>
      <c r="AC184" s="276">
        <f t="shared" si="134"/>
        <v>8.7300000000000003E-2</v>
      </c>
      <c r="AD184" s="277">
        <f t="shared" si="113"/>
        <v>4.0996079999999999</v>
      </c>
      <c r="AF184" s="235">
        <v>39.292000000000002</v>
      </c>
      <c r="AG184" s="106">
        <v>49</v>
      </c>
      <c r="AH184" s="281">
        <f t="shared" si="114"/>
        <v>2</v>
      </c>
      <c r="AI184" s="282">
        <v>0.05</v>
      </c>
      <c r="AJ184" s="283">
        <f t="shared" si="115"/>
        <v>4.0996079999999999</v>
      </c>
      <c r="AK184" s="284"/>
      <c r="AM184" s="222">
        <v>-0.14990000000000001</v>
      </c>
      <c r="AN184" s="285">
        <f t="shared" si="116"/>
        <v>1.1498999999999999</v>
      </c>
      <c r="AO184" s="285">
        <v>1.1890000000000001</v>
      </c>
      <c r="AQ184" s="286">
        <f t="shared" si="127"/>
        <v>58.26</v>
      </c>
      <c r="AS184" s="222">
        <v>1.034</v>
      </c>
      <c r="AT184" s="337">
        <v>-0.14990000000000001</v>
      </c>
      <c r="AU184" s="285">
        <f t="shared" si="117"/>
        <v>8.0000000000000071E-3</v>
      </c>
      <c r="AW184" s="288">
        <f t="shared" si="118"/>
        <v>0.23720000000000002</v>
      </c>
      <c r="AX184" s="106">
        <v>49</v>
      </c>
      <c r="AY184" s="127" t="b">
        <f t="shared" si="119"/>
        <v>1</v>
      </c>
      <c r="AZ184" s="289">
        <f t="shared" si="120"/>
        <v>-2.8780000000000001</v>
      </c>
      <c r="BC184">
        <f t="shared" si="121"/>
        <v>1.0409999999999999</v>
      </c>
    </row>
    <row r="185" spans="1:55" ht="25.5" x14ac:dyDescent="0.3">
      <c r="A185" s="264" t="s">
        <v>454</v>
      </c>
      <c r="B185" s="264" t="s">
        <v>205</v>
      </c>
      <c r="C185" s="265" t="s">
        <v>362</v>
      </c>
      <c r="D185" s="168" t="s">
        <v>204</v>
      </c>
      <c r="E185" s="239" t="s">
        <v>161</v>
      </c>
      <c r="F185" s="168">
        <f>VLOOKUP(E185,'[6]условия, ФОТ'!$A$14:$I$32,9, FALSE)</f>
        <v>180.5</v>
      </c>
      <c r="G185" s="266">
        <v>0.5</v>
      </c>
      <c r="H185" s="168">
        <f t="shared" si="126"/>
        <v>90.25</v>
      </c>
      <c r="I185" s="168">
        <f t="shared" si="123"/>
        <v>27.26</v>
      </c>
      <c r="J185" s="168">
        <f t="shared" si="124"/>
        <v>117.51</v>
      </c>
      <c r="K185" s="267"/>
      <c r="L185" s="168"/>
      <c r="M185" s="168"/>
      <c r="N185" s="168"/>
      <c r="O185" s="168">
        <f>SUM(O186:O188)</f>
        <v>4.3500000000000005</v>
      </c>
      <c r="P185" s="168">
        <f>J185+O185</f>
        <v>121.86</v>
      </c>
      <c r="Q185" s="168">
        <f t="shared" si="20"/>
        <v>81.040000000000006</v>
      </c>
      <c r="R185" s="268">
        <f t="shared" si="135"/>
        <v>219.17</v>
      </c>
      <c r="S185" s="268">
        <f t="shared" si="21"/>
        <v>43.83</v>
      </c>
      <c r="T185" s="268">
        <f t="shared" si="131"/>
        <v>263</v>
      </c>
      <c r="U185" s="269">
        <v>196</v>
      </c>
      <c r="V185" s="336">
        <f t="shared" si="70"/>
        <v>34.183673469387742</v>
      </c>
      <c r="W185" s="271">
        <v>252</v>
      </c>
      <c r="X185" s="272">
        <f t="shared" si="112"/>
        <v>4.3650793650793673</v>
      </c>
      <c r="Y185" s="231">
        <v>202</v>
      </c>
      <c r="Z185" s="273">
        <v>1.042</v>
      </c>
      <c r="AA185" s="274">
        <f t="shared" si="132"/>
        <v>262.58</v>
      </c>
      <c r="AB185" s="275">
        <f t="shared" si="133"/>
        <v>243.48</v>
      </c>
      <c r="AC185" s="276">
        <f t="shared" si="134"/>
        <v>7.8399999999999997E-2</v>
      </c>
      <c r="AD185" s="277">
        <f t="shared" si="113"/>
        <v>19.088832</v>
      </c>
      <c r="AF185" s="235">
        <v>208.86799999999999</v>
      </c>
      <c r="AG185" s="106">
        <v>252</v>
      </c>
      <c r="AH185" s="281">
        <f t="shared" si="114"/>
        <v>11</v>
      </c>
      <c r="AI185" s="282">
        <v>4.9700000000000001E-2</v>
      </c>
      <c r="AJ185" s="283">
        <f t="shared" si="115"/>
        <v>19.088832</v>
      </c>
      <c r="AK185" s="284"/>
      <c r="AM185" s="222">
        <v>-0.12889999999999999</v>
      </c>
      <c r="AN185" s="285">
        <f t="shared" si="116"/>
        <v>1.1289</v>
      </c>
      <c r="AO185" s="285">
        <v>1.167</v>
      </c>
      <c r="AQ185" s="286">
        <f t="shared" si="127"/>
        <v>294.08</v>
      </c>
      <c r="AS185" s="222">
        <v>1.034</v>
      </c>
      <c r="AT185" s="337">
        <v>-0.12889999999999999</v>
      </c>
      <c r="AU185" s="285">
        <f t="shared" si="117"/>
        <v>8.0000000000000071E-3</v>
      </c>
      <c r="AW185" s="288">
        <f t="shared" si="118"/>
        <v>0.20729999999999998</v>
      </c>
      <c r="AX185" s="106">
        <v>252</v>
      </c>
      <c r="AY185" s="127" t="b">
        <f t="shared" si="119"/>
        <v>1</v>
      </c>
      <c r="AZ185" s="289">
        <f t="shared" si="120"/>
        <v>-3.1379999999999999</v>
      </c>
      <c r="BC185">
        <f t="shared" si="121"/>
        <v>1.044</v>
      </c>
    </row>
    <row r="186" spans="1:55" ht="23.25" customHeight="1" outlineLevel="1" x14ac:dyDescent="0.3">
      <c r="A186" s="264"/>
      <c r="B186" s="264"/>
      <c r="C186" s="265"/>
      <c r="D186" s="168"/>
      <c r="E186" s="239"/>
      <c r="F186" s="168"/>
      <c r="G186" s="266"/>
      <c r="H186" s="168"/>
      <c r="I186" s="168"/>
      <c r="J186" s="295" t="s">
        <v>366</v>
      </c>
      <c r="K186" s="121" t="s">
        <v>335</v>
      </c>
      <c r="L186" s="266" t="str">
        <f>VLOOKUP(K186,[6]материалы!$A$5:$G$31,5, FALSE)</f>
        <v>кг</v>
      </c>
      <c r="M186" s="168">
        <f>VLOOKUP(K186,[6]материалы!$A$5:$G$34,7, FALSE)</f>
        <v>720.83</v>
      </c>
      <c r="N186" s="168">
        <v>5.0000000000000001E-3</v>
      </c>
      <c r="O186" s="168">
        <f t="shared" ref="O186:O188" si="136">ROUND(M186*N186,2)</f>
        <v>3.6</v>
      </c>
      <c r="P186" s="168"/>
      <c r="Q186" s="168"/>
      <c r="R186" s="268"/>
      <c r="S186" s="268"/>
      <c r="T186" s="268"/>
      <c r="U186" s="269"/>
      <c r="V186" s="336"/>
      <c r="W186" s="271"/>
      <c r="X186" s="272"/>
      <c r="Z186" s="273"/>
      <c r="AA186" s="58"/>
      <c r="AB186" s="275"/>
      <c r="AC186" s="276"/>
      <c r="AD186" s="277"/>
      <c r="AG186" s="106"/>
      <c r="AH186" s="281"/>
      <c r="AI186" s="282"/>
      <c r="AJ186" s="283"/>
      <c r="AK186" s="284"/>
      <c r="AM186" s="222"/>
      <c r="AN186" s="285"/>
      <c r="AO186" s="285"/>
      <c r="AQ186" s="286"/>
      <c r="AS186" s="222"/>
      <c r="AT186" s="337"/>
      <c r="AU186" s="285"/>
      <c r="AW186" s="288"/>
      <c r="AX186" s="106"/>
      <c r="AZ186" s="289"/>
    </row>
    <row r="187" spans="1:55" ht="16.5" customHeight="1" outlineLevel="1" x14ac:dyDescent="0.3">
      <c r="A187" s="264"/>
      <c r="B187" s="264"/>
      <c r="C187" s="265"/>
      <c r="D187" s="168"/>
      <c r="E187" s="239"/>
      <c r="F187" s="168"/>
      <c r="G187" s="266"/>
      <c r="H187" s="168"/>
      <c r="I187" s="168"/>
      <c r="J187" s="168"/>
      <c r="K187" s="296" t="s">
        <v>329</v>
      </c>
      <c r="L187" s="266" t="str">
        <f>VLOOKUP(K187,[6]материалы!$A$5:$G$31,5, FALSE)</f>
        <v>кг</v>
      </c>
      <c r="M187" s="168">
        <f>VLOOKUP(K187,[6]материалы!$A$5:$G$34,7, FALSE)</f>
        <v>79.17</v>
      </c>
      <c r="N187" s="168">
        <v>1E-3</v>
      </c>
      <c r="O187" s="168">
        <f t="shared" si="136"/>
        <v>0.08</v>
      </c>
      <c r="P187" s="168"/>
      <c r="Q187" s="168"/>
      <c r="R187" s="268"/>
      <c r="S187" s="268"/>
      <c r="T187" s="268"/>
      <c r="U187" s="269"/>
      <c r="V187" s="336"/>
      <c r="W187" s="271"/>
      <c r="X187" s="272"/>
      <c r="Z187" s="273"/>
      <c r="AA187" s="58"/>
      <c r="AB187" s="275"/>
      <c r="AC187" s="276"/>
      <c r="AD187" s="277"/>
      <c r="AG187" s="106"/>
      <c r="AH187" s="281"/>
      <c r="AI187" s="282"/>
      <c r="AJ187" s="283"/>
      <c r="AK187" s="284"/>
      <c r="AM187" s="222"/>
      <c r="AN187" s="285"/>
      <c r="AO187" s="285"/>
      <c r="AQ187" s="286"/>
      <c r="AS187" s="222"/>
      <c r="AT187" s="337"/>
      <c r="AU187" s="285"/>
      <c r="AW187" s="288"/>
      <c r="AX187" s="106"/>
      <c r="AZ187" s="289"/>
    </row>
    <row r="188" spans="1:55" ht="15.75" customHeight="1" outlineLevel="1" x14ac:dyDescent="0.3">
      <c r="A188" s="264"/>
      <c r="B188" s="264"/>
      <c r="C188" s="265"/>
      <c r="D188" s="168"/>
      <c r="E188" s="239"/>
      <c r="F188" s="168"/>
      <c r="G188" s="266"/>
      <c r="H188" s="168"/>
      <c r="I188" s="168"/>
      <c r="J188" s="168"/>
      <c r="K188" s="296" t="s">
        <v>330</v>
      </c>
      <c r="L188" s="266" t="str">
        <f>VLOOKUP(K188,[6]материалы!$A$5:$G$31,5, FALSE)</f>
        <v>кг</v>
      </c>
      <c r="M188" s="168">
        <f>VLOOKUP(K188,[6]материалы!$A$5:$G$34,7, FALSE)</f>
        <v>66.67</v>
      </c>
      <c r="N188" s="168">
        <v>0.01</v>
      </c>
      <c r="O188" s="168">
        <f t="shared" si="136"/>
        <v>0.67</v>
      </c>
      <c r="P188" s="168"/>
      <c r="Q188" s="168"/>
      <c r="R188" s="268"/>
      <c r="S188" s="268"/>
      <c r="T188" s="268"/>
      <c r="U188" s="269"/>
      <c r="V188" s="336"/>
      <c r="W188" s="271"/>
      <c r="X188" s="272"/>
      <c r="Z188" s="273"/>
      <c r="AA188" s="58"/>
      <c r="AB188" s="275"/>
      <c r="AC188" s="276"/>
      <c r="AD188" s="277"/>
      <c r="AG188" s="106"/>
      <c r="AH188" s="281"/>
      <c r="AI188" s="282"/>
      <c r="AJ188" s="283"/>
      <c r="AK188" s="284"/>
      <c r="AM188" s="222"/>
      <c r="AN188" s="285"/>
      <c r="AO188" s="285"/>
      <c r="AQ188" s="286"/>
      <c r="AS188" s="222"/>
      <c r="AT188" s="337"/>
      <c r="AU188" s="285"/>
      <c r="AW188" s="288"/>
      <c r="AX188" s="106"/>
      <c r="AZ188" s="289"/>
    </row>
    <row r="189" spans="1:55" ht="31.7" customHeight="1" x14ac:dyDescent="0.3">
      <c r="A189" s="264" t="s">
        <v>455</v>
      </c>
      <c r="B189" s="264" t="s">
        <v>206</v>
      </c>
      <c r="C189" s="265" t="s">
        <v>51</v>
      </c>
      <c r="D189" s="168" t="s">
        <v>198</v>
      </c>
      <c r="E189" s="239" t="s">
        <v>161</v>
      </c>
      <c r="F189" s="168">
        <f>VLOOKUP(E189,'[6]условия, ФОТ'!$A$14:$I$32,9, FALSE)</f>
        <v>180.5</v>
      </c>
      <c r="G189" s="266">
        <v>0.5</v>
      </c>
      <c r="H189" s="168">
        <f t="shared" si="126"/>
        <v>90.25</v>
      </c>
      <c r="I189" s="168">
        <f t="shared" si="123"/>
        <v>27.26</v>
      </c>
      <c r="J189" s="168">
        <f t="shared" si="124"/>
        <v>117.51</v>
      </c>
      <c r="K189" s="267"/>
      <c r="L189" s="168"/>
      <c r="M189" s="168"/>
      <c r="N189" s="168"/>
      <c r="O189" s="168"/>
      <c r="P189" s="168">
        <f t="shared" si="129"/>
        <v>117.51</v>
      </c>
      <c r="Q189" s="168">
        <f t="shared" si="20"/>
        <v>78.14</v>
      </c>
      <c r="R189" s="268">
        <f>ROUND(T189/1.2,2)</f>
        <v>210.83</v>
      </c>
      <c r="S189" s="268">
        <f>ROUND(R189*$S$5,2)</f>
        <v>42.17</v>
      </c>
      <c r="T189" s="268">
        <f t="shared" ref="T189:T197" si="137">ROUND((P189+Q189)*(1+AC189)*1.2,0)</f>
        <v>253</v>
      </c>
      <c r="U189" s="269">
        <v>186</v>
      </c>
      <c r="V189" s="336">
        <f t="shared" si="70"/>
        <v>36.021505376344066</v>
      </c>
      <c r="W189" s="271">
        <v>243</v>
      </c>
      <c r="X189" s="272">
        <f t="shared" si="112"/>
        <v>4.1152263374485614</v>
      </c>
      <c r="Y189" s="231">
        <v>192</v>
      </c>
      <c r="Z189" s="273">
        <v>1.042</v>
      </c>
      <c r="AA189" s="274">
        <f t="shared" ref="AA189:AA197" si="138">ROUND(W189*Z189,2)</f>
        <v>253.21</v>
      </c>
      <c r="AB189" s="275">
        <f t="shared" ref="AB189:AB197" si="139">ROUND((P189+Q189)*1.2,2)</f>
        <v>234.78</v>
      </c>
      <c r="AC189" s="276">
        <f t="shared" ref="AC189:AC197" si="140">ROUND((AA189/AB189)*100%-100%,4)</f>
        <v>7.85E-2</v>
      </c>
      <c r="AD189" s="277">
        <f t="shared" si="113"/>
        <v>18.430230000000002</v>
      </c>
      <c r="AF189" s="235">
        <v>198.52800000000002</v>
      </c>
      <c r="AG189" s="106">
        <v>243</v>
      </c>
      <c r="AH189" s="281">
        <f t="shared" si="114"/>
        <v>10</v>
      </c>
      <c r="AI189" s="282">
        <v>4.9799999999999997E-2</v>
      </c>
      <c r="AJ189" s="283">
        <f t="shared" si="115"/>
        <v>18.430230000000002</v>
      </c>
      <c r="AK189" s="284"/>
      <c r="AM189" s="222">
        <v>-0.14119999999999999</v>
      </c>
      <c r="AN189" s="285">
        <f t="shared" si="116"/>
        <v>1.1412</v>
      </c>
      <c r="AO189" s="285">
        <v>1.18</v>
      </c>
      <c r="AQ189" s="286">
        <f t="shared" si="127"/>
        <v>286.74</v>
      </c>
      <c r="AS189" s="222">
        <v>1.034</v>
      </c>
      <c r="AT189" s="337">
        <v>-0.14119999999999999</v>
      </c>
      <c r="AU189" s="285">
        <f t="shared" si="117"/>
        <v>8.0000000000000071E-3</v>
      </c>
      <c r="AW189" s="288">
        <f t="shared" si="118"/>
        <v>0.21970000000000001</v>
      </c>
      <c r="AX189" s="106">
        <v>243</v>
      </c>
      <c r="AY189" s="127" t="b">
        <f t="shared" si="119"/>
        <v>1</v>
      </c>
      <c r="AZ189" s="289">
        <f t="shared" si="120"/>
        <v>-2.9080000000000004</v>
      </c>
      <c r="BC189">
        <f t="shared" si="121"/>
        <v>1.0409999999999999</v>
      </c>
    </row>
    <row r="190" spans="1:55" ht="23.25" customHeight="1" x14ac:dyDescent="0.3">
      <c r="A190" s="264" t="s">
        <v>456</v>
      </c>
      <c r="B190" s="264" t="s">
        <v>207</v>
      </c>
      <c r="C190" s="265" t="s">
        <v>52</v>
      </c>
      <c r="D190" s="168" t="s">
        <v>180</v>
      </c>
      <c r="E190" s="239" t="s">
        <v>161</v>
      </c>
      <c r="F190" s="168">
        <f>VLOOKUP(E190,'[6]условия, ФОТ'!$A$14:$I$32,9, FALSE)</f>
        <v>180.5</v>
      </c>
      <c r="G190" s="266">
        <v>0.3</v>
      </c>
      <c r="H190" s="168">
        <f t="shared" si="126"/>
        <v>54.15</v>
      </c>
      <c r="I190" s="168">
        <f t="shared" si="123"/>
        <v>16.350000000000001</v>
      </c>
      <c r="J190" s="168">
        <f t="shared" si="124"/>
        <v>70.5</v>
      </c>
      <c r="K190" s="267"/>
      <c r="L190" s="168"/>
      <c r="M190" s="168"/>
      <c r="N190" s="168"/>
      <c r="O190" s="168"/>
      <c r="P190" s="168">
        <f t="shared" si="129"/>
        <v>70.5</v>
      </c>
      <c r="Q190" s="168">
        <f t="shared" si="20"/>
        <v>46.88</v>
      </c>
      <c r="R190" s="268">
        <f t="shared" ref="R190:R199" si="141">ROUND(T190/1.2,2)</f>
        <v>126.67</v>
      </c>
      <c r="S190" s="268">
        <f>ROUND(R190*$S$5,2)</f>
        <v>25.33</v>
      </c>
      <c r="T190" s="268">
        <f t="shared" si="137"/>
        <v>152</v>
      </c>
      <c r="U190" s="269">
        <v>111</v>
      </c>
      <c r="V190" s="336">
        <f t="shared" si="70"/>
        <v>36.936936936936945</v>
      </c>
      <c r="W190" s="271">
        <v>146</v>
      </c>
      <c r="X190" s="272">
        <f t="shared" si="112"/>
        <v>4.1095890410958873</v>
      </c>
      <c r="Y190" s="231">
        <v>115</v>
      </c>
      <c r="Z190" s="273">
        <v>1.042</v>
      </c>
      <c r="AA190" s="274">
        <f t="shared" si="138"/>
        <v>152.13</v>
      </c>
      <c r="AB190" s="275">
        <f t="shared" si="139"/>
        <v>140.86000000000001</v>
      </c>
      <c r="AC190" s="276">
        <f t="shared" si="140"/>
        <v>0.08</v>
      </c>
      <c r="AD190" s="277">
        <f t="shared" si="113"/>
        <v>11.268800000000001</v>
      </c>
      <c r="AF190" s="235">
        <v>118.91</v>
      </c>
      <c r="AG190" s="106">
        <v>146</v>
      </c>
      <c r="AH190" s="281">
        <f t="shared" si="114"/>
        <v>6</v>
      </c>
      <c r="AI190" s="282">
        <v>4.9700000000000001E-2</v>
      </c>
      <c r="AJ190" s="283">
        <f t="shared" si="115"/>
        <v>11.268800000000001</v>
      </c>
      <c r="AK190" s="284"/>
      <c r="AM190" s="222">
        <v>-0.14269999999999999</v>
      </c>
      <c r="AN190" s="285">
        <f t="shared" si="116"/>
        <v>1.1427</v>
      </c>
      <c r="AO190" s="285">
        <v>1.1819999999999999</v>
      </c>
      <c r="AQ190" s="286">
        <f t="shared" si="127"/>
        <v>172.57</v>
      </c>
      <c r="AS190" s="222">
        <v>1.034</v>
      </c>
      <c r="AT190" s="337">
        <v>-0.14269999999999999</v>
      </c>
      <c r="AU190" s="285">
        <f t="shared" si="117"/>
        <v>8.0000000000000071E-3</v>
      </c>
      <c r="AW190" s="288">
        <f t="shared" si="118"/>
        <v>0.22270000000000001</v>
      </c>
      <c r="AX190" s="106">
        <v>146</v>
      </c>
      <c r="AY190" s="127" t="b">
        <f t="shared" si="119"/>
        <v>1</v>
      </c>
      <c r="AZ190" s="289">
        <f t="shared" si="120"/>
        <v>-2.9080000000000004</v>
      </c>
      <c r="BC190">
        <f t="shared" si="121"/>
        <v>1.0409999999999999</v>
      </c>
    </row>
    <row r="191" spans="1:55" ht="28.5" customHeight="1" x14ac:dyDescent="0.3">
      <c r="A191" s="264" t="s">
        <v>457</v>
      </c>
      <c r="B191" s="264" t="s">
        <v>208</v>
      </c>
      <c r="C191" s="265" t="s">
        <v>53</v>
      </c>
      <c r="D191" s="168" t="s">
        <v>209</v>
      </c>
      <c r="E191" s="239" t="s">
        <v>161</v>
      </c>
      <c r="F191" s="168">
        <f>VLOOKUP(E191,'[6]условия, ФОТ'!$A$14:$I$32,9, FALSE)</f>
        <v>180.5</v>
      </c>
      <c r="G191" s="266">
        <v>0.67</v>
      </c>
      <c r="H191" s="168">
        <f t="shared" si="126"/>
        <v>120.94</v>
      </c>
      <c r="I191" s="168">
        <f t="shared" si="123"/>
        <v>36.520000000000003</v>
      </c>
      <c r="J191" s="168">
        <f t="shared" si="124"/>
        <v>157.46</v>
      </c>
      <c r="K191" s="267"/>
      <c r="L191" s="168"/>
      <c r="M191" s="168"/>
      <c r="N191" s="168"/>
      <c r="O191" s="168"/>
      <c r="P191" s="168">
        <f t="shared" si="129"/>
        <v>157.46</v>
      </c>
      <c r="Q191" s="168">
        <f t="shared" si="20"/>
        <v>104.71</v>
      </c>
      <c r="R191" s="268">
        <f t="shared" si="141"/>
        <v>282.5</v>
      </c>
      <c r="S191" s="268">
        <f t="shared" si="21"/>
        <v>56.5</v>
      </c>
      <c r="T191" s="268">
        <f t="shared" si="137"/>
        <v>339</v>
      </c>
      <c r="U191" s="269">
        <v>249</v>
      </c>
      <c r="V191" s="336">
        <f t="shared" si="70"/>
        <v>36.144578313253021</v>
      </c>
      <c r="W191" s="271">
        <v>325</v>
      </c>
      <c r="X191" s="272">
        <f t="shared" si="112"/>
        <v>4.3076923076923066</v>
      </c>
      <c r="Y191" s="231">
        <v>257</v>
      </c>
      <c r="Z191" s="273">
        <v>1.042</v>
      </c>
      <c r="AA191" s="274">
        <f t="shared" si="138"/>
        <v>338.65</v>
      </c>
      <c r="AB191" s="275">
        <f t="shared" si="139"/>
        <v>314.60000000000002</v>
      </c>
      <c r="AC191" s="276">
        <f t="shared" si="140"/>
        <v>7.6399999999999996E-2</v>
      </c>
      <c r="AD191" s="277">
        <f t="shared" si="113"/>
        <v>24.035440000000001</v>
      </c>
      <c r="AF191" s="235">
        <v>265.738</v>
      </c>
      <c r="AG191" s="106">
        <v>325</v>
      </c>
      <c r="AH191" s="281">
        <f t="shared" si="114"/>
        <v>14</v>
      </c>
      <c r="AI191" s="282">
        <v>4.9500000000000002E-2</v>
      </c>
      <c r="AJ191" s="283">
        <f t="shared" si="115"/>
        <v>24.035440000000001</v>
      </c>
      <c r="AK191" s="284"/>
      <c r="AM191" s="222">
        <v>-0.14219999999999999</v>
      </c>
      <c r="AN191" s="285">
        <f t="shared" si="116"/>
        <v>1.1421999999999999</v>
      </c>
      <c r="AO191" s="285">
        <v>1.181</v>
      </c>
      <c r="AQ191" s="286">
        <f t="shared" si="127"/>
        <v>383.83</v>
      </c>
      <c r="AS191" s="222">
        <v>1.034</v>
      </c>
      <c r="AT191" s="337">
        <v>-0.14219999999999999</v>
      </c>
      <c r="AU191" s="285">
        <f t="shared" si="117"/>
        <v>8.0000000000000071E-3</v>
      </c>
      <c r="AW191" s="288">
        <f t="shared" si="118"/>
        <v>0.21859999999999999</v>
      </c>
      <c r="AX191" s="106">
        <v>325</v>
      </c>
      <c r="AY191" s="127" t="b">
        <f t="shared" si="119"/>
        <v>1</v>
      </c>
      <c r="AZ191" s="289">
        <f t="shared" si="120"/>
        <v>-3.0880000000000001</v>
      </c>
      <c r="BC191">
        <f t="shared" si="121"/>
        <v>1.0429999999999999</v>
      </c>
    </row>
    <row r="192" spans="1:55" x14ac:dyDescent="0.3">
      <c r="A192" s="264" t="s">
        <v>458</v>
      </c>
      <c r="B192" s="264" t="s">
        <v>210</v>
      </c>
      <c r="C192" s="265" t="s">
        <v>54</v>
      </c>
      <c r="D192" s="168" t="s">
        <v>211</v>
      </c>
      <c r="E192" s="239" t="s">
        <v>161</v>
      </c>
      <c r="F192" s="168">
        <f>VLOOKUP(E192,'[6]условия, ФОТ'!$A$14:$I$32,9, FALSE)</f>
        <v>180.5</v>
      </c>
      <c r="G192" s="266">
        <v>0.17</v>
      </c>
      <c r="H192" s="168">
        <f t="shared" si="126"/>
        <v>30.69</v>
      </c>
      <c r="I192" s="168">
        <f t="shared" si="123"/>
        <v>9.27</v>
      </c>
      <c r="J192" s="168">
        <f t="shared" si="124"/>
        <v>39.96</v>
      </c>
      <c r="K192" s="267"/>
      <c r="L192" s="168"/>
      <c r="M192" s="168"/>
      <c r="N192" s="168"/>
      <c r="O192" s="168"/>
      <c r="P192" s="168">
        <f t="shared" si="129"/>
        <v>39.96</v>
      </c>
      <c r="Q192" s="168">
        <f t="shared" si="20"/>
        <v>26.57</v>
      </c>
      <c r="R192" s="268">
        <f t="shared" si="141"/>
        <v>70.83</v>
      </c>
      <c r="S192" s="268">
        <f t="shared" si="21"/>
        <v>14.17</v>
      </c>
      <c r="T192" s="268">
        <f t="shared" si="137"/>
        <v>85</v>
      </c>
      <c r="U192" s="269">
        <v>63</v>
      </c>
      <c r="V192" s="336">
        <f t="shared" si="70"/>
        <v>34.920634920634939</v>
      </c>
      <c r="W192" s="271">
        <v>82</v>
      </c>
      <c r="X192" s="272">
        <f t="shared" si="112"/>
        <v>3.6585365853658516</v>
      </c>
      <c r="Y192" s="231">
        <v>65</v>
      </c>
      <c r="Z192" s="273">
        <v>1.042</v>
      </c>
      <c r="AA192" s="274">
        <f t="shared" si="138"/>
        <v>85.44</v>
      </c>
      <c r="AB192" s="275">
        <f t="shared" si="139"/>
        <v>79.84</v>
      </c>
      <c r="AC192" s="276">
        <f t="shared" si="140"/>
        <v>7.0099999999999996E-2</v>
      </c>
      <c r="AD192" s="277">
        <f t="shared" si="113"/>
        <v>5.5967839999999995</v>
      </c>
      <c r="AF192" s="235">
        <v>67.210000000000008</v>
      </c>
      <c r="AG192" s="106">
        <v>82</v>
      </c>
      <c r="AH192" s="281">
        <f t="shared" si="114"/>
        <v>3</v>
      </c>
      <c r="AI192" s="282">
        <v>4.9500000000000002E-2</v>
      </c>
      <c r="AJ192" s="283">
        <f t="shared" si="115"/>
        <v>5.5967839999999995</v>
      </c>
      <c r="AK192" s="284"/>
      <c r="AM192" s="222">
        <v>-0.1449</v>
      </c>
      <c r="AN192" s="285">
        <f t="shared" si="116"/>
        <v>1.1449</v>
      </c>
      <c r="AO192" s="285">
        <v>1.1839999999999999</v>
      </c>
      <c r="AQ192" s="286">
        <f t="shared" si="127"/>
        <v>97.09</v>
      </c>
      <c r="AS192" s="222">
        <v>1.034</v>
      </c>
      <c r="AT192" s="337">
        <v>-0.1449</v>
      </c>
      <c r="AU192" s="285">
        <f t="shared" si="117"/>
        <v>8.0000000000000071E-3</v>
      </c>
      <c r="AW192" s="288">
        <f t="shared" si="118"/>
        <v>0.215</v>
      </c>
      <c r="AX192" s="106">
        <v>82</v>
      </c>
      <c r="AY192" s="127" t="b">
        <f t="shared" si="119"/>
        <v>1</v>
      </c>
      <c r="AZ192" s="289">
        <f t="shared" si="120"/>
        <v>-2.4879999999999995</v>
      </c>
      <c r="BC192">
        <f t="shared" si="121"/>
        <v>1.0369999999999999</v>
      </c>
    </row>
    <row r="193" spans="1:55" x14ac:dyDescent="0.3">
      <c r="A193" s="264" t="s">
        <v>459</v>
      </c>
      <c r="B193" s="264" t="s">
        <v>212</v>
      </c>
      <c r="C193" s="265" t="s">
        <v>55</v>
      </c>
      <c r="D193" s="168" t="s">
        <v>198</v>
      </c>
      <c r="E193" s="239" t="s">
        <v>161</v>
      </c>
      <c r="F193" s="168">
        <f>VLOOKUP(E193,'[6]условия, ФОТ'!$A$14:$I$32,9, FALSE)</f>
        <v>180.5</v>
      </c>
      <c r="G193" s="266">
        <v>0.5</v>
      </c>
      <c r="H193" s="168">
        <f t="shared" si="126"/>
        <v>90.25</v>
      </c>
      <c r="I193" s="168">
        <f t="shared" si="123"/>
        <v>27.26</v>
      </c>
      <c r="J193" s="168">
        <f t="shared" si="124"/>
        <v>117.51</v>
      </c>
      <c r="K193" s="267"/>
      <c r="L193" s="168"/>
      <c r="M193" s="168"/>
      <c r="N193" s="168"/>
      <c r="O193" s="168"/>
      <c r="P193" s="168">
        <f t="shared" si="129"/>
        <v>117.51</v>
      </c>
      <c r="Q193" s="168">
        <f t="shared" si="20"/>
        <v>78.14</v>
      </c>
      <c r="R193" s="268">
        <f t="shared" si="141"/>
        <v>210.83</v>
      </c>
      <c r="S193" s="268">
        <f>ROUND(R193*$S$5,2)</f>
        <v>42.17</v>
      </c>
      <c r="T193" s="268">
        <f t="shared" si="137"/>
        <v>253</v>
      </c>
      <c r="U193" s="269">
        <v>186</v>
      </c>
      <c r="V193" s="336">
        <f t="shared" si="70"/>
        <v>36.021505376344066</v>
      </c>
      <c r="W193" s="271">
        <v>243</v>
      </c>
      <c r="X193" s="272">
        <f t="shared" si="112"/>
        <v>4.1152263374485614</v>
      </c>
      <c r="Y193" s="231">
        <v>192</v>
      </c>
      <c r="Z193" s="273">
        <v>1.042</v>
      </c>
      <c r="AA193" s="274">
        <f t="shared" si="138"/>
        <v>253.21</v>
      </c>
      <c r="AB193" s="275">
        <f t="shared" si="139"/>
        <v>234.78</v>
      </c>
      <c r="AC193" s="276">
        <f t="shared" si="140"/>
        <v>7.85E-2</v>
      </c>
      <c r="AD193" s="277">
        <f t="shared" si="113"/>
        <v>18.430230000000002</v>
      </c>
      <c r="AF193" s="235">
        <v>198.52800000000002</v>
      </c>
      <c r="AG193" s="106">
        <v>243</v>
      </c>
      <c r="AH193" s="281">
        <f t="shared" si="114"/>
        <v>10</v>
      </c>
      <c r="AI193" s="282">
        <v>4.9799999999999997E-2</v>
      </c>
      <c r="AJ193" s="283">
        <f t="shared" si="115"/>
        <v>18.430230000000002</v>
      </c>
      <c r="AK193" s="284"/>
      <c r="AM193" s="222">
        <v>-0.14119999999999999</v>
      </c>
      <c r="AN193" s="285">
        <f t="shared" si="116"/>
        <v>1.1412</v>
      </c>
      <c r="AO193" s="285">
        <v>1.18</v>
      </c>
      <c r="AQ193" s="286">
        <f t="shared" si="127"/>
        <v>286.74</v>
      </c>
      <c r="AS193" s="222">
        <v>1.034</v>
      </c>
      <c r="AT193" s="337">
        <v>-0.14119999999999999</v>
      </c>
      <c r="AU193" s="285">
        <f t="shared" si="117"/>
        <v>8.0000000000000071E-3</v>
      </c>
      <c r="AW193" s="288">
        <f t="shared" si="118"/>
        <v>0.21970000000000001</v>
      </c>
      <c r="AX193" s="106">
        <v>243</v>
      </c>
      <c r="AY193" s="127" t="b">
        <f t="shared" si="119"/>
        <v>1</v>
      </c>
      <c r="AZ193" s="289">
        <f t="shared" si="120"/>
        <v>-2.9080000000000004</v>
      </c>
      <c r="BC193">
        <f t="shared" si="121"/>
        <v>1.0409999999999999</v>
      </c>
    </row>
    <row r="194" spans="1:55" x14ac:dyDescent="0.3">
      <c r="A194" s="264" t="s">
        <v>460</v>
      </c>
      <c r="B194" s="264" t="s">
        <v>213</v>
      </c>
      <c r="C194" s="265" t="s">
        <v>56</v>
      </c>
      <c r="D194" s="168" t="s">
        <v>177</v>
      </c>
      <c r="E194" s="239" t="s">
        <v>161</v>
      </c>
      <c r="F194" s="168">
        <f>VLOOKUP(E194,'[6]условия, ФОТ'!$A$14:$I$32,9, FALSE)</f>
        <v>180.5</v>
      </c>
      <c r="G194" s="266">
        <v>0.67</v>
      </c>
      <c r="H194" s="168">
        <f t="shared" si="126"/>
        <v>120.94</v>
      </c>
      <c r="I194" s="168">
        <f t="shared" si="123"/>
        <v>36.520000000000003</v>
      </c>
      <c r="J194" s="168">
        <f t="shared" si="124"/>
        <v>157.46</v>
      </c>
      <c r="K194" s="267"/>
      <c r="L194" s="168"/>
      <c r="M194" s="168"/>
      <c r="N194" s="168"/>
      <c r="O194" s="168"/>
      <c r="P194" s="168">
        <f t="shared" si="129"/>
        <v>157.46</v>
      </c>
      <c r="Q194" s="168">
        <f t="shared" si="20"/>
        <v>104.71</v>
      </c>
      <c r="R194" s="268">
        <f t="shared" si="141"/>
        <v>282.5</v>
      </c>
      <c r="S194" s="268">
        <f t="shared" si="21"/>
        <v>56.5</v>
      </c>
      <c r="T194" s="268">
        <f t="shared" si="137"/>
        <v>339</v>
      </c>
      <c r="U194" s="269">
        <v>249</v>
      </c>
      <c r="V194" s="336">
        <f t="shared" si="70"/>
        <v>36.144578313253021</v>
      </c>
      <c r="W194" s="271">
        <v>325</v>
      </c>
      <c r="X194" s="272">
        <f t="shared" si="112"/>
        <v>4.3076923076923066</v>
      </c>
      <c r="Y194" s="231">
        <v>257</v>
      </c>
      <c r="Z194" s="273">
        <v>1.042</v>
      </c>
      <c r="AA194" s="274">
        <f t="shared" si="138"/>
        <v>338.65</v>
      </c>
      <c r="AB194" s="275">
        <f t="shared" si="139"/>
        <v>314.60000000000002</v>
      </c>
      <c r="AC194" s="276">
        <f t="shared" si="140"/>
        <v>7.6399999999999996E-2</v>
      </c>
      <c r="AD194" s="277">
        <f t="shared" si="113"/>
        <v>24.035440000000001</v>
      </c>
      <c r="AF194" s="235">
        <v>265.738</v>
      </c>
      <c r="AG194" s="106">
        <v>325</v>
      </c>
      <c r="AH194" s="281">
        <f t="shared" si="114"/>
        <v>14</v>
      </c>
      <c r="AI194" s="282">
        <v>4.9500000000000002E-2</v>
      </c>
      <c r="AJ194" s="283">
        <f t="shared" si="115"/>
        <v>24.035440000000001</v>
      </c>
      <c r="AK194" s="284"/>
      <c r="AM194" s="222">
        <v>-0.14219999999999999</v>
      </c>
      <c r="AN194" s="285">
        <f t="shared" si="116"/>
        <v>1.1421999999999999</v>
      </c>
      <c r="AO194" s="285">
        <v>1.181</v>
      </c>
      <c r="AQ194" s="286">
        <f t="shared" si="127"/>
        <v>383.83</v>
      </c>
      <c r="AS194" s="222">
        <v>1.034</v>
      </c>
      <c r="AT194" s="337">
        <v>-0.14219999999999999</v>
      </c>
      <c r="AU194" s="285">
        <f t="shared" si="117"/>
        <v>8.0000000000000071E-3</v>
      </c>
      <c r="AW194" s="288">
        <f t="shared" si="118"/>
        <v>0.21859999999999999</v>
      </c>
      <c r="AX194" s="106">
        <v>325</v>
      </c>
      <c r="AY194" s="127" t="b">
        <f t="shared" si="119"/>
        <v>1</v>
      </c>
      <c r="AZ194" s="289">
        <f t="shared" si="120"/>
        <v>-3.0880000000000001</v>
      </c>
      <c r="BC194">
        <f t="shared" si="121"/>
        <v>1.0429999999999999</v>
      </c>
    </row>
    <row r="195" spans="1:55" x14ac:dyDescent="0.3">
      <c r="A195" s="264" t="s">
        <v>461</v>
      </c>
      <c r="B195" s="264" t="s">
        <v>214</v>
      </c>
      <c r="C195" s="265" t="s">
        <v>57</v>
      </c>
      <c r="D195" s="168" t="s">
        <v>215</v>
      </c>
      <c r="E195" s="239" t="s">
        <v>161</v>
      </c>
      <c r="F195" s="168">
        <f>VLOOKUP(E195,'[6]условия, ФОТ'!$A$14:$I$32,9, FALSE)</f>
        <v>180.5</v>
      </c>
      <c r="G195" s="266">
        <v>0.3</v>
      </c>
      <c r="H195" s="168">
        <f t="shared" si="126"/>
        <v>54.15</v>
      </c>
      <c r="I195" s="168">
        <f t="shared" si="123"/>
        <v>16.350000000000001</v>
      </c>
      <c r="J195" s="168">
        <f t="shared" si="124"/>
        <v>70.5</v>
      </c>
      <c r="K195" s="267"/>
      <c r="L195" s="168"/>
      <c r="M195" s="168"/>
      <c r="N195" s="168"/>
      <c r="O195" s="168"/>
      <c r="P195" s="168">
        <f t="shared" si="129"/>
        <v>70.5</v>
      </c>
      <c r="Q195" s="168">
        <f t="shared" si="20"/>
        <v>46.88</v>
      </c>
      <c r="R195" s="268">
        <f t="shared" si="141"/>
        <v>126.67</v>
      </c>
      <c r="S195" s="268">
        <f>ROUND(R195*$S$5,2)</f>
        <v>25.33</v>
      </c>
      <c r="T195" s="268">
        <f t="shared" si="137"/>
        <v>152</v>
      </c>
      <c r="U195" s="269">
        <v>111</v>
      </c>
      <c r="V195" s="336">
        <f t="shared" si="70"/>
        <v>36.936936936936945</v>
      </c>
      <c r="W195" s="271">
        <v>146</v>
      </c>
      <c r="X195" s="272">
        <f t="shared" si="112"/>
        <v>4.1095890410958873</v>
      </c>
      <c r="Y195" s="231">
        <v>115</v>
      </c>
      <c r="Z195" s="273">
        <v>1.042</v>
      </c>
      <c r="AA195" s="274">
        <f t="shared" si="138"/>
        <v>152.13</v>
      </c>
      <c r="AB195" s="275">
        <f t="shared" si="139"/>
        <v>140.86000000000001</v>
      </c>
      <c r="AC195" s="276">
        <f t="shared" si="140"/>
        <v>0.08</v>
      </c>
      <c r="AD195" s="277">
        <f t="shared" si="113"/>
        <v>11.268800000000001</v>
      </c>
      <c r="AF195" s="235">
        <v>118.91</v>
      </c>
      <c r="AG195" s="106">
        <v>146</v>
      </c>
      <c r="AH195" s="281">
        <f t="shared" si="114"/>
        <v>6</v>
      </c>
      <c r="AI195" s="282">
        <v>4.9700000000000001E-2</v>
      </c>
      <c r="AJ195" s="283">
        <f t="shared" si="115"/>
        <v>11.268800000000001</v>
      </c>
      <c r="AK195" s="284"/>
      <c r="AM195" s="222">
        <v>-0.14269999999999999</v>
      </c>
      <c r="AN195" s="285">
        <f t="shared" si="116"/>
        <v>1.1427</v>
      </c>
      <c r="AO195" s="285">
        <v>1.1819999999999999</v>
      </c>
      <c r="AQ195" s="286">
        <f t="shared" si="127"/>
        <v>172.57</v>
      </c>
      <c r="AS195" s="222">
        <v>1.034</v>
      </c>
      <c r="AT195" s="337">
        <v>-0.14269999999999999</v>
      </c>
      <c r="AU195" s="285">
        <f t="shared" si="117"/>
        <v>8.0000000000000071E-3</v>
      </c>
      <c r="AW195" s="288">
        <f t="shared" si="118"/>
        <v>0.22270000000000001</v>
      </c>
      <c r="AX195" s="106">
        <v>146</v>
      </c>
      <c r="AY195" s="127" t="b">
        <f t="shared" si="119"/>
        <v>1</v>
      </c>
      <c r="AZ195" s="289">
        <f t="shared" si="120"/>
        <v>-2.9080000000000004</v>
      </c>
      <c r="BC195">
        <f t="shared" si="121"/>
        <v>1.0409999999999999</v>
      </c>
    </row>
    <row r="196" spans="1:55" x14ac:dyDescent="0.3">
      <c r="A196" s="264" t="s">
        <v>462</v>
      </c>
      <c r="B196" s="264" t="s">
        <v>216</v>
      </c>
      <c r="C196" s="265" t="s">
        <v>58</v>
      </c>
      <c r="D196" s="168" t="s">
        <v>215</v>
      </c>
      <c r="E196" s="239" t="s">
        <v>161</v>
      </c>
      <c r="F196" s="168">
        <f>VLOOKUP(E196,'[6]условия, ФОТ'!$A$14:$I$32,9, FALSE)</f>
        <v>180.5</v>
      </c>
      <c r="G196" s="266">
        <v>0.25</v>
      </c>
      <c r="H196" s="168">
        <f t="shared" si="126"/>
        <v>45.13</v>
      </c>
      <c r="I196" s="168">
        <f t="shared" si="123"/>
        <v>13.63</v>
      </c>
      <c r="J196" s="168">
        <f t="shared" si="124"/>
        <v>58.760000000000005</v>
      </c>
      <c r="K196" s="267"/>
      <c r="L196" s="168"/>
      <c r="M196" s="168"/>
      <c r="N196" s="168"/>
      <c r="O196" s="168"/>
      <c r="P196" s="168">
        <f t="shared" si="129"/>
        <v>58.760000000000005</v>
      </c>
      <c r="Q196" s="168">
        <f t="shared" si="20"/>
        <v>39.08</v>
      </c>
      <c r="R196" s="268">
        <f t="shared" si="141"/>
        <v>105</v>
      </c>
      <c r="S196" s="268">
        <f t="shared" si="21"/>
        <v>21</v>
      </c>
      <c r="T196" s="268">
        <f t="shared" si="137"/>
        <v>126</v>
      </c>
      <c r="U196" s="269">
        <v>93</v>
      </c>
      <c r="V196" s="336">
        <f t="shared" si="70"/>
        <v>35.483870967741922</v>
      </c>
      <c r="W196" s="271">
        <v>121</v>
      </c>
      <c r="X196" s="272">
        <f t="shared" si="112"/>
        <v>4.1322314049586879</v>
      </c>
      <c r="Y196" s="231">
        <v>96</v>
      </c>
      <c r="Z196" s="273">
        <v>1.042</v>
      </c>
      <c r="AA196" s="274">
        <f t="shared" si="138"/>
        <v>126.08</v>
      </c>
      <c r="AB196" s="275">
        <f t="shared" si="139"/>
        <v>117.41</v>
      </c>
      <c r="AC196" s="276">
        <f t="shared" si="140"/>
        <v>7.3800000000000004E-2</v>
      </c>
      <c r="AD196" s="277">
        <f t="shared" si="113"/>
        <v>8.6648580000000006</v>
      </c>
      <c r="AF196" s="235">
        <v>99.26400000000001</v>
      </c>
      <c r="AG196" s="106">
        <v>121</v>
      </c>
      <c r="AH196" s="281">
        <f t="shared" si="114"/>
        <v>5</v>
      </c>
      <c r="AI196" s="282">
        <v>4.9700000000000001E-2</v>
      </c>
      <c r="AJ196" s="283">
        <f t="shared" si="115"/>
        <v>8.6648580000000006</v>
      </c>
      <c r="AK196" s="284"/>
      <c r="AM196" s="222">
        <v>-0.14130000000000001</v>
      </c>
      <c r="AN196" s="285">
        <f t="shared" si="116"/>
        <v>1.1413</v>
      </c>
      <c r="AO196" s="285">
        <v>1.18</v>
      </c>
      <c r="AQ196" s="286">
        <f t="shared" si="127"/>
        <v>142.78</v>
      </c>
      <c r="AS196" s="222">
        <v>1.034</v>
      </c>
      <c r="AT196" s="337">
        <v>-0.14130000000000001</v>
      </c>
      <c r="AU196" s="285">
        <f t="shared" si="117"/>
        <v>8.0000000000000071E-3</v>
      </c>
      <c r="AW196" s="288">
        <f t="shared" si="118"/>
        <v>0.21510000000000001</v>
      </c>
      <c r="AX196" s="106">
        <v>121</v>
      </c>
      <c r="AY196" s="127" t="b">
        <f t="shared" si="119"/>
        <v>1</v>
      </c>
      <c r="AZ196" s="289">
        <f t="shared" si="120"/>
        <v>-2.9279999999999999</v>
      </c>
      <c r="BC196">
        <f t="shared" si="121"/>
        <v>1.0409999999999999</v>
      </c>
    </row>
    <row r="197" spans="1:55" s="223" customFormat="1" ht="41.25" customHeight="1" x14ac:dyDescent="0.3">
      <c r="A197" s="264" t="s">
        <v>681</v>
      </c>
      <c r="B197" s="264" t="s">
        <v>216</v>
      </c>
      <c r="C197" s="265" t="s">
        <v>682</v>
      </c>
      <c r="D197" s="168" t="s">
        <v>215</v>
      </c>
      <c r="E197" s="239" t="s">
        <v>161</v>
      </c>
      <c r="F197" s="168">
        <f>VLOOKUP(E197,'[6]условия, ФОТ'!$A$14:$I$32,9, FALSE)</f>
        <v>180.5</v>
      </c>
      <c r="G197" s="266">
        <v>0.25</v>
      </c>
      <c r="H197" s="168">
        <f t="shared" si="126"/>
        <v>45.13</v>
      </c>
      <c r="I197" s="168">
        <f t="shared" si="123"/>
        <v>13.63</v>
      </c>
      <c r="J197" s="168">
        <f t="shared" si="124"/>
        <v>58.760000000000005</v>
      </c>
      <c r="K197" s="267"/>
      <c r="L197" s="168"/>
      <c r="M197" s="168"/>
      <c r="N197" s="168"/>
      <c r="O197" s="168">
        <f>SUM(O198)</f>
        <v>291.67</v>
      </c>
      <c r="P197" s="168">
        <f t="shared" si="129"/>
        <v>350.43</v>
      </c>
      <c r="Q197" s="168">
        <f t="shared" si="20"/>
        <v>233.04</v>
      </c>
      <c r="R197" s="268">
        <f t="shared" si="141"/>
        <v>608.33000000000004</v>
      </c>
      <c r="S197" s="268">
        <f t="shared" si="21"/>
        <v>121.67</v>
      </c>
      <c r="T197" s="268">
        <f t="shared" si="137"/>
        <v>730</v>
      </c>
      <c r="U197" s="269"/>
      <c r="V197" s="336"/>
      <c r="W197" s="350">
        <v>324</v>
      </c>
      <c r="X197" s="351">
        <f t="shared" si="112"/>
        <v>125.30864197530863</v>
      </c>
      <c r="Y197" s="231"/>
      <c r="Z197" s="273">
        <v>2.2519999999999998</v>
      </c>
      <c r="AA197" s="274">
        <f t="shared" si="138"/>
        <v>729.65</v>
      </c>
      <c r="AB197" s="275">
        <f t="shared" si="139"/>
        <v>700.16</v>
      </c>
      <c r="AC197" s="365">
        <f t="shared" si="140"/>
        <v>4.2099999999999999E-2</v>
      </c>
      <c r="AD197" s="277">
        <f t="shared" si="113"/>
        <v>29.476735999999999</v>
      </c>
      <c r="AE197" s="381">
        <v>-0.51780000000000004</v>
      </c>
      <c r="AF197" s="356">
        <v>323.642</v>
      </c>
      <c r="AG197" s="357">
        <v>324</v>
      </c>
      <c r="AH197" s="281">
        <f t="shared" si="114"/>
        <v>406</v>
      </c>
      <c r="AI197" s="282">
        <v>0.1101</v>
      </c>
      <c r="AJ197" s="283">
        <f t="shared" si="115"/>
        <v>29.476735999999999</v>
      </c>
      <c r="AK197" s="284"/>
      <c r="AM197" s="361">
        <v>0.1101</v>
      </c>
      <c r="AN197" s="285">
        <f t="shared" si="116"/>
        <v>0.1101</v>
      </c>
      <c r="AO197" s="285">
        <v>0</v>
      </c>
      <c r="AQ197" s="286"/>
      <c r="AR197" s="237"/>
      <c r="AS197" s="361">
        <v>1.034</v>
      </c>
      <c r="AT197" s="18">
        <v>0.1101</v>
      </c>
      <c r="AU197" s="285">
        <f t="shared" si="117"/>
        <v>1.2179999999999997</v>
      </c>
      <c r="AW197" s="288">
        <f t="shared" si="118"/>
        <v>-6.8000000000000005E-2</v>
      </c>
      <c r="AX197" s="357">
        <v>324</v>
      </c>
      <c r="AY197" s="127" t="b">
        <f t="shared" si="119"/>
        <v>1</v>
      </c>
      <c r="AZ197" s="289">
        <f t="shared" si="120"/>
        <v>-53.367999999999995</v>
      </c>
      <c r="BA197"/>
      <c r="BB197"/>
      <c r="BC197">
        <f t="shared" si="121"/>
        <v>2.2530000000000001</v>
      </c>
    </row>
    <row r="198" spans="1:55" s="223" customFormat="1" ht="58.5" customHeight="1" x14ac:dyDescent="0.3">
      <c r="A198" s="264"/>
      <c r="B198" s="264"/>
      <c r="C198" s="265"/>
      <c r="D198" s="168"/>
      <c r="E198" s="239"/>
      <c r="F198" s="168"/>
      <c r="G198" s="266"/>
      <c r="H198" s="168"/>
      <c r="I198" s="168"/>
      <c r="J198" s="295" t="s">
        <v>366</v>
      </c>
      <c r="K198" s="265" t="s">
        <v>683</v>
      </c>
      <c r="L198" s="168" t="s">
        <v>25</v>
      </c>
      <c r="M198" s="168">
        <f>VLOOKUP(K198,[6]материалы!$A$5:$G$34,7, FALSE)</f>
        <v>291.67</v>
      </c>
      <c r="N198" s="168">
        <v>1</v>
      </c>
      <c r="O198" s="168">
        <f>ROUND(M198*N198,2)</f>
        <v>291.67</v>
      </c>
      <c r="P198" s="168"/>
      <c r="Q198" s="168"/>
      <c r="R198" s="268"/>
      <c r="S198" s="268"/>
      <c r="T198" s="268"/>
      <c r="U198" s="269"/>
      <c r="V198" s="336"/>
      <c r="W198" s="350"/>
      <c r="X198" s="351"/>
      <c r="Y198" s="231"/>
      <c r="Z198" s="273"/>
      <c r="AA198" s="58"/>
      <c r="AB198" s="275"/>
      <c r="AC198" s="276"/>
      <c r="AD198" s="277"/>
      <c r="AE198" s="355"/>
      <c r="AF198" s="356"/>
      <c r="AG198" s="357"/>
      <c r="AH198" s="281"/>
      <c r="AI198" s="282"/>
      <c r="AJ198" s="283"/>
      <c r="AK198" s="284"/>
      <c r="AM198" s="361"/>
      <c r="AN198" s="285"/>
      <c r="AO198" s="285"/>
      <c r="AQ198" s="286"/>
      <c r="AR198" s="237"/>
      <c r="AS198" s="361"/>
      <c r="AT198" s="18"/>
      <c r="AU198" s="285"/>
      <c r="AW198" s="288"/>
      <c r="AX198" s="357"/>
      <c r="AY198" s="127"/>
      <c r="AZ198" s="289"/>
      <c r="BA198"/>
      <c r="BB198"/>
      <c r="BC198"/>
    </row>
    <row r="199" spans="1:55" ht="15.75" customHeight="1" x14ac:dyDescent="0.3">
      <c r="A199" s="264" t="s">
        <v>463</v>
      </c>
      <c r="B199" s="264" t="s">
        <v>217</v>
      </c>
      <c r="C199" s="265" t="s">
        <v>59</v>
      </c>
      <c r="D199" s="168" t="s">
        <v>204</v>
      </c>
      <c r="E199" s="239" t="s">
        <v>161</v>
      </c>
      <c r="F199" s="168">
        <f>VLOOKUP(E199,'[6]условия, ФОТ'!$A$14:$I$32,9, FALSE)</f>
        <v>180.5</v>
      </c>
      <c r="G199" s="266">
        <v>0.6</v>
      </c>
      <c r="H199" s="168">
        <f t="shared" si="126"/>
        <v>108.3</v>
      </c>
      <c r="I199" s="168">
        <f t="shared" si="123"/>
        <v>32.71</v>
      </c>
      <c r="J199" s="168">
        <f t="shared" si="124"/>
        <v>141.01</v>
      </c>
      <c r="K199" s="267"/>
      <c r="L199" s="168"/>
      <c r="M199" s="168"/>
      <c r="N199" s="168"/>
      <c r="O199" s="168">
        <f>SUM(O200:O203)</f>
        <v>4.9300000000000006</v>
      </c>
      <c r="P199" s="168">
        <f t="shared" si="129"/>
        <v>145.94</v>
      </c>
      <c r="Q199" s="168">
        <f t="shared" si="20"/>
        <v>97.05</v>
      </c>
      <c r="R199" s="268">
        <f t="shared" si="141"/>
        <v>280</v>
      </c>
      <c r="S199" s="268">
        <f t="shared" si="21"/>
        <v>56</v>
      </c>
      <c r="T199" s="268">
        <f>ROUND((P199+Q199)*(1+AC199)*1.2,0)</f>
        <v>336</v>
      </c>
      <c r="U199" s="269">
        <v>252</v>
      </c>
      <c r="V199" s="336">
        <f t="shared" si="70"/>
        <v>33.333333333333314</v>
      </c>
      <c r="W199" s="271">
        <v>322</v>
      </c>
      <c r="X199" s="272">
        <f t="shared" si="112"/>
        <v>4.3478260869565162</v>
      </c>
      <c r="Y199" s="231">
        <v>260</v>
      </c>
      <c r="Z199" s="273">
        <v>1.042</v>
      </c>
      <c r="AA199" s="274">
        <f>ROUND(W199*Z199,2)</f>
        <v>335.52</v>
      </c>
      <c r="AB199" s="275">
        <f>ROUND((P199+Q199)*1.2,2)</f>
        <v>291.58999999999997</v>
      </c>
      <c r="AC199" s="276">
        <f>ROUND((AA199/AB199)*100%-100%,4)</f>
        <v>0.1507</v>
      </c>
      <c r="AD199" s="277">
        <f t="shared" si="113"/>
        <v>43.942612999999994</v>
      </c>
      <c r="AF199" s="235">
        <v>268.84000000000003</v>
      </c>
      <c r="AG199" s="106">
        <v>322</v>
      </c>
      <c r="AH199" s="281">
        <f t="shared" si="114"/>
        <v>14</v>
      </c>
      <c r="AI199" s="282">
        <v>4.9599999999999998E-2</v>
      </c>
      <c r="AJ199" s="283">
        <f t="shared" si="115"/>
        <v>43.942612999999994</v>
      </c>
      <c r="AK199" s="284"/>
      <c r="AM199" s="222">
        <v>-0.1226</v>
      </c>
      <c r="AN199" s="285">
        <f t="shared" si="116"/>
        <v>1.1226</v>
      </c>
      <c r="AO199" s="285">
        <v>1.161</v>
      </c>
      <c r="AQ199" s="286">
        <f t="shared" si="127"/>
        <v>373.84</v>
      </c>
      <c r="AS199" s="222">
        <v>1.034</v>
      </c>
      <c r="AT199" s="337">
        <v>-0.1226</v>
      </c>
      <c r="AU199" s="285">
        <f t="shared" si="117"/>
        <v>8.0000000000000071E-3</v>
      </c>
      <c r="AW199" s="288">
        <f t="shared" si="118"/>
        <v>0.27329999999999999</v>
      </c>
      <c r="AX199" s="106">
        <v>322</v>
      </c>
      <c r="AY199" s="127" t="b">
        <f t="shared" si="119"/>
        <v>1</v>
      </c>
      <c r="AZ199" s="289">
        <f t="shared" si="120"/>
        <v>-3.1280000000000001</v>
      </c>
      <c r="BC199">
        <f t="shared" si="121"/>
        <v>1.0429999999999999</v>
      </c>
    </row>
    <row r="200" spans="1:55" ht="25.5" outlineLevel="1" x14ac:dyDescent="0.3">
      <c r="A200" s="264"/>
      <c r="B200" s="264"/>
      <c r="C200" s="265"/>
      <c r="D200" s="168"/>
      <c r="E200" s="239"/>
      <c r="F200" s="168"/>
      <c r="G200" s="266"/>
      <c r="H200" s="168"/>
      <c r="I200" s="168"/>
      <c r="J200" s="295" t="s">
        <v>366</v>
      </c>
      <c r="K200" s="121" t="s">
        <v>335</v>
      </c>
      <c r="L200" s="266" t="str">
        <f>VLOOKUP(K200,[6]материалы!$A$5:$G$31,5, FALSE)</f>
        <v>кг</v>
      </c>
      <c r="M200" s="168">
        <f>VLOOKUP(K200,[6]материалы!$A$5:$G$34,7, FALSE)</f>
        <v>720.83</v>
      </c>
      <c r="N200" s="168">
        <v>5.0000000000000001E-3</v>
      </c>
      <c r="O200" s="168">
        <f>ROUND(M200*N200,2)</f>
        <v>3.6</v>
      </c>
      <c r="P200" s="168"/>
      <c r="Q200" s="168"/>
      <c r="R200" s="268"/>
      <c r="S200" s="268"/>
      <c r="T200" s="268"/>
      <c r="U200" s="269"/>
      <c r="V200" s="336"/>
      <c r="W200" s="271"/>
      <c r="X200" s="272"/>
      <c r="Z200" s="273"/>
      <c r="AA200" s="58"/>
      <c r="AB200" s="275"/>
      <c r="AC200" s="276"/>
      <c r="AD200" s="277"/>
      <c r="AG200" s="106"/>
      <c r="AH200" s="281"/>
      <c r="AI200" s="282"/>
      <c r="AJ200" s="283"/>
      <c r="AK200" s="284"/>
      <c r="AM200" s="222"/>
      <c r="AN200" s="285"/>
      <c r="AO200" s="285"/>
      <c r="AQ200" s="286"/>
      <c r="AS200" s="222"/>
      <c r="AT200" s="337"/>
      <c r="AU200" s="285"/>
      <c r="AW200" s="288"/>
      <c r="AX200" s="106"/>
      <c r="AZ200" s="289"/>
    </row>
    <row r="201" spans="1:55" outlineLevel="1" x14ac:dyDescent="0.3">
      <c r="A201" s="264"/>
      <c r="B201" s="264"/>
      <c r="C201" s="265"/>
      <c r="D201" s="168"/>
      <c r="E201" s="239"/>
      <c r="F201" s="168"/>
      <c r="G201" s="266"/>
      <c r="H201" s="168"/>
      <c r="I201" s="168"/>
      <c r="J201" s="168"/>
      <c r="K201" s="296" t="s">
        <v>329</v>
      </c>
      <c r="L201" s="266" t="str">
        <f>VLOOKUP(K201,[6]материалы!$A$5:$G$31,5, FALSE)</f>
        <v>кг</v>
      </c>
      <c r="M201" s="168">
        <f>VLOOKUP(K201,[6]материалы!$A$5:$G$34,7, FALSE)</f>
        <v>79.17</v>
      </c>
      <c r="N201" s="168">
        <v>1E-3</v>
      </c>
      <c r="O201" s="168">
        <f t="shared" ref="O201:O203" si="142">ROUND(M201*N201,2)</f>
        <v>0.08</v>
      </c>
      <c r="P201" s="168"/>
      <c r="Q201" s="168"/>
      <c r="R201" s="268"/>
      <c r="S201" s="268"/>
      <c r="T201" s="268"/>
      <c r="U201" s="269"/>
      <c r="V201" s="336"/>
      <c r="W201" s="271"/>
      <c r="X201" s="272"/>
      <c r="Z201" s="273"/>
      <c r="AA201" s="58"/>
      <c r="AB201" s="275"/>
      <c r="AC201" s="276"/>
      <c r="AD201" s="277"/>
      <c r="AG201" s="106"/>
      <c r="AH201" s="281"/>
      <c r="AI201" s="282"/>
      <c r="AJ201" s="283"/>
      <c r="AK201" s="284"/>
      <c r="AM201" s="222"/>
      <c r="AN201" s="285"/>
      <c r="AO201" s="285"/>
      <c r="AQ201" s="286"/>
      <c r="AS201" s="222"/>
      <c r="AT201" s="337"/>
      <c r="AU201" s="285"/>
      <c r="AW201" s="288"/>
      <c r="AX201" s="106"/>
      <c r="AZ201" s="289"/>
    </row>
    <row r="202" spans="1:55" outlineLevel="1" x14ac:dyDescent="0.3">
      <c r="A202" s="264"/>
      <c r="B202" s="264"/>
      <c r="C202" s="265"/>
      <c r="D202" s="168"/>
      <c r="E202" s="239"/>
      <c r="F202" s="168"/>
      <c r="G202" s="266"/>
      <c r="H202" s="168"/>
      <c r="I202" s="168"/>
      <c r="J202" s="168"/>
      <c r="K202" s="296" t="s">
        <v>330</v>
      </c>
      <c r="L202" s="266" t="str">
        <f>VLOOKUP(K202,[6]материалы!$A$5:$G$31,5, FALSE)</f>
        <v>кг</v>
      </c>
      <c r="M202" s="168">
        <f>VLOOKUP(K202,[6]материалы!$A$5:$G$34,7, FALSE)</f>
        <v>66.67</v>
      </c>
      <c r="N202" s="168">
        <v>0.01</v>
      </c>
      <c r="O202" s="168">
        <f t="shared" si="142"/>
        <v>0.67</v>
      </c>
      <c r="P202" s="168"/>
      <c r="Q202" s="168"/>
      <c r="R202" s="268"/>
      <c r="S202" s="268"/>
      <c r="T202" s="268"/>
      <c r="U202" s="269"/>
      <c r="V202" s="336"/>
      <c r="W202" s="271"/>
      <c r="X202" s="272"/>
      <c r="Z202" s="273"/>
      <c r="AA202" s="58"/>
      <c r="AB202" s="275"/>
      <c r="AC202" s="276"/>
      <c r="AD202" s="277"/>
      <c r="AG202" s="106"/>
      <c r="AH202" s="281"/>
      <c r="AI202" s="282"/>
      <c r="AJ202" s="283"/>
      <c r="AK202" s="284"/>
      <c r="AM202" s="222"/>
      <c r="AN202" s="285"/>
      <c r="AO202" s="285"/>
      <c r="AQ202" s="286"/>
      <c r="AS202" s="222"/>
      <c r="AT202" s="337"/>
      <c r="AU202" s="285"/>
      <c r="AW202" s="288"/>
      <c r="AX202" s="106"/>
      <c r="AZ202" s="289"/>
    </row>
    <row r="203" spans="1:55" ht="25.5" outlineLevel="1" x14ac:dyDescent="0.3">
      <c r="A203" s="264"/>
      <c r="B203" s="264"/>
      <c r="C203" s="265"/>
      <c r="D203" s="168"/>
      <c r="E203" s="239"/>
      <c r="F203" s="168"/>
      <c r="G203" s="266"/>
      <c r="H203" s="168"/>
      <c r="I203" s="168"/>
      <c r="J203" s="168"/>
      <c r="K203" s="296" t="s">
        <v>332</v>
      </c>
      <c r="L203" s="266" t="str">
        <f>VLOOKUP(K203,[6]материалы!$A$5:$G$31,5, FALSE)</f>
        <v>шт.</v>
      </c>
      <c r="M203" s="168">
        <f>VLOOKUP(K203,[6]материалы!$A$5:$G$34,7, FALSE)</f>
        <v>0.57999999999999996</v>
      </c>
      <c r="N203" s="168">
        <v>1</v>
      </c>
      <c r="O203" s="168">
        <f t="shared" si="142"/>
        <v>0.57999999999999996</v>
      </c>
      <c r="P203" s="168"/>
      <c r="Q203" s="168"/>
      <c r="R203" s="268"/>
      <c r="S203" s="268"/>
      <c r="T203" s="268"/>
      <c r="U203" s="269"/>
      <c r="V203" s="336"/>
      <c r="W203" s="271"/>
      <c r="X203" s="272"/>
      <c r="Z203" s="273"/>
      <c r="AA203" s="58"/>
      <c r="AB203" s="275"/>
      <c r="AC203" s="276"/>
      <c r="AD203" s="277"/>
      <c r="AG203" s="106"/>
      <c r="AH203" s="281"/>
      <c r="AI203" s="282"/>
      <c r="AJ203" s="283"/>
      <c r="AK203" s="284"/>
      <c r="AM203" s="222"/>
      <c r="AN203" s="285"/>
      <c r="AO203" s="285"/>
      <c r="AQ203" s="286"/>
      <c r="AS203" s="222"/>
      <c r="AT203" s="337"/>
      <c r="AU203" s="285"/>
      <c r="AW203" s="288"/>
      <c r="AX203" s="106"/>
      <c r="AZ203" s="289"/>
    </row>
    <row r="204" spans="1:55" ht="25.5" x14ac:dyDescent="0.3">
      <c r="A204" s="264" t="s">
        <v>684</v>
      </c>
      <c r="B204" s="264" t="s">
        <v>217</v>
      </c>
      <c r="C204" s="265" t="s">
        <v>685</v>
      </c>
      <c r="D204" s="168" t="s">
        <v>204</v>
      </c>
      <c r="E204" s="239" t="s">
        <v>161</v>
      </c>
      <c r="F204" s="168">
        <f>VLOOKUP(E204,'[6]условия, ФОТ'!$A$14:$I$32,9, FALSE)</f>
        <v>180.5</v>
      </c>
      <c r="G204" s="266">
        <v>0.6</v>
      </c>
      <c r="H204" s="168">
        <f t="shared" ref="H204" si="143">ROUND(F204*G204,2)</f>
        <v>108.3</v>
      </c>
      <c r="I204" s="168">
        <f t="shared" ref="I204" si="144">ROUND(H204*$I$5,2)</f>
        <v>32.71</v>
      </c>
      <c r="J204" s="168">
        <f t="shared" ref="J204" si="145">H204+I204</f>
        <v>141.01</v>
      </c>
      <c r="K204" s="267"/>
      <c r="L204" s="168"/>
      <c r="M204" s="168"/>
      <c r="N204" s="168"/>
      <c r="O204" s="168">
        <f>SUM(O205:O210)</f>
        <v>51.589999999999996</v>
      </c>
      <c r="P204" s="168">
        <f t="shared" ref="P204" si="146">J204+O204</f>
        <v>192.6</v>
      </c>
      <c r="Q204" s="168">
        <f t="shared" ref="Q204" si="147">ROUND(P204*$Q$5,2)</f>
        <v>128.08000000000001</v>
      </c>
      <c r="R204" s="268">
        <f t="shared" ref="R204" si="148">ROUND(T204/1.2,2)</f>
        <v>338.33</v>
      </c>
      <c r="S204" s="268">
        <f t="shared" ref="S204" si="149">ROUND(R204*$S$5,2)</f>
        <v>67.67</v>
      </c>
      <c r="T204" s="268">
        <f>ROUND((P204+Q204)*(1+AC204)*1.2,0)</f>
        <v>406</v>
      </c>
      <c r="U204" s="269">
        <v>336</v>
      </c>
      <c r="V204" s="336">
        <f t="shared" si="70"/>
        <v>20.833333333333329</v>
      </c>
      <c r="W204" s="271">
        <v>390</v>
      </c>
      <c r="X204" s="272">
        <f t="shared" ref="X204:X267" si="150">T204/W204*100-100</f>
        <v>4.1025641025641164</v>
      </c>
      <c r="Y204" s="231">
        <v>347</v>
      </c>
      <c r="Z204" s="273">
        <v>1.042</v>
      </c>
      <c r="AA204" s="274">
        <f>ROUND(W204*Z204,2)</f>
        <v>406.38</v>
      </c>
      <c r="AB204" s="275">
        <f>ROUND((P204+Q204)*1.2,2)</f>
        <v>384.82</v>
      </c>
      <c r="AC204" s="276">
        <f>ROUND((AA204/AB204)*100%-100%,4)</f>
        <v>5.6000000000000001E-2</v>
      </c>
      <c r="AD204" s="277">
        <f t="shared" ref="AD204:AD267" si="151">AB204*AC204</f>
        <v>21.54992</v>
      </c>
      <c r="AF204" s="235">
        <v>358.798</v>
      </c>
      <c r="AG204" s="106">
        <v>390</v>
      </c>
      <c r="AH204" s="281">
        <f t="shared" ref="AH204:AH267" si="152">T204-AG204</f>
        <v>16</v>
      </c>
      <c r="AI204" s="282">
        <v>4.9200000000000001E-2</v>
      </c>
      <c r="AJ204" s="283">
        <f t="shared" ref="AJ204:AJ267" si="153">AB204*AC204</f>
        <v>21.54992</v>
      </c>
      <c r="AK204" s="284"/>
      <c r="AM204" s="222">
        <v>-3.5700000000000003E-2</v>
      </c>
      <c r="AN204" s="285">
        <f t="shared" ref="AN204:AN267" si="154">IF(AM204&lt;0,-AM204+1,AM204)</f>
        <v>1.0357000000000001</v>
      </c>
      <c r="AO204" s="285">
        <v>1.071</v>
      </c>
      <c r="AQ204" s="286">
        <f t="shared" si="127"/>
        <v>417.69</v>
      </c>
      <c r="AS204" s="222">
        <v>1.034</v>
      </c>
      <c r="AT204" s="337">
        <v>-3.5700000000000003E-2</v>
      </c>
      <c r="AU204" s="285">
        <f t="shared" ref="AU204:AU267" si="155">Z204-AS204</f>
        <v>8.0000000000000071E-3</v>
      </c>
      <c r="AW204" s="288">
        <f t="shared" ref="AW204:AW267" si="156">AC204-AT204</f>
        <v>9.1700000000000004E-2</v>
      </c>
      <c r="AX204" s="106">
        <v>390</v>
      </c>
      <c r="AY204" s="127" t="b">
        <f t="shared" ref="AY204:AY267" si="157">W204=AX204</f>
        <v>1</v>
      </c>
      <c r="AZ204" s="289">
        <f t="shared" ref="AZ204:AZ267" si="158">ROUND(W204/T204*100-100,2)+Z204</f>
        <v>-2.8979999999999997</v>
      </c>
      <c r="BC204">
        <f t="shared" ref="BC204:BC267" si="159">ROUND(T204/W204,3)</f>
        <v>1.0409999999999999</v>
      </c>
    </row>
    <row r="205" spans="1:55" x14ac:dyDescent="0.3">
      <c r="A205" s="264"/>
      <c r="B205" s="264"/>
      <c r="C205" s="265"/>
      <c r="D205" s="168"/>
      <c r="E205" s="239"/>
      <c r="F205" s="168"/>
      <c r="G205" s="266"/>
      <c r="H205" s="168"/>
      <c r="I205" s="168"/>
      <c r="J205" s="295" t="s">
        <v>366</v>
      </c>
      <c r="K205" s="267" t="s">
        <v>204</v>
      </c>
      <c r="L205" s="168" t="s">
        <v>28</v>
      </c>
      <c r="M205" s="168">
        <f>VLOOKUP(K205,[6]материалы!$A$5:$G$34,7, FALSE)</f>
        <v>25</v>
      </c>
      <c r="N205" s="168">
        <v>1</v>
      </c>
      <c r="O205" s="168">
        <f>ROUND(M205*N205,2)</f>
        <v>25</v>
      </c>
      <c r="P205" s="168"/>
      <c r="Q205" s="168"/>
      <c r="R205" s="268"/>
      <c r="S205" s="268"/>
      <c r="T205" s="268"/>
      <c r="U205" s="269"/>
      <c r="V205" s="336"/>
      <c r="W205" s="271"/>
      <c r="X205" s="272"/>
      <c r="Z205" s="273"/>
      <c r="AA205" s="58"/>
      <c r="AB205" s="275"/>
      <c r="AC205" s="276"/>
      <c r="AD205" s="277"/>
      <c r="AG205" s="106"/>
      <c r="AH205" s="281"/>
      <c r="AI205" s="282"/>
      <c r="AJ205" s="283"/>
      <c r="AK205" s="284"/>
      <c r="AM205" s="222"/>
      <c r="AN205" s="285"/>
      <c r="AO205" s="285"/>
      <c r="AQ205" s="286"/>
      <c r="AS205" s="222"/>
      <c r="AT205" s="337"/>
      <c r="AU205" s="285"/>
      <c r="AW205" s="288"/>
      <c r="AX205" s="106"/>
      <c r="AZ205" s="289"/>
    </row>
    <row r="206" spans="1:55" x14ac:dyDescent="0.3">
      <c r="A206" s="264"/>
      <c r="B206" s="264"/>
      <c r="C206" s="265"/>
      <c r="D206" s="168"/>
      <c r="E206" s="239"/>
      <c r="F206" s="168"/>
      <c r="G206" s="266"/>
      <c r="H206" s="168"/>
      <c r="I206" s="168"/>
      <c r="J206" s="168"/>
      <c r="K206" s="267" t="s">
        <v>686</v>
      </c>
      <c r="L206" s="168" t="s">
        <v>25</v>
      </c>
      <c r="M206" s="168">
        <f>[6]материалы!G27</f>
        <v>10.83</v>
      </c>
      <c r="N206" s="168">
        <v>2</v>
      </c>
      <c r="O206" s="168">
        <f>ROUND(M206*N206,2)</f>
        <v>21.66</v>
      </c>
      <c r="P206" s="168"/>
      <c r="Q206" s="168"/>
      <c r="R206" s="268"/>
      <c r="S206" s="268"/>
      <c r="T206" s="268"/>
      <c r="U206" s="269"/>
      <c r="V206" s="336"/>
      <c r="W206" s="271"/>
      <c r="X206" s="272"/>
      <c r="Z206" s="273"/>
      <c r="AA206" s="58"/>
      <c r="AB206" s="275"/>
      <c r="AC206" s="276"/>
      <c r="AD206" s="277"/>
      <c r="AG206" s="106"/>
      <c r="AH206" s="281"/>
      <c r="AI206" s="282"/>
      <c r="AJ206" s="283"/>
      <c r="AK206" s="284"/>
      <c r="AM206" s="222"/>
      <c r="AN206" s="285"/>
      <c r="AO206" s="285"/>
      <c r="AQ206" s="286"/>
      <c r="AS206" s="222"/>
      <c r="AT206" s="337"/>
      <c r="AU206" s="285"/>
      <c r="AW206" s="288"/>
      <c r="AX206" s="106"/>
      <c r="AZ206" s="289"/>
    </row>
    <row r="207" spans="1:55" ht="25.5" x14ac:dyDescent="0.3">
      <c r="A207" s="264"/>
      <c r="B207" s="264"/>
      <c r="C207" s="265"/>
      <c r="D207" s="168"/>
      <c r="E207" s="239"/>
      <c r="F207" s="168"/>
      <c r="G207" s="266"/>
      <c r="H207" s="168"/>
      <c r="I207" s="168"/>
      <c r="J207" s="295" t="s">
        <v>366</v>
      </c>
      <c r="K207" s="121" t="s">
        <v>335</v>
      </c>
      <c r="L207" s="266" t="str">
        <f>VLOOKUP(K207,[3]материалы!$A$5:$G$31,5, FALSE)</f>
        <v>кг</v>
      </c>
      <c r="M207" s="168">
        <f>VLOOKUP(K207,[6]материалы!$A$5:$G$34,7, FALSE)</f>
        <v>720.83</v>
      </c>
      <c r="N207" s="168">
        <v>5.0000000000000001E-3</v>
      </c>
      <c r="O207" s="168">
        <f>ROUND(M207*N207,2)</f>
        <v>3.6</v>
      </c>
      <c r="P207" s="168"/>
      <c r="Q207" s="168"/>
      <c r="R207" s="268"/>
      <c r="S207" s="268"/>
      <c r="T207" s="268"/>
      <c r="U207" s="269"/>
      <c r="V207" s="336"/>
      <c r="W207" s="271"/>
      <c r="X207" s="272"/>
      <c r="Z207" s="273"/>
      <c r="AA207" s="58"/>
      <c r="AB207" s="275"/>
      <c r="AC207" s="276"/>
      <c r="AD207" s="277"/>
      <c r="AG207" s="106"/>
      <c r="AH207" s="281"/>
      <c r="AI207" s="282"/>
      <c r="AJ207" s="283"/>
      <c r="AK207" s="284"/>
      <c r="AM207" s="222"/>
      <c r="AN207" s="285"/>
      <c r="AO207" s="285"/>
      <c r="AQ207" s="286"/>
      <c r="AS207" s="222"/>
      <c r="AT207" s="337"/>
      <c r="AU207" s="285"/>
      <c r="AW207" s="288"/>
      <c r="AX207" s="106"/>
      <c r="AZ207" s="289"/>
    </row>
    <row r="208" spans="1:55" x14ac:dyDescent="0.3">
      <c r="A208" s="264"/>
      <c r="B208" s="264"/>
      <c r="C208" s="265"/>
      <c r="D208" s="168"/>
      <c r="E208" s="239"/>
      <c r="F208" s="168"/>
      <c r="G208" s="266"/>
      <c r="H208" s="168"/>
      <c r="I208" s="168"/>
      <c r="J208" s="168"/>
      <c r="K208" s="296" t="s">
        <v>329</v>
      </c>
      <c r="L208" s="266" t="str">
        <f>VLOOKUP(K208,[3]материалы!$A$5:$G$31,5, FALSE)</f>
        <v>кг</v>
      </c>
      <c r="M208" s="168">
        <f>VLOOKUP(K208,[6]материалы!$A$5:$G$34,7, FALSE)</f>
        <v>79.17</v>
      </c>
      <c r="N208" s="168">
        <v>1E-3</v>
      </c>
      <c r="O208" s="168">
        <f t="shared" ref="O208:O210" si="160">ROUND(M208*N208,2)</f>
        <v>0.08</v>
      </c>
      <c r="P208" s="168"/>
      <c r="Q208" s="168"/>
      <c r="R208" s="268"/>
      <c r="S208" s="268"/>
      <c r="T208" s="268"/>
      <c r="U208" s="269"/>
      <c r="V208" s="336"/>
      <c r="W208" s="271"/>
      <c r="X208" s="272"/>
      <c r="Z208" s="273"/>
      <c r="AA208" s="58"/>
      <c r="AB208" s="275"/>
      <c r="AC208" s="276"/>
      <c r="AD208" s="277"/>
      <c r="AG208" s="106"/>
      <c r="AH208" s="281"/>
      <c r="AI208" s="282"/>
      <c r="AJ208" s="283"/>
      <c r="AK208" s="284"/>
      <c r="AM208" s="222"/>
      <c r="AN208" s="285"/>
      <c r="AO208" s="285"/>
      <c r="AQ208" s="286"/>
      <c r="AS208" s="222"/>
      <c r="AT208" s="337"/>
      <c r="AU208" s="285"/>
      <c r="AW208" s="288"/>
      <c r="AX208" s="106"/>
      <c r="AZ208" s="289"/>
    </row>
    <row r="209" spans="1:55" x14ac:dyDescent="0.3">
      <c r="A209" s="264"/>
      <c r="B209" s="264"/>
      <c r="C209" s="265"/>
      <c r="D209" s="168"/>
      <c r="E209" s="239"/>
      <c r="F209" s="168"/>
      <c r="G209" s="266"/>
      <c r="H209" s="168"/>
      <c r="I209" s="168"/>
      <c r="J209" s="168"/>
      <c r="K209" s="296" t="s">
        <v>330</v>
      </c>
      <c r="L209" s="266" t="str">
        <f>VLOOKUP(K209,[3]материалы!$A$5:$G$31,5, FALSE)</f>
        <v>кг</v>
      </c>
      <c r="M209" s="168">
        <f>VLOOKUP(K209,[6]материалы!$A$5:$G$34,7, FALSE)</f>
        <v>66.67</v>
      </c>
      <c r="N209" s="168">
        <v>0.01</v>
      </c>
      <c r="O209" s="168">
        <f t="shared" si="160"/>
        <v>0.67</v>
      </c>
      <c r="P209" s="168"/>
      <c r="Q209" s="168"/>
      <c r="R209" s="268"/>
      <c r="S209" s="268"/>
      <c r="T209" s="268"/>
      <c r="U209" s="269"/>
      <c r="V209" s="336"/>
      <c r="W209" s="271"/>
      <c r="X209" s="272"/>
      <c r="Z209" s="273"/>
      <c r="AA209" s="58"/>
      <c r="AB209" s="275"/>
      <c r="AC209" s="276"/>
      <c r="AD209" s="277"/>
      <c r="AG209" s="106"/>
      <c r="AH209" s="281"/>
      <c r="AI209" s="282"/>
      <c r="AJ209" s="283"/>
      <c r="AK209" s="284"/>
      <c r="AM209" s="222"/>
      <c r="AN209" s="285"/>
      <c r="AO209" s="285"/>
      <c r="AQ209" s="286"/>
      <c r="AS209" s="222"/>
      <c r="AT209" s="337"/>
      <c r="AU209" s="285"/>
      <c r="AW209" s="288"/>
      <c r="AX209" s="106"/>
      <c r="AZ209" s="289"/>
    </row>
    <row r="210" spans="1:55" ht="25.5" x14ac:dyDescent="0.3">
      <c r="A210" s="264"/>
      <c r="B210" s="264"/>
      <c r="C210" s="265"/>
      <c r="D210" s="168"/>
      <c r="E210" s="239"/>
      <c r="F210" s="168"/>
      <c r="G210" s="266"/>
      <c r="H210" s="168"/>
      <c r="I210" s="168"/>
      <c r="J210" s="168"/>
      <c r="K210" s="296" t="s">
        <v>332</v>
      </c>
      <c r="L210" s="266" t="str">
        <f>VLOOKUP(K210,[3]материалы!$A$5:$G$31,5, FALSE)</f>
        <v>шт.</v>
      </c>
      <c r="M210" s="168">
        <f>VLOOKUP(K210,[6]материалы!$A$5:$G$34,7, FALSE)</f>
        <v>0.57999999999999996</v>
      </c>
      <c r="N210" s="168">
        <v>1</v>
      </c>
      <c r="O210" s="168">
        <f t="shared" si="160"/>
        <v>0.57999999999999996</v>
      </c>
      <c r="P210" s="168"/>
      <c r="Q210" s="168"/>
      <c r="R210" s="268"/>
      <c r="S210" s="268"/>
      <c r="T210" s="268"/>
      <c r="U210" s="269"/>
      <c r="V210" s="336"/>
      <c r="W210" s="271"/>
      <c r="X210" s="272"/>
      <c r="Z210" s="273"/>
      <c r="AA210" s="58"/>
      <c r="AB210" s="275"/>
      <c r="AC210" s="276"/>
      <c r="AD210" s="277"/>
      <c r="AG210" s="106"/>
      <c r="AH210" s="281"/>
      <c r="AI210" s="282"/>
      <c r="AJ210" s="283"/>
      <c r="AK210" s="284"/>
      <c r="AM210" s="222"/>
      <c r="AN210" s="285"/>
      <c r="AO210" s="285"/>
      <c r="AQ210" s="286"/>
      <c r="AS210" s="222"/>
      <c r="AT210" s="337"/>
      <c r="AU210" s="285"/>
      <c r="AW210" s="288"/>
      <c r="AX210" s="106"/>
      <c r="AZ210" s="289"/>
    </row>
    <row r="211" spans="1:55" ht="22.7" customHeight="1" x14ac:dyDescent="0.3">
      <c r="A211" s="727" t="s">
        <v>226</v>
      </c>
      <c r="B211" s="728"/>
      <c r="C211" s="728"/>
      <c r="D211" s="728"/>
      <c r="E211" s="728"/>
      <c r="F211" s="728"/>
      <c r="G211" s="728"/>
      <c r="H211" s="728"/>
      <c r="I211" s="728"/>
      <c r="J211" s="728"/>
      <c r="K211" s="728"/>
      <c r="L211" s="728"/>
      <c r="M211" s="728"/>
      <c r="N211" s="728"/>
      <c r="O211" s="728"/>
      <c r="P211" s="728"/>
      <c r="Q211" s="728"/>
      <c r="R211" s="382"/>
      <c r="S211" s="382"/>
      <c r="T211" s="382"/>
      <c r="U211" s="383"/>
      <c r="V211" s="336"/>
      <c r="W211" s="271"/>
      <c r="X211" s="272"/>
      <c r="Z211" s="273"/>
      <c r="AA211" s="58"/>
      <c r="AB211" s="275"/>
      <c r="AC211" s="276"/>
      <c r="AD211" s="277"/>
      <c r="AG211" s="106"/>
      <c r="AH211" s="281"/>
      <c r="AI211" s="282"/>
      <c r="AJ211" s="283"/>
      <c r="AK211" s="284"/>
      <c r="AM211" s="222"/>
      <c r="AN211" s="285"/>
      <c r="AO211" s="285"/>
      <c r="AQ211" s="286"/>
      <c r="AS211" s="222"/>
      <c r="AT211" s="337"/>
      <c r="AU211" s="285"/>
      <c r="AW211" s="288"/>
      <c r="AX211" s="106"/>
      <c r="AZ211" s="289"/>
    </row>
    <row r="212" spans="1:55" ht="45" customHeight="1" x14ac:dyDescent="0.3">
      <c r="A212" s="264" t="s">
        <v>464</v>
      </c>
      <c r="B212" s="264" t="s">
        <v>218</v>
      </c>
      <c r="C212" s="265" t="s">
        <v>372</v>
      </c>
      <c r="D212" s="239" t="s">
        <v>230</v>
      </c>
      <c r="E212" s="239" t="s">
        <v>162</v>
      </c>
      <c r="F212" s="168">
        <f>VLOOKUP(E212,'[6]условия, ФОТ'!$A$14:$I$32,9, FALSE)</f>
        <v>180.5</v>
      </c>
      <c r="G212" s="266">
        <v>3</v>
      </c>
      <c r="H212" s="168">
        <f t="shared" si="126"/>
        <v>541.5</v>
      </c>
      <c r="I212" s="168">
        <f t="shared" si="123"/>
        <v>163.53</v>
      </c>
      <c r="J212" s="168">
        <f t="shared" si="124"/>
        <v>705.03</v>
      </c>
      <c r="K212" s="267"/>
      <c r="L212" s="168"/>
      <c r="M212" s="168"/>
      <c r="N212" s="168"/>
      <c r="O212" s="168">
        <f>SUM(O213:O217)</f>
        <v>27.57</v>
      </c>
      <c r="P212" s="168">
        <f>J212+O212</f>
        <v>732.6</v>
      </c>
      <c r="Q212" s="168">
        <f t="shared" si="20"/>
        <v>487.18</v>
      </c>
      <c r="R212" s="268">
        <f>ROUND(T212/1.2,2)</f>
        <v>1316.67</v>
      </c>
      <c r="S212" s="268">
        <f t="shared" si="21"/>
        <v>263.33</v>
      </c>
      <c r="T212" s="268">
        <f>ROUND((P212+Q212)*(1+AC212)*1.2,0)</f>
        <v>1580</v>
      </c>
      <c r="U212" s="269">
        <v>1330</v>
      </c>
      <c r="V212" s="336">
        <f t="shared" si="70"/>
        <v>18.796992481203006</v>
      </c>
      <c r="W212" s="271">
        <v>1516</v>
      </c>
      <c r="X212" s="272">
        <f t="shared" si="150"/>
        <v>4.2216358839050088</v>
      </c>
      <c r="Y212" s="231">
        <v>1372</v>
      </c>
      <c r="Z212" s="273">
        <v>1.042</v>
      </c>
      <c r="AA212" s="274">
        <f>ROUND(W212*Z212,2)</f>
        <v>1579.67</v>
      </c>
      <c r="AB212" s="275">
        <f>ROUND((P212+Q212)*1.2,2)</f>
        <v>1463.74</v>
      </c>
      <c r="AC212" s="276">
        <f>ROUND((AA212/AB212)*100%-100%,4)</f>
        <v>7.9200000000000007E-2</v>
      </c>
      <c r="AD212" s="277">
        <f t="shared" si="151"/>
        <v>115.92820800000001</v>
      </c>
      <c r="AF212" s="235">
        <v>1418.6480000000001</v>
      </c>
      <c r="AG212" s="106">
        <v>1516</v>
      </c>
      <c r="AH212" s="281">
        <f t="shared" si="152"/>
        <v>64</v>
      </c>
      <c r="AI212" s="282">
        <v>4.9599999999999998E-2</v>
      </c>
      <c r="AJ212" s="283">
        <f t="shared" si="153"/>
        <v>115.92820800000001</v>
      </c>
      <c r="AK212" s="284"/>
      <c r="AM212" s="222">
        <v>-1.78E-2</v>
      </c>
      <c r="AN212" s="285">
        <f t="shared" si="154"/>
        <v>1.0178</v>
      </c>
      <c r="AO212" s="285">
        <v>1.052</v>
      </c>
      <c r="AQ212" s="286">
        <f t="shared" si="127"/>
        <v>1594.83</v>
      </c>
      <c r="AS212" s="222">
        <v>1.034</v>
      </c>
      <c r="AT212" s="337">
        <v>-1.78E-2</v>
      </c>
      <c r="AU212" s="285">
        <f t="shared" si="155"/>
        <v>8.0000000000000071E-3</v>
      </c>
      <c r="AW212" s="288">
        <f t="shared" si="156"/>
        <v>9.7000000000000003E-2</v>
      </c>
      <c r="AX212" s="106">
        <v>1516</v>
      </c>
      <c r="AY212" s="127" t="b">
        <f t="shared" si="157"/>
        <v>1</v>
      </c>
      <c r="AZ212" s="289">
        <f t="shared" si="158"/>
        <v>-3.008</v>
      </c>
      <c r="BC212">
        <f t="shared" si="159"/>
        <v>1.042</v>
      </c>
    </row>
    <row r="213" spans="1:55" ht="29.25" customHeight="1" outlineLevel="1" x14ac:dyDescent="0.3">
      <c r="A213" s="264"/>
      <c r="B213" s="264"/>
      <c r="C213" s="265"/>
      <c r="D213" s="239"/>
      <c r="E213" s="239"/>
      <c r="F213" s="168"/>
      <c r="G213" s="266"/>
      <c r="H213" s="168"/>
      <c r="I213" s="168"/>
      <c r="J213" s="295" t="s">
        <v>366</v>
      </c>
      <c r="K213" s="121" t="s">
        <v>333</v>
      </c>
      <c r="L213" s="266" t="str">
        <f>VLOOKUP(K213,[6]материалы!$A$5:$G$31,5, FALSE)</f>
        <v>кг</v>
      </c>
      <c r="M213" s="168">
        <f>VLOOKUP(K213,[6]материалы!$A$5:$G$34,7, FALSE)</f>
        <v>276.88</v>
      </c>
      <c r="N213" s="168">
        <v>0.05</v>
      </c>
      <c r="O213" s="168">
        <f>ROUND(M213*N213,2)</f>
        <v>13.84</v>
      </c>
      <c r="P213" s="168"/>
      <c r="Q213" s="168"/>
      <c r="R213" s="268"/>
      <c r="S213" s="268"/>
      <c r="T213" s="268"/>
      <c r="U213" s="269"/>
      <c r="V213" s="336"/>
      <c r="W213" s="271"/>
      <c r="X213" s="272"/>
      <c r="Z213" s="273"/>
      <c r="AA213" s="58"/>
      <c r="AB213" s="275"/>
      <c r="AC213" s="276"/>
      <c r="AD213" s="277"/>
      <c r="AG213" s="106"/>
      <c r="AH213" s="281"/>
      <c r="AI213" s="282"/>
      <c r="AJ213" s="283"/>
      <c r="AK213" s="284"/>
      <c r="AM213" s="222"/>
      <c r="AN213" s="285"/>
      <c r="AO213" s="285"/>
      <c r="AQ213" s="286"/>
      <c r="AS213" s="222"/>
      <c r="AT213" s="337"/>
      <c r="AU213" s="285"/>
      <c r="AW213" s="288"/>
      <c r="AX213" s="106"/>
      <c r="AZ213" s="289"/>
    </row>
    <row r="214" spans="1:55" ht="24" customHeight="1" outlineLevel="1" x14ac:dyDescent="0.3">
      <c r="A214" s="264"/>
      <c r="B214" s="264"/>
      <c r="C214" s="265"/>
      <c r="D214" s="239"/>
      <c r="E214" s="239"/>
      <c r="F214" s="168"/>
      <c r="G214" s="266"/>
      <c r="H214" s="168"/>
      <c r="I214" s="168"/>
      <c r="J214" s="214"/>
      <c r="K214" s="121" t="s">
        <v>335</v>
      </c>
      <c r="L214" s="266" t="str">
        <f>VLOOKUP(K214,[6]материалы!$A$5:$G$31,5, FALSE)</f>
        <v>кг</v>
      </c>
      <c r="M214" s="168">
        <f>VLOOKUP(K214,[6]материалы!$A$5:$G$34,7, FALSE)</f>
        <v>720.83</v>
      </c>
      <c r="N214" s="168">
        <v>5.0000000000000001E-3</v>
      </c>
      <c r="O214" s="168">
        <f>ROUND(M214*N214,2)</f>
        <v>3.6</v>
      </c>
      <c r="P214" s="168"/>
      <c r="Q214" s="168"/>
      <c r="R214" s="268"/>
      <c r="S214" s="268"/>
      <c r="T214" s="268"/>
      <c r="U214" s="269"/>
      <c r="V214" s="336"/>
      <c r="W214" s="271"/>
      <c r="X214" s="272"/>
      <c r="Z214" s="273"/>
      <c r="AA214" s="58"/>
      <c r="AB214" s="275"/>
      <c r="AC214" s="276"/>
      <c r="AD214" s="277"/>
      <c r="AG214" s="106"/>
      <c r="AH214" s="281"/>
      <c r="AI214" s="282"/>
      <c r="AJ214" s="283"/>
      <c r="AK214" s="284"/>
      <c r="AM214" s="222"/>
      <c r="AN214" s="285"/>
      <c r="AO214" s="285"/>
      <c r="AQ214" s="286"/>
      <c r="AS214" s="222"/>
      <c r="AT214" s="337"/>
      <c r="AU214" s="285"/>
      <c r="AW214" s="288"/>
      <c r="AX214" s="106"/>
      <c r="AZ214" s="289"/>
    </row>
    <row r="215" spans="1:55" ht="24.75" customHeight="1" outlineLevel="1" x14ac:dyDescent="0.3">
      <c r="A215" s="264"/>
      <c r="B215" s="264"/>
      <c r="C215" s="265"/>
      <c r="D215" s="239"/>
      <c r="E215" s="239"/>
      <c r="F215" s="168"/>
      <c r="G215" s="266"/>
      <c r="H215" s="168"/>
      <c r="I215" s="168"/>
      <c r="J215" s="168"/>
      <c r="K215" s="121" t="s">
        <v>342</v>
      </c>
      <c r="L215" s="266" t="str">
        <f>VLOOKUP(K215,[6]материалы!$A$5:$G$31,5, FALSE)</f>
        <v>шт.</v>
      </c>
      <c r="M215" s="168">
        <f>VLOOKUP(K215,[6]материалы!$A$5:$G$34,7, FALSE)</f>
        <v>37.5</v>
      </c>
      <c r="N215" s="168">
        <v>0.25</v>
      </c>
      <c r="O215" s="168">
        <f>ROUND(M215*N215,2)</f>
        <v>9.3800000000000008</v>
      </c>
      <c r="P215" s="168"/>
      <c r="Q215" s="168"/>
      <c r="R215" s="268"/>
      <c r="S215" s="268"/>
      <c r="T215" s="268"/>
      <c r="U215" s="269"/>
      <c r="V215" s="336"/>
      <c r="W215" s="271"/>
      <c r="X215" s="272"/>
      <c r="Z215" s="273"/>
      <c r="AA215" s="58"/>
      <c r="AB215" s="275"/>
      <c r="AC215" s="276"/>
      <c r="AD215" s="277"/>
      <c r="AG215" s="106"/>
      <c r="AH215" s="281"/>
      <c r="AI215" s="282"/>
      <c r="AJ215" s="283"/>
      <c r="AK215" s="284"/>
      <c r="AM215" s="222"/>
      <c r="AN215" s="285"/>
      <c r="AO215" s="285"/>
      <c r="AQ215" s="286"/>
      <c r="AS215" s="222"/>
      <c r="AT215" s="337"/>
      <c r="AU215" s="285"/>
      <c r="AW215" s="288"/>
      <c r="AX215" s="106"/>
      <c r="AZ215" s="289"/>
    </row>
    <row r="216" spans="1:55" outlineLevel="1" x14ac:dyDescent="0.3">
      <c r="A216" s="264"/>
      <c r="B216" s="264"/>
      <c r="C216" s="265"/>
      <c r="D216" s="239"/>
      <c r="E216" s="239"/>
      <c r="F216" s="168"/>
      <c r="G216" s="266"/>
      <c r="H216" s="168"/>
      <c r="I216" s="168"/>
      <c r="J216" s="168"/>
      <c r="K216" s="296" t="s">
        <v>329</v>
      </c>
      <c r="L216" s="266" t="str">
        <f>VLOOKUP(K216,[6]материалы!$A$5:$G$31,5, FALSE)</f>
        <v>кг</v>
      </c>
      <c r="M216" s="168">
        <f>VLOOKUP(K216,[6]материалы!$A$5:$G$34,7, FALSE)</f>
        <v>79.17</v>
      </c>
      <c r="N216" s="168">
        <v>1E-3</v>
      </c>
      <c r="O216" s="168">
        <f t="shared" ref="O216:O217" si="161">ROUND(M216*N216,2)</f>
        <v>0.08</v>
      </c>
      <c r="P216" s="168"/>
      <c r="Q216" s="168"/>
      <c r="R216" s="268"/>
      <c r="S216" s="268"/>
      <c r="T216" s="268"/>
      <c r="U216" s="269"/>
      <c r="V216" s="336"/>
      <c r="W216" s="271"/>
      <c r="X216" s="272"/>
      <c r="Z216" s="273"/>
      <c r="AA216" s="58"/>
      <c r="AB216" s="275"/>
      <c r="AC216" s="276"/>
      <c r="AD216" s="277"/>
      <c r="AG216" s="106"/>
      <c r="AH216" s="281"/>
      <c r="AI216" s="282"/>
      <c r="AJ216" s="283"/>
      <c r="AK216" s="284"/>
      <c r="AM216" s="222"/>
      <c r="AN216" s="285"/>
      <c r="AO216" s="285"/>
      <c r="AQ216" s="286"/>
      <c r="AS216" s="222"/>
      <c r="AT216" s="337"/>
      <c r="AU216" s="285"/>
      <c r="AW216" s="288"/>
      <c r="AX216" s="106"/>
      <c r="AZ216" s="289"/>
    </row>
    <row r="217" spans="1:55" outlineLevel="1" x14ac:dyDescent="0.3">
      <c r="A217" s="264"/>
      <c r="B217" s="264"/>
      <c r="C217" s="265"/>
      <c r="D217" s="239"/>
      <c r="E217" s="239"/>
      <c r="F217" s="168"/>
      <c r="G217" s="266"/>
      <c r="H217" s="168"/>
      <c r="I217" s="168"/>
      <c r="J217" s="168"/>
      <c r="K217" s="296" t="s">
        <v>330</v>
      </c>
      <c r="L217" s="266" t="str">
        <f>VLOOKUP(K217,[6]материалы!$A$5:$G$31,5, FALSE)</f>
        <v>кг</v>
      </c>
      <c r="M217" s="168">
        <f>VLOOKUP(K217,[6]материалы!$A$5:$G$34,7, FALSE)</f>
        <v>66.67</v>
      </c>
      <c r="N217" s="168">
        <v>0.01</v>
      </c>
      <c r="O217" s="168">
        <f t="shared" si="161"/>
        <v>0.67</v>
      </c>
      <c r="P217" s="168"/>
      <c r="Q217" s="168"/>
      <c r="R217" s="268"/>
      <c r="S217" s="268"/>
      <c r="T217" s="268"/>
      <c r="U217" s="269"/>
      <c r="V217" s="336"/>
      <c r="W217" s="271"/>
      <c r="X217" s="272"/>
      <c r="Z217" s="273"/>
      <c r="AA217" s="58"/>
      <c r="AB217" s="275"/>
      <c r="AC217" s="276"/>
      <c r="AD217" s="277"/>
      <c r="AG217" s="106"/>
      <c r="AH217" s="281"/>
      <c r="AI217" s="282"/>
      <c r="AJ217" s="283"/>
      <c r="AK217" s="284"/>
      <c r="AM217" s="222"/>
      <c r="AN217" s="285"/>
      <c r="AO217" s="285"/>
      <c r="AQ217" s="286"/>
      <c r="AS217" s="222"/>
      <c r="AT217" s="337"/>
      <c r="AU217" s="285"/>
      <c r="AW217" s="288"/>
      <c r="AX217" s="106"/>
      <c r="AZ217" s="289"/>
    </row>
    <row r="218" spans="1:55" ht="42" customHeight="1" x14ac:dyDescent="0.3">
      <c r="A218" s="264" t="s">
        <v>465</v>
      </c>
      <c r="B218" s="264" t="s">
        <v>218</v>
      </c>
      <c r="C218" s="265" t="s">
        <v>227</v>
      </c>
      <c r="D218" s="239" t="s">
        <v>230</v>
      </c>
      <c r="E218" s="239" t="s">
        <v>162</v>
      </c>
      <c r="F218" s="168">
        <f>VLOOKUP(E218,'[6]условия, ФОТ'!$A$14:$I$32,9, FALSE)</f>
        <v>180.5</v>
      </c>
      <c r="G218" s="266">
        <v>2.5</v>
      </c>
      <c r="H218" s="168">
        <f t="shared" si="126"/>
        <v>451.25</v>
      </c>
      <c r="I218" s="168">
        <f t="shared" si="123"/>
        <v>136.28</v>
      </c>
      <c r="J218" s="168">
        <f t="shared" si="124"/>
        <v>587.53</v>
      </c>
      <c r="K218" s="267"/>
      <c r="L218" s="168"/>
      <c r="M218" s="168"/>
      <c r="N218" s="168"/>
      <c r="O218" s="168">
        <f>SUM(O219:O223)</f>
        <v>27.57</v>
      </c>
      <c r="P218" s="168">
        <f t="shared" si="129"/>
        <v>615.1</v>
      </c>
      <c r="Q218" s="168">
        <f t="shared" si="20"/>
        <v>409.04</v>
      </c>
      <c r="R218" s="268">
        <f>ROUND(T218/1.2,2)</f>
        <v>1106.67</v>
      </c>
      <c r="S218" s="268">
        <f t="shared" si="21"/>
        <v>221.33</v>
      </c>
      <c r="T218" s="268">
        <f>ROUND((P218+Q218)*(1+AC218)*1.2,0)</f>
        <v>1328</v>
      </c>
      <c r="U218" s="269">
        <v>1119</v>
      </c>
      <c r="V218" s="336">
        <f t="shared" si="70"/>
        <v>18.677390527256478</v>
      </c>
      <c r="W218" s="271">
        <v>1274</v>
      </c>
      <c r="X218" s="272">
        <f t="shared" si="150"/>
        <v>4.2386185243328072</v>
      </c>
      <c r="Y218" s="231">
        <v>1155</v>
      </c>
      <c r="Z218" s="273">
        <v>1.042</v>
      </c>
      <c r="AA218" s="274">
        <f>ROUND(W218*Z218,2)</f>
        <v>1327.51</v>
      </c>
      <c r="AB218" s="275">
        <f>ROUND((P218+Q218)*1.2,2)</f>
        <v>1228.97</v>
      </c>
      <c r="AC218" s="276">
        <f>ROUND((AA218/AB218)*100%-100%,4)</f>
        <v>8.0199999999999994E-2</v>
      </c>
      <c r="AD218" s="277">
        <f t="shared" si="151"/>
        <v>98.563393999999988</v>
      </c>
      <c r="AF218" s="235">
        <v>1194.27</v>
      </c>
      <c r="AG218" s="106">
        <v>1274</v>
      </c>
      <c r="AH218" s="281">
        <f t="shared" si="152"/>
        <v>54</v>
      </c>
      <c r="AI218" s="282">
        <v>0.05</v>
      </c>
      <c r="AJ218" s="283">
        <f t="shared" si="153"/>
        <v>98.563393999999988</v>
      </c>
      <c r="AK218" s="284"/>
      <c r="AM218" s="222">
        <v>-1.5699999999999999E-2</v>
      </c>
      <c r="AN218" s="285">
        <f t="shared" si="154"/>
        <v>1.0157</v>
      </c>
      <c r="AO218" s="285">
        <v>1.05</v>
      </c>
      <c r="AQ218" s="286">
        <f t="shared" ref="AQ218:AQ281" si="162">ROUND(W218*AO218,2)</f>
        <v>1337.7</v>
      </c>
      <c r="AS218" s="222">
        <v>1.034</v>
      </c>
      <c r="AT218" s="337">
        <v>-1.5699999999999999E-2</v>
      </c>
      <c r="AU218" s="285">
        <f t="shared" si="155"/>
        <v>8.0000000000000071E-3</v>
      </c>
      <c r="AW218" s="288">
        <f t="shared" si="156"/>
        <v>9.5899999999999985E-2</v>
      </c>
      <c r="AX218" s="106">
        <v>1274</v>
      </c>
      <c r="AY218" s="127" t="b">
        <f t="shared" si="157"/>
        <v>1</v>
      </c>
      <c r="AZ218" s="289">
        <f t="shared" si="158"/>
        <v>-3.0280000000000005</v>
      </c>
      <c r="BC218">
        <f t="shared" si="159"/>
        <v>1.042</v>
      </c>
    </row>
    <row r="219" spans="1:55" ht="24.75" customHeight="1" outlineLevel="1" x14ac:dyDescent="0.3">
      <c r="A219" s="264"/>
      <c r="B219" s="264"/>
      <c r="C219" s="265"/>
      <c r="D219" s="239"/>
      <c r="E219" s="239"/>
      <c r="F219" s="168"/>
      <c r="G219" s="266"/>
      <c r="H219" s="168"/>
      <c r="I219" s="168"/>
      <c r="J219" s="295" t="s">
        <v>366</v>
      </c>
      <c r="K219" s="121" t="s">
        <v>335</v>
      </c>
      <c r="L219" s="266" t="str">
        <f>VLOOKUP(K219,[6]материалы!$A$5:$G$31,5, FALSE)</f>
        <v>кг</v>
      </c>
      <c r="M219" s="168">
        <f>VLOOKUP(K219,[6]материалы!$A$5:$G$34,7, FALSE)</f>
        <v>720.83</v>
      </c>
      <c r="N219" s="168">
        <v>5.0000000000000001E-3</v>
      </c>
      <c r="O219" s="168">
        <f>ROUND(M219*N219,2)</f>
        <v>3.6</v>
      </c>
      <c r="P219" s="168"/>
      <c r="Q219" s="168"/>
      <c r="R219" s="268"/>
      <c r="S219" s="268"/>
      <c r="T219" s="268"/>
      <c r="U219" s="269"/>
      <c r="V219" s="336"/>
      <c r="W219" s="271"/>
      <c r="X219" s="272"/>
      <c r="Z219" s="273"/>
      <c r="AA219" s="58"/>
      <c r="AB219" s="275"/>
      <c r="AC219" s="276"/>
      <c r="AD219" s="277"/>
      <c r="AG219" s="106"/>
      <c r="AH219" s="281"/>
      <c r="AI219" s="282"/>
      <c r="AJ219" s="283"/>
      <c r="AK219" s="284"/>
      <c r="AM219" s="222"/>
      <c r="AN219" s="285"/>
      <c r="AO219" s="285"/>
      <c r="AQ219" s="286"/>
      <c r="AS219" s="222"/>
      <c r="AT219" s="337"/>
      <c r="AU219" s="285"/>
      <c r="AW219" s="288"/>
      <c r="AX219" s="106"/>
      <c r="AZ219" s="289"/>
    </row>
    <row r="220" spans="1:55" ht="24.75" customHeight="1" outlineLevel="1" x14ac:dyDescent="0.3">
      <c r="A220" s="264"/>
      <c r="B220" s="264"/>
      <c r="C220" s="265"/>
      <c r="D220" s="239"/>
      <c r="E220" s="239"/>
      <c r="F220" s="168"/>
      <c r="G220" s="266"/>
      <c r="H220" s="168"/>
      <c r="I220" s="168"/>
      <c r="J220" s="295"/>
      <c r="K220" s="121" t="s">
        <v>333</v>
      </c>
      <c r="L220" s="266" t="str">
        <f>VLOOKUP(K220,[6]материалы!$A$5:$G$31,5, FALSE)</f>
        <v>кг</v>
      </c>
      <c r="M220" s="168">
        <f>VLOOKUP(K220,[6]материалы!$A$5:$G$34,7, FALSE)</f>
        <v>276.88</v>
      </c>
      <c r="N220" s="168">
        <v>0.05</v>
      </c>
      <c r="O220" s="168">
        <f>ROUND(M220*N220,2)</f>
        <v>13.84</v>
      </c>
      <c r="P220" s="168"/>
      <c r="Q220" s="168"/>
      <c r="R220" s="268"/>
      <c r="S220" s="268"/>
      <c r="T220" s="268"/>
      <c r="U220" s="269"/>
      <c r="V220" s="336"/>
      <c r="W220" s="271"/>
      <c r="X220" s="272"/>
      <c r="Z220" s="273"/>
      <c r="AA220" s="58"/>
      <c r="AB220" s="275"/>
      <c r="AC220" s="276"/>
      <c r="AD220" s="277"/>
      <c r="AG220" s="106"/>
      <c r="AH220" s="281"/>
      <c r="AI220" s="282"/>
      <c r="AJ220" s="283"/>
      <c r="AK220" s="284"/>
      <c r="AM220" s="222"/>
      <c r="AN220" s="285"/>
      <c r="AO220" s="285"/>
      <c r="AQ220" s="286"/>
      <c r="AS220" s="222"/>
      <c r="AT220" s="337"/>
      <c r="AU220" s="285"/>
      <c r="AW220" s="288"/>
      <c r="AX220" s="106"/>
      <c r="AZ220" s="289"/>
    </row>
    <row r="221" spans="1:55" ht="29.25" customHeight="1" outlineLevel="1" x14ac:dyDescent="0.3">
      <c r="A221" s="264"/>
      <c r="B221" s="264"/>
      <c r="C221" s="265"/>
      <c r="D221" s="239"/>
      <c r="E221" s="239"/>
      <c r="F221" s="168"/>
      <c r="G221" s="266"/>
      <c r="H221" s="168"/>
      <c r="I221" s="168"/>
      <c r="J221" s="168"/>
      <c r="K221" s="121" t="s">
        <v>342</v>
      </c>
      <c r="L221" s="266" t="str">
        <f>VLOOKUP(K221,[6]материалы!$A$5:$G$31,5, FALSE)</f>
        <v>шт.</v>
      </c>
      <c r="M221" s="168">
        <f>VLOOKUP(K221,[6]материалы!$A$5:$G$34,7, FALSE)</f>
        <v>37.5</v>
      </c>
      <c r="N221" s="168">
        <v>0.25</v>
      </c>
      <c r="O221" s="168">
        <f>ROUND(M221*N221,2)</f>
        <v>9.3800000000000008</v>
      </c>
      <c r="P221" s="168"/>
      <c r="Q221" s="168"/>
      <c r="R221" s="268"/>
      <c r="S221" s="268"/>
      <c r="T221" s="268"/>
      <c r="U221" s="269"/>
      <c r="V221" s="336"/>
      <c r="W221" s="271"/>
      <c r="X221" s="272"/>
      <c r="Z221" s="273"/>
      <c r="AA221" s="58"/>
      <c r="AB221" s="275"/>
      <c r="AC221" s="276"/>
      <c r="AD221" s="277"/>
      <c r="AG221" s="106"/>
      <c r="AH221" s="281"/>
      <c r="AI221" s="282"/>
      <c r="AJ221" s="283"/>
      <c r="AK221" s="284"/>
      <c r="AM221" s="222"/>
      <c r="AN221" s="285"/>
      <c r="AO221" s="285"/>
      <c r="AQ221" s="286"/>
      <c r="AS221" s="222"/>
      <c r="AT221" s="337"/>
      <c r="AU221" s="285"/>
      <c r="AW221" s="288"/>
      <c r="AX221" s="106"/>
      <c r="AZ221" s="289"/>
    </row>
    <row r="222" spans="1:55" outlineLevel="1" x14ac:dyDescent="0.3">
      <c r="A222" s="264"/>
      <c r="B222" s="264"/>
      <c r="C222" s="265"/>
      <c r="D222" s="239"/>
      <c r="E222" s="239"/>
      <c r="F222" s="168"/>
      <c r="G222" s="266"/>
      <c r="H222" s="168"/>
      <c r="I222" s="168"/>
      <c r="J222" s="168"/>
      <c r="K222" s="296" t="s">
        <v>329</v>
      </c>
      <c r="L222" s="266" t="str">
        <f>VLOOKUP(K222,[6]материалы!$A$5:$G$31,5, FALSE)</f>
        <v>кг</v>
      </c>
      <c r="M222" s="168">
        <f>VLOOKUP(K222,[6]материалы!$A$5:$G$34,7, FALSE)</f>
        <v>79.17</v>
      </c>
      <c r="N222" s="168">
        <v>1E-3</v>
      </c>
      <c r="O222" s="168">
        <f t="shared" ref="O222:O223" si="163">ROUND(M222*N222,2)</f>
        <v>0.08</v>
      </c>
      <c r="P222" s="168"/>
      <c r="Q222" s="168"/>
      <c r="R222" s="268"/>
      <c r="S222" s="268"/>
      <c r="T222" s="268"/>
      <c r="U222" s="269"/>
      <c r="V222" s="336"/>
      <c r="W222" s="271"/>
      <c r="X222" s="272"/>
      <c r="Z222" s="273"/>
      <c r="AA222" s="58"/>
      <c r="AB222" s="275"/>
      <c r="AC222" s="276"/>
      <c r="AD222" s="277"/>
      <c r="AG222" s="106"/>
      <c r="AH222" s="281"/>
      <c r="AI222" s="282"/>
      <c r="AJ222" s="283"/>
      <c r="AK222" s="284"/>
      <c r="AM222" s="222"/>
      <c r="AN222" s="285"/>
      <c r="AO222" s="285"/>
      <c r="AQ222" s="286"/>
      <c r="AS222" s="222"/>
      <c r="AT222" s="337"/>
      <c r="AU222" s="285"/>
      <c r="AW222" s="288"/>
      <c r="AX222" s="106"/>
      <c r="AZ222" s="289"/>
    </row>
    <row r="223" spans="1:55" outlineLevel="1" x14ac:dyDescent="0.3">
      <c r="A223" s="264"/>
      <c r="B223" s="264"/>
      <c r="C223" s="265"/>
      <c r="D223" s="239"/>
      <c r="E223" s="239"/>
      <c r="F223" s="168"/>
      <c r="G223" s="266"/>
      <c r="H223" s="168"/>
      <c r="I223" s="168"/>
      <c r="J223" s="168"/>
      <c r="K223" s="296" t="s">
        <v>330</v>
      </c>
      <c r="L223" s="266" t="str">
        <f>VLOOKUP(K223,[6]материалы!$A$5:$G$31,5, FALSE)</f>
        <v>кг</v>
      </c>
      <c r="M223" s="168">
        <f>VLOOKUP(K223,[6]материалы!$A$5:$G$34,7, FALSE)</f>
        <v>66.67</v>
      </c>
      <c r="N223" s="168">
        <v>0.01</v>
      </c>
      <c r="O223" s="168">
        <f t="shared" si="163"/>
        <v>0.67</v>
      </c>
      <c r="P223" s="168"/>
      <c r="Q223" s="168"/>
      <c r="R223" s="268"/>
      <c r="S223" s="268"/>
      <c r="T223" s="268"/>
      <c r="U223" s="269"/>
      <c r="V223" s="336"/>
      <c r="W223" s="271"/>
      <c r="X223" s="272"/>
      <c r="Z223" s="273"/>
      <c r="AA223" s="58"/>
      <c r="AB223" s="275"/>
      <c r="AC223" s="276"/>
      <c r="AD223" s="277"/>
      <c r="AG223" s="106"/>
      <c r="AH223" s="281"/>
      <c r="AI223" s="282"/>
      <c r="AJ223" s="283"/>
      <c r="AK223" s="284"/>
      <c r="AM223" s="222"/>
      <c r="AN223" s="285"/>
      <c r="AO223" s="285"/>
      <c r="AQ223" s="286"/>
      <c r="AS223" s="222"/>
      <c r="AT223" s="337"/>
      <c r="AU223" s="285"/>
      <c r="AW223" s="288"/>
      <c r="AX223" s="106"/>
      <c r="AZ223" s="289"/>
    </row>
    <row r="224" spans="1:55" ht="21.75" customHeight="1" x14ac:dyDescent="0.3">
      <c r="A224" s="264" t="s">
        <v>466</v>
      </c>
      <c r="B224" s="264" t="s">
        <v>219</v>
      </c>
      <c r="C224" s="265" t="s">
        <v>228</v>
      </c>
      <c r="D224" s="168" t="s">
        <v>230</v>
      </c>
      <c r="E224" s="239" t="s">
        <v>162</v>
      </c>
      <c r="F224" s="168">
        <f>VLOOKUP(E224,'[6]условия, ФОТ'!$A$14:$I$32,9, FALSE)</f>
        <v>180.5</v>
      </c>
      <c r="G224" s="266">
        <v>1.2</v>
      </c>
      <c r="H224" s="168">
        <f t="shared" si="126"/>
        <v>216.6</v>
      </c>
      <c r="I224" s="168">
        <f t="shared" si="123"/>
        <v>65.41</v>
      </c>
      <c r="J224" s="168">
        <f t="shared" si="124"/>
        <v>282.01</v>
      </c>
      <c r="K224" s="267"/>
      <c r="L224" s="168"/>
      <c r="M224" s="168"/>
      <c r="N224" s="168"/>
      <c r="O224" s="168"/>
      <c r="P224" s="168">
        <f t="shared" si="129"/>
        <v>282.01</v>
      </c>
      <c r="Q224" s="168">
        <f t="shared" si="20"/>
        <v>187.54</v>
      </c>
      <c r="R224" s="268">
        <f>ROUND(T224/1.2,2)</f>
        <v>505</v>
      </c>
      <c r="S224" s="268">
        <f t="shared" si="21"/>
        <v>101</v>
      </c>
      <c r="T224" s="268">
        <f>ROUND((P224+Q224)*(1+AC224)*1.2,0)</f>
        <v>606</v>
      </c>
      <c r="U224" s="269">
        <v>504</v>
      </c>
      <c r="V224" s="336">
        <f t="shared" si="70"/>
        <v>20.238095238095227</v>
      </c>
      <c r="W224" s="271">
        <v>582</v>
      </c>
      <c r="X224" s="272">
        <f t="shared" si="150"/>
        <v>4.1237113402061993</v>
      </c>
      <c r="Y224" s="231">
        <v>520</v>
      </c>
      <c r="Z224" s="273">
        <v>1.042</v>
      </c>
      <c r="AA224" s="274">
        <f>ROUND(W224*Z224,2)</f>
        <v>606.44000000000005</v>
      </c>
      <c r="AB224" s="275">
        <f>ROUND((P224+Q224)*1.2,2)</f>
        <v>563.46</v>
      </c>
      <c r="AC224" s="276">
        <f>ROUND((AA224/AB224)*100%-100%,4)</f>
        <v>7.6300000000000007E-2</v>
      </c>
      <c r="AD224" s="277">
        <f t="shared" si="151"/>
        <v>42.991998000000009</v>
      </c>
      <c r="AF224" s="235">
        <v>537.68000000000006</v>
      </c>
      <c r="AG224" s="106">
        <v>582</v>
      </c>
      <c r="AH224" s="281">
        <f t="shared" si="152"/>
        <v>24</v>
      </c>
      <c r="AI224" s="282">
        <v>4.9700000000000001E-2</v>
      </c>
      <c r="AJ224" s="283">
        <f t="shared" si="153"/>
        <v>42.991998000000009</v>
      </c>
      <c r="AK224" s="284"/>
      <c r="AM224" s="222">
        <v>-3.09E-2</v>
      </c>
      <c r="AN224" s="285">
        <f t="shared" si="154"/>
        <v>1.0308999999999999</v>
      </c>
      <c r="AO224" s="285">
        <v>1.0660000000000001</v>
      </c>
      <c r="AQ224" s="286">
        <f t="shared" si="162"/>
        <v>620.41</v>
      </c>
      <c r="AS224" s="222">
        <v>1.034</v>
      </c>
      <c r="AT224" s="337">
        <v>-3.09E-2</v>
      </c>
      <c r="AU224" s="285">
        <f t="shared" si="155"/>
        <v>8.0000000000000071E-3</v>
      </c>
      <c r="AW224" s="288">
        <f t="shared" si="156"/>
        <v>0.1072</v>
      </c>
      <c r="AX224" s="106">
        <v>582</v>
      </c>
      <c r="AY224" s="127" t="b">
        <f t="shared" si="157"/>
        <v>1</v>
      </c>
      <c r="AZ224" s="289">
        <f t="shared" si="158"/>
        <v>-2.9180000000000001</v>
      </c>
      <c r="BC224">
        <f t="shared" si="159"/>
        <v>1.0409999999999999</v>
      </c>
    </row>
    <row r="225" spans="1:55" ht="14.25" customHeight="1" x14ac:dyDescent="0.25">
      <c r="A225" s="647" t="s">
        <v>467</v>
      </c>
      <c r="B225" s="646" t="s">
        <v>221</v>
      </c>
      <c r="C225" s="660" t="s">
        <v>229</v>
      </c>
      <c r="D225" s="649" t="s">
        <v>230</v>
      </c>
      <c r="E225" s="239" t="s">
        <v>162</v>
      </c>
      <c r="F225" s="168">
        <f>VLOOKUP(E225,'[6]условия, ФОТ'!$A$14:$I$32,9, FALSE)</f>
        <v>180.5</v>
      </c>
      <c r="G225" s="266">
        <f>1.2+0.68</f>
        <v>1.88</v>
      </c>
      <c r="H225" s="661">
        <f>ROUND((F225*G225+F226*G226),2)</f>
        <v>471.02</v>
      </c>
      <c r="I225" s="661">
        <f>ROUND(H225*$I$5,2)</f>
        <v>142.25</v>
      </c>
      <c r="J225" s="661">
        <f>H225+I225</f>
        <v>613.27</v>
      </c>
      <c r="K225" s="669"/>
      <c r="L225" s="661"/>
      <c r="M225" s="661"/>
      <c r="N225" s="661"/>
      <c r="O225" s="661">
        <f>SUM(O227:O233)</f>
        <v>117.25</v>
      </c>
      <c r="P225" s="661">
        <f>J225+O225</f>
        <v>730.52</v>
      </c>
      <c r="Q225" s="661">
        <f t="shared" si="20"/>
        <v>485.8</v>
      </c>
      <c r="R225" s="711">
        <f>ROUND(T225/1.2,2)</f>
        <v>1306.67</v>
      </c>
      <c r="S225" s="665">
        <f t="shared" si="21"/>
        <v>261.33</v>
      </c>
      <c r="T225" s="665">
        <f>ROUND((P225+Q225)*(1+AC225)*1.2,0)</f>
        <v>1568</v>
      </c>
      <c r="U225" s="666">
        <v>1412</v>
      </c>
      <c r="V225" s="842">
        <f t="shared" si="70"/>
        <v>11.048158640226632</v>
      </c>
      <c r="W225" s="749">
        <v>1505</v>
      </c>
      <c r="X225" s="729">
        <f t="shared" si="150"/>
        <v>4.1860465116279073</v>
      </c>
      <c r="Y225" s="231">
        <v>1456</v>
      </c>
      <c r="Z225" s="823">
        <v>1.042</v>
      </c>
      <c r="AA225" s="825">
        <f>ROUND(W225*Z225,2)</f>
        <v>1568.21</v>
      </c>
      <c r="AB225" s="826">
        <f>ROUND((P225+Q225)*1.2,2)</f>
        <v>1459.58</v>
      </c>
      <c r="AC225" s="814">
        <f>ROUND((AA225/AB225)*100%-100%,4)</f>
        <v>7.4399999999999994E-2</v>
      </c>
      <c r="AD225" s="681">
        <f t="shared" si="151"/>
        <v>108.59275199999999</v>
      </c>
      <c r="AF225" s="235">
        <v>1505.5040000000001</v>
      </c>
      <c r="AG225" s="674">
        <v>1505</v>
      </c>
      <c r="AH225" s="816">
        <f t="shared" si="152"/>
        <v>63</v>
      </c>
      <c r="AI225" s="817">
        <v>7.3200000000000001E-2</v>
      </c>
      <c r="AJ225" s="819">
        <f t="shared" si="153"/>
        <v>108.59275199999999</v>
      </c>
      <c r="AK225" s="284"/>
      <c r="AM225" s="715">
        <v>7.3200000000000001E-2</v>
      </c>
      <c r="AN225" s="670">
        <f t="shared" si="154"/>
        <v>7.3200000000000001E-2</v>
      </c>
      <c r="AO225" s="670">
        <v>0</v>
      </c>
      <c r="AQ225" s="676"/>
      <c r="AS225" s="715">
        <v>1.034</v>
      </c>
      <c r="AT225" s="717">
        <v>7.3200000000000001E-2</v>
      </c>
      <c r="AU225" s="670">
        <f t="shared" si="155"/>
        <v>8.0000000000000071E-3</v>
      </c>
      <c r="AW225" s="672">
        <f t="shared" si="156"/>
        <v>1.1999999999999927E-3</v>
      </c>
      <c r="AX225" s="674">
        <v>1505</v>
      </c>
      <c r="AY225" s="675" t="b">
        <f t="shared" si="157"/>
        <v>1</v>
      </c>
      <c r="AZ225" s="289">
        <f t="shared" si="158"/>
        <v>-2.9779999999999998</v>
      </c>
      <c r="BC225">
        <f t="shared" si="159"/>
        <v>1.042</v>
      </c>
    </row>
    <row r="226" spans="1:55" ht="15.75" customHeight="1" x14ac:dyDescent="0.25">
      <c r="A226" s="647"/>
      <c r="B226" s="646"/>
      <c r="C226" s="660"/>
      <c r="D226" s="649"/>
      <c r="E226" s="239" t="s">
        <v>166</v>
      </c>
      <c r="F226" s="168">
        <f>VLOOKUP(E226,'[6]условия, ФОТ'!$A$14:$I$32,9, FALSE)</f>
        <v>193.64</v>
      </c>
      <c r="G226" s="266">
        <v>0.68</v>
      </c>
      <c r="H226" s="661">
        <f t="shared" ref="H226:H235" si="164">ROUND(F226*G226,2)</f>
        <v>131.68</v>
      </c>
      <c r="I226" s="661">
        <f t="shared" ref="I226" si="165">ROUND(H226*$I$5,2)</f>
        <v>39.770000000000003</v>
      </c>
      <c r="J226" s="661">
        <f t="shared" ref="J226" si="166">H226+I226</f>
        <v>171.45000000000002</v>
      </c>
      <c r="K226" s="669"/>
      <c r="L226" s="661"/>
      <c r="M226" s="661"/>
      <c r="N226" s="661"/>
      <c r="O226" s="661"/>
      <c r="P226" s="661"/>
      <c r="Q226" s="661">
        <f t="shared" si="20"/>
        <v>0</v>
      </c>
      <c r="R226" s="726"/>
      <c r="S226" s="665">
        <f t="shared" si="21"/>
        <v>0</v>
      </c>
      <c r="T226" s="665">
        <f>ROUND((P226+Q226)*(1+$R$5)*1.18,0)</f>
        <v>0</v>
      </c>
      <c r="U226" s="827"/>
      <c r="V226" s="842"/>
      <c r="W226" s="750"/>
      <c r="X226" s="730"/>
      <c r="Y226" s="231">
        <v>0</v>
      </c>
      <c r="Z226" s="824"/>
      <c r="AA226" s="825"/>
      <c r="AB226" s="826"/>
      <c r="AC226" s="815"/>
      <c r="AD226" s="682"/>
      <c r="AG226" s="674"/>
      <c r="AH226" s="816"/>
      <c r="AI226" s="818"/>
      <c r="AJ226" s="820"/>
      <c r="AK226" s="284"/>
      <c r="AM226" s="716"/>
      <c r="AN226" s="671"/>
      <c r="AO226" s="671"/>
      <c r="AQ226" s="677"/>
      <c r="AS226" s="716"/>
      <c r="AT226" s="718"/>
      <c r="AU226" s="671"/>
      <c r="AW226" s="673"/>
      <c r="AX226" s="674"/>
      <c r="AY226" s="675"/>
      <c r="AZ226" s="289"/>
    </row>
    <row r="227" spans="1:55" ht="22.5" customHeight="1" outlineLevel="1" x14ac:dyDescent="0.3">
      <c r="A227" s="264"/>
      <c r="B227" s="342"/>
      <c r="C227" s="265"/>
      <c r="D227" s="239"/>
      <c r="E227" s="239"/>
      <c r="F227" s="168"/>
      <c r="G227" s="266"/>
      <c r="H227" s="168"/>
      <c r="I227" s="168"/>
      <c r="J227" s="295" t="s">
        <v>366</v>
      </c>
      <c r="K227" s="121" t="s">
        <v>324</v>
      </c>
      <c r="L227" s="266" t="str">
        <f>VLOOKUP(K227,[6]материалы!$A$5:$G$31,5, FALSE)</f>
        <v>м3</v>
      </c>
      <c r="M227" s="168">
        <f>VLOOKUP(K227,[6]материалы!$A$5:$G$34,7, FALSE)</f>
        <v>152.78</v>
      </c>
      <c r="N227" s="168">
        <v>0.15</v>
      </c>
      <c r="O227" s="168">
        <f t="shared" ref="O227:O233" si="167">ROUND(M227*N227,2)</f>
        <v>22.92</v>
      </c>
      <c r="P227" s="168"/>
      <c r="Q227" s="168"/>
      <c r="R227" s="268"/>
      <c r="S227" s="268"/>
      <c r="T227" s="268"/>
      <c r="U227" s="269"/>
      <c r="V227" s="336"/>
      <c r="W227" s="271"/>
      <c r="X227" s="272"/>
      <c r="Z227" s="273"/>
      <c r="AA227" s="58"/>
      <c r="AB227" s="275"/>
      <c r="AC227" s="276"/>
      <c r="AD227" s="277"/>
      <c r="AG227" s="106"/>
      <c r="AH227" s="281"/>
      <c r="AI227" s="282"/>
      <c r="AJ227" s="283"/>
      <c r="AK227" s="284"/>
      <c r="AM227" s="222"/>
      <c r="AN227" s="285"/>
      <c r="AO227" s="285"/>
      <c r="AQ227" s="286"/>
      <c r="AS227" s="222"/>
      <c r="AT227" s="337"/>
      <c r="AU227" s="285"/>
      <c r="AW227" s="288"/>
      <c r="AX227" s="106"/>
      <c r="AZ227" s="289"/>
    </row>
    <row r="228" spans="1:55" ht="21" customHeight="1" outlineLevel="1" x14ac:dyDescent="0.3">
      <c r="A228" s="264"/>
      <c r="B228" s="342"/>
      <c r="C228" s="265"/>
      <c r="D228" s="239"/>
      <c r="E228" s="239"/>
      <c r="F228" s="168"/>
      <c r="G228" s="266"/>
      <c r="H228" s="168"/>
      <c r="I228" s="168"/>
      <c r="J228" s="168"/>
      <c r="K228" s="121" t="s">
        <v>323</v>
      </c>
      <c r="L228" s="266" t="str">
        <f>VLOOKUP(K228,[6]материалы!$A$5:$G$31,5, FALSE)</f>
        <v>м3</v>
      </c>
      <c r="M228" s="168">
        <f>VLOOKUP(K228,[6]материалы!$A$5:$G$34,7, FALSE)</f>
        <v>486.11</v>
      </c>
      <c r="N228" s="266">
        <v>8.7499999999999994E-2</v>
      </c>
      <c r="O228" s="168">
        <f t="shared" si="167"/>
        <v>42.53</v>
      </c>
      <c r="P228" s="168"/>
      <c r="Q228" s="168"/>
      <c r="R228" s="268"/>
      <c r="S228" s="268"/>
      <c r="T228" s="268"/>
      <c r="U228" s="269"/>
      <c r="V228" s="336"/>
      <c r="W228" s="271"/>
      <c r="X228" s="272"/>
      <c r="Z228" s="273"/>
      <c r="AA228" s="58"/>
      <c r="AB228" s="275"/>
      <c r="AC228" s="276"/>
      <c r="AD228" s="277"/>
      <c r="AG228" s="106"/>
      <c r="AH228" s="281"/>
      <c r="AI228" s="282"/>
      <c r="AJ228" s="283"/>
      <c r="AK228" s="284"/>
      <c r="AM228" s="222"/>
      <c r="AN228" s="285"/>
      <c r="AO228" s="285"/>
      <c r="AQ228" s="286"/>
      <c r="AS228" s="222"/>
      <c r="AT228" s="337"/>
      <c r="AU228" s="285"/>
      <c r="AW228" s="288"/>
      <c r="AX228" s="106"/>
      <c r="AZ228" s="289"/>
    </row>
    <row r="229" spans="1:55" ht="38.25" customHeight="1" outlineLevel="1" x14ac:dyDescent="0.3">
      <c r="A229" s="264"/>
      <c r="B229" s="342"/>
      <c r="C229" s="265"/>
      <c r="D229" s="239"/>
      <c r="E229" s="239"/>
      <c r="F229" s="168"/>
      <c r="G229" s="266"/>
      <c r="H229" s="168"/>
      <c r="I229" s="168"/>
      <c r="J229" s="168"/>
      <c r="K229" s="121" t="s">
        <v>341</v>
      </c>
      <c r="L229" s="266" t="str">
        <f>VLOOKUP(K229,[6]материалы!$A$5:$G$31,5, FALSE)</f>
        <v>кг</v>
      </c>
      <c r="M229" s="168">
        <f>VLOOKUP(K229,[6]материалы!$A$5:$G$34,7, FALSE)</f>
        <v>125</v>
      </c>
      <c r="N229" s="168">
        <v>0.1</v>
      </c>
      <c r="O229" s="168">
        <f t="shared" si="167"/>
        <v>12.5</v>
      </c>
      <c r="P229" s="168"/>
      <c r="Q229" s="168"/>
      <c r="R229" s="268"/>
      <c r="S229" s="268"/>
      <c r="T229" s="268"/>
      <c r="U229" s="269"/>
      <c r="V229" s="336"/>
      <c r="W229" s="271"/>
      <c r="X229" s="272"/>
      <c r="Z229" s="273"/>
      <c r="AA229" s="58"/>
      <c r="AB229" s="275"/>
      <c r="AC229" s="276"/>
      <c r="AD229" s="277"/>
      <c r="AG229" s="106"/>
      <c r="AH229" s="281"/>
      <c r="AI229" s="282"/>
      <c r="AJ229" s="283"/>
      <c r="AK229" s="284"/>
      <c r="AM229" s="222"/>
      <c r="AN229" s="285"/>
      <c r="AO229" s="285"/>
      <c r="AQ229" s="286"/>
      <c r="AS229" s="222"/>
      <c r="AT229" s="337"/>
      <c r="AU229" s="285"/>
      <c r="AW229" s="288"/>
      <c r="AX229" s="106"/>
      <c r="AZ229" s="289"/>
    </row>
    <row r="230" spans="1:55" ht="26.25" customHeight="1" outlineLevel="1" x14ac:dyDescent="0.3">
      <c r="A230" s="264"/>
      <c r="B230" s="342"/>
      <c r="C230" s="265"/>
      <c r="D230" s="239"/>
      <c r="E230" s="239"/>
      <c r="F230" s="168"/>
      <c r="G230" s="266"/>
      <c r="H230" s="168"/>
      <c r="I230" s="168"/>
      <c r="J230" s="168"/>
      <c r="K230" s="121" t="s">
        <v>342</v>
      </c>
      <c r="L230" s="266" t="str">
        <f>VLOOKUP(K230,[6]материалы!$A$5:$G$31,5, FALSE)</f>
        <v>шт.</v>
      </c>
      <c r="M230" s="168">
        <f>VLOOKUP(K230,[6]материалы!$A$5:$G$34,7, FALSE)</f>
        <v>37.5</v>
      </c>
      <c r="N230" s="168">
        <v>0.25</v>
      </c>
      <c r="O230" s="168">
        <f t="shared" si="167"/>
        <v>9.3800000000000008</v>
      </c>
      <c r="P230" s="168"/>
      <c r="Q230" s="168"/>
      <c r="R230" s="268"/>
      <c r="S230" s="268"/>
      <c r="T230" s="268"/>
      <c r="U230" s="269"/>
      <c r="V230" s="336"/>
      <c r="W230" s="271"/>
      <c r="X230" s="272"/>
      <c r="Z230" s="273"/>
      <c r="AA230" s="58"/>
      <c r="AB230" s="275"/>
      <c r="AC230" s="276"/>
      <c r="AD230" s="277"/>
      <c r="AG230" s="106"/>
      <c r="AH230" s="281"/>
      <c r="AI230" s="282"/>
      <c r="AJ230" s="283"/>
      <c r="AK230" s="284"/>
      <c r="AM230" s="222"/>
      <c r="AN230" s="285"/>
      <c r="AO230" s="285"/>
      <c r="AQ230" s="286"/>
      <c r="AS230" s="222"/>
      <c r="AT230" s="337"/>
      <c r="AU230" s="285"/>
      <c r="AW230" s="288"/>
      <c r="AX230" s="106"/>
      <c r="AZ230" s="289"/>
    </row>
    <row r="231" spans="1:55" ht="24.75" customHeight="1" outlineLevel="1" x14ac:dyDescent="0.3">
      <c r="A231" s="264"/>
      <c r="B231" s="342"/>
      <c r="C231" s="265"/>
      <c r="D231" s="239"/>
      <c r="E231" s="239"/>
      <c r="F231" s="168"/>
      <c r="G231" s="266"/>
      <c r="H231" s="168"/>
      <c r="I231" s="168"/>
      <c r="J231" s="168"/>
      <c r="K231" s="121" t="s">
        <v>346</v>
      </c>
      <c r="L231" s="266" t="str">
        <f>VLOOKUP(K231,[6]материалы!$A$5:$G$31,5, FALSE)</f>
        <v>шт.</v>
      </c>
      <c r="M231" s="168">
        <f>VLOOKUP(K231,[6]материалы!$A$5:$G$34,7, FALSE)</f>
        <v>29.17</v>
      </c>
      <c r="N231" s="168">
        <v>1</v>
      </c>
      <c r="O231" s="168">
        <f t="shared" si="167"/>
        <v>29.17</v>
      </c>
      <c r="P231" s="168"/>
      <c r="Q231" s="168"/>
      <c r="R231" s="268"/>
      <c r="S231" s="268"/>
      <c r="T231" s="268"/>
      <c r="U231" s="269"/>
      <c r="V231" s="336"/>
      <c r="W231" s="271"/>
      <c r="X231" s="272"/>
      <c r="Z231" s="273"/>
      <c r="AA231" s="58"/>
      <c r="AB231" s="275"/>
      <c r="AC231" s="276"/>
      <c r="AD231" s="277"/>
      <c r="AG231" s="106"/>
      <c r="AH231" s="281"/>
      <c r="AI231" s="282"/>
      <c r="AJ231" s="283"/>
      <c r="AK231" s="284"/>
      <c r="AM231" s="222"/>
      <c r="AN231" s="285"/>
      <c r="AO231" s="285"/>
      <c r="AQ231" s="286"/>
      <c r="AS231" s="222"/>
      <c r="AT231" s="337"/>
      <c r="AU231" s="285"/>
      <c r="AW231" s="288"/>
      <c r="AX231" s="106"/>
      <c r="AZ231" s="289"/>
    </row>
    <row r="232" spans="1:55" ht="15.75" customHeight="1" outlineLevel="1" x14ac:dyDescent="0.3">
      <c r="A232" s="264"/>
      <c r="B232" s="342"/>
      <c r="C232" s="265"/>
      <c r="D232" s="239"/>
      <c r="E232" s="239"/>
      <c r="F232" s="168"/>
      <c r="G232" s="266"/>
      <c r="H232" s="168"/>
      <c r="I232" s="168"/>
      <c r="J232" s="168"/>
      <c r="K232" s="296" t="s">
        <v>329</v>
      </c>
      <c r="L232" s="266" t="str">
        <f>VLOOKUP(K232,[6]материалы!$A$5:$G$31,5, FALSE)</f>
        <v>кг</v>
      </c>
      <c r="M232" s="168">
        <f>VLOOKUP(K232,[6]материалы!$A$5:$G$34,7, FALSE)</f>
        <v>79.17</v>
      </c>
      <c r="N232" s="168">
        <v>1E-3</v>
      </c>
      <c r="O232" s="168">
        <f t="shared" si="167"/>
        <v>0.08</v>
      </c>
      <c r="P232" s="168"/>
      <c r="Q232" s="168"/>
      <c r="R232" s="268"/>
      <c r="S232" s="268"/>
      <c r="T232" s="268"/>
      <c r="U232" s="269"/>
      <c r="V232" s="336"/>
      <c r="W232" s="271"/>
      <c r="X232" s="272"/>
      <c r="Z232" s="273"/>
      <c r="AA232" s="58"/>
      <c r="AB232" s="275"/>
      <c r="AC232" s="276"/>
      <c r="AD232" s="277"/>
      <c r="AG232" s="106"/>
      <c r="AH232" s="281"/>
      <c r="AI232" s="282"/>
      <c r="AJ232" s="283"/>
      <c r="AK232" s="284"/>
      <c r="AM232" s="222"/>
      <c r="AN232" s="285"/>
      <c r="AO232" s="285"/>
      <c r="AQ232" s="286"/>
      <c r="AS232" s="222"/>
      <c r="AT232" s="337"/>
      <c r="AU232" s="285"/>
      <c r="AW232" s="288"/>
      <c r="AX232" s="106"/>
      <c r="AZ232" s="289"/>
    </row>
    <row r="233" spans="1:55" ht="15.75" customHeight="1" outlineLevel="1" x14ac:dyDescent="0.3">
      <c r="A233" s="264"/>
      <c r="B233" s="342"/>
      <c r="C233" s="265"/>
      <c r="D233" s="239"/>
      <c r="E233" s="239"/>
      <c r="F233" s="168"/>
      <c r="G233" s="266"/>
      <c r="H233" s="168"/>
      <c r="I233" s="168"/>
      <c r="J233" s="168"/>
      <c r="K233" s="296" t="s">
        <v>330</v>
      </c>
      <c r="L233" s="266" t="str">
        <f>VLOOKUP(K233,[6]материалы!$A$5:$G$31,5, FALSE)</f>
        <v>кг</v>
      </c>
      <c r="M233" s="168">
        <f>VLOOKUP(K233,[6]материалы!$A$5:$G$34,7, FALSE)</f>
        <v>66.67</v>
      </c>
      <c r="N233" s="168">
        <v>0.01</v>
      </c>
      <c r="O233" s="168">
        <f t="shared" si="167"/>
        <v>0.67</v>
      </c>
      <c r="P233" s="168"/>
      <c r="Q233" s="168"/>
      <c r="R233" s="268"/>
      <c r="S233" s="268"/>
      <c r="T233" s="268"/>
      <c r="U233" s="269"/>
      <c r="V233" s="336"/>
      <c r="W233" s="271"/>
      <c r="X233" s="272"/>
      <c r="Z233" s="273"/>
      <c r="AA233" s="58"/>
      <c r="AB233" s="275"/>
      <c r="AC233" s="276"/>
      <c r="AD233" s="277"/>
      <c r="AG233" s="106"/>
      <c r="AH233" s="281"/>
      <c r="AI233" s="282"/>
      <c r="AJ233" s="283"/>
      <c r="AK233" s="284"/>
      <c r="AM233" s="222"/>
      <c r="AN233" s="285"/>
      <c r="AO233" s="285"/>
      <c r="AQ233" s="286"/>
      <c r="AS233" s="222"/>
      <c r="AT233" s="337"/>
      <c r="AU233" s="285"/>
      <c r="AW233" s="288"/>
      <c r="AX233" s="106"/>
      <c r="AZ233" s="289"/>
    </row>
    <row r="234" spans="1:55" ht="17.25" customHeight="1" x14ac:dyDescent="0.25">
      <c r="A234" s="647" t="s">
        <v>468</v>
      </c>
      <c r="B234" s="646" t="s">
        <v>223</v>
      </c>
      <c r="C234" s="660" t="s">
        <v>60</v>
      </c>
      <c r="D234" s="649" t="s">
        <v>222</v>
      </c>
      <c r="E234" s="239" t="s">
        <v>162</v>
      </c>
      <c r="F234" s="168">
        <f>VLOOKUP(E234,'[6]условия, ФОТ'!$A$14:$I$32,9, FALSE)</f>
        <v>180.5</v>
      </c>
      <c r="G234" s="266">
        <f>0.72+1.2</f>
        <v>1.92</v>
      </c>
      <c r="H234" s="661">
        <f>ROUND((F234*G234+F235*G235),2)</f>
        <v>478.24</v>
      </c>
      <c r="I234" s="661">
        <f t="shared" si="123"/>
        <v>144.43</v>
      </c>
      <c r="J234" s="661">
        <f t="shared" si="124"/>
        <v>622.67000000000007</v>
      </c>
      <c r="K234" s="669"/>
      <c r="L234" s="661"/>
      <c r="M234" s="661"/>
      <c r="N234" s="661"/>
      <c r="O234" s="661">
        <f>SUM(O236:O242)</f>
        <v>117.25</v>
      </c>
      <c r="P234" s="709">
        <f t="shared" si="129"/>
        <v>739.92000000000007</v>
      </c>
      <c r="Q234" s="709">
        <f t="shared" si="20"/>
        <v>492.05</v>
      </c>
      <c r="R234" s="665">
        <f>ROUND(T234/1.2,2)</f>
        <v>1323.33</v>
      </c>
      <c r="S234" s="665">
        <f>ROUND(R234*$S$5,2)</f>
        <v>264.67</v>
      </c>
      <c r="T234" s="665">
        <f>ROUND((P234+Q234)*(1+AC234)*1.2,0)</f>
        <v>1588</v>
      </c>
      <c r="U234" s="666">
        <v>1428</v>
      </c>
      <c r="V234" s="842">
        <f t="shared" si="70"/>
        <v>11.20448179271709</v>
      </c>
      <c r="W234" s="749">
        <v>1524</v>
      </c>
      <c r="X234" s="679">
        <f t="shared" si="150"/>
        <v>4.1994750656167952</v>
      </c>
      <c r="Y234" s="231">
        <v>1474</v>
      </c>
      <c r="Z234" s="823">
        <v>1.042</v>
      </c>
      <c r="AA234" s="825">
        <f>ROUND(W234*Z234,2)</f>
        <v>1588.01</v>
      </c>
      <c r="AB234" s="826">
        <f>ROUND((P234+Q234)*1.2,2)</f>
        <v>1478.36</v>
      </c>
      <c r="AC234" s="814">
        <f>ROUND((AA234/AB234)*100%-100%,4)</f>
        <v>7.4200000000000002E-2</v>
      </c>
      <c r="AD234" s="681">
        <f t="shared" si="151"/>
        <v>109.694312</v>
      </c>
      <c r="AF234" s="235">
        <v>1524.116</v>
      </c>
      <c r="AG234" s="674">
        <v>1524</v>
      </c>
      <c r="AH234" s="816">
        <f t="shared" si="152"/>
        <v>64</v>
      </c>
      <c r="AI234" s="817">
        <v>7.2400000000000006E-2</v>
      </c>
      <c r="AJ234" s="819">
        <f t="shared" si="153"/>
        <v>109.694312</v>
      </c>
      <c r="AK234" s="284"/>
      <c r="AM234" s="715">
        <v>7.2400000000000006E-2</v>
      </c>
      <c r="AN234" s="670">
        <f t="shared" si="154"/>
        <v>7.2400000000000006E-2</v>
      </c>
      <c r="AO234" s="670">
        <v>0</v>
      </c>
      <c r="AQ234" s="676"/>
      <c r="AS234" s="715">
        <v>1.034</v>
      </c>
      <c r="AT234" s="717">
        <v>7.2400000000000006E-2</v>
      </c>
      <c r="AU234" s="670">
        <f t="shared" si="155"/>
        <v>8.0000000000000071E-3</v>
      </c>
      <c r="AW234" s="672">
        <f t="shared" si="156"/>
        <v>1.799999999999996E-3</v>
      </c>
      <c r="AX234" s="674">
        <v>1524</v>
      </c>
      <c r="AY234" s="675" t="b">
        <f t="shared" si="157"/>
        <v>1</v>
      </c>
      <c r="AZ234" s="289">
        <f t="shared" si="158"/>
        <v>-2.9880000000000004</v>
      </c>
      <c r="BC234">
        <f t="shared" si="159"/>
        <v>1.042</v>
      </c>
    </row>
    <row r="235" spans="1:55" ht="26.25" customHeight="1" x14ac:dyDescent="0.25">
      <c r="A235" s="647"/>
      <c r="B235" s="646"/>
      <c r="C235" s="660"/>
      <c r="D235" s="649"/>
      <c r="E235" s="239" t="s">
        <v>166</v>
      </c>
      <c r="F235" s="168">
        <f>VLOOKUP(E235,'[6]условия, ФОТ'!$A$14:$I$32,9, FALSE)</f>
        <v>193.64</v>
      </c>
      <c r="G235" s="266">
        <v>0.68</v>
      </c>
      <c r="H235" s="661">
        <f t="shared" si="164"/>
        <v>131.68</v>
      </c>
      <c r="I235" s="661">
        <f t="shared" si="123"/>
        <v>39.770000000000003</v>
      </c>
      <c r="J235" s="661">
        <f t="shared" si="124"/>
        <v>171.45000000000002</v>
      </c>
      <c r="K235" s="669"/>
      <c r="L235" s="661"/>
      <c r="M235" s="661"/>
      <c r="N235" s="661"/>
      <c r="O235" s="661"/>
      <c r="P235" s="731"/>
      <c r="Q235" s="731"/>
      <c r="R235" s="665">
        <f t="shared" ref="R235" si="168">ROUND(T235/1.18,2)</f>
        <v>0</v>
      </c>
      <c r="S235" s="665">
        <f t="shared" si="21"/>
        <v>0</v>
      </c>
      <c r="T235" s="665">
        <f>ROUND((P235+Q235)*(1+$R$5)*1.18,0)</f>
        <v>0</v>
      </c>
      <c r="U235" s="827"/>
      <c r="V235" s="842"/>
      <c r="W235" s="750"/>
      <c r="X235" s="679"/>
      <c r="Y235" s="384">
        <v>426</v>
      </c>
      <c r="Z235" s="824"/>
      <c r="AA235" s="825"/>
      <c r="AB235" s="826"/>
      <c r="AC235" s="815"/>
      <c r="AD235" s="682"/>
      <c r="AG235" s="674"/>
      <c r="AH235" s="816"/>
      <c r="AI235" s="818"/>
      <c r="AJ235" s="820"/>
      <c r="AK235" s="284"/>
      <c r="AM235" s="716"/>
      <c r="AN235" s="671"/>
      <c r="AO235" s="671"/>
      <c r="AQ235" s="677"/>
      <c r="AS235" s="716"/>
      <c r="AT235" s="718"/>
      <c r="AU235" s="671"/>
      <c r="AW235" s="673"/>
      <c r="AX235" s="674"/>
      <c r="AY235" s="675"/>
      <c r="AZ235" s="289"/>
    </row>
    <row r="236" spans="1:55" ht="19.5" customHeight="1" outlineLevel="1" x14ac:dyDescent="0.3">
      <c r="A236" s="264"/>
      <c r="B236" s="342"/>
      <c r="C236" s="265"/>
      <c r="D236" s="239"/>
      <c r="E236" s="239"/>
      <c r="F236" s="168"/>
      <c r="G236" s="266"/>
      <c r="H236" s="168"/>
      <c r="I236" s="168"/>
      <c r="J236" s="295" t="s">
        <v>366</v>
      </c>
      <c r="K236" s="121" t="s">
        <v>324</v>
      </c>
      <c r="L236" s="266" t="str">
        <f>VLOOKUP(K236,[6]материалы!$A$5:$G$31,5, FALSE)</f>
        <v>м3</v>
      </c>
      <c r="M236" s="168">
        <f>VLOOKUP(K236,[6]материалы!$A$5:$G$34,7, FALSE)</f>
        <v>152.78</v>
      </c>
      <c r="N236" s="168">
        <v>0.15</v>
      </c>
      <c r="O236" s="168">
        <f t="shared" ref="O236:O242" si="169">ROUND(M236*N236,2)</f>
        <v>22.92</v>
      </c>
      <c r="P236" s="168"/>
      <c r="Q236" s="168"/>
      <c r="R236" s="268"/>
      <c r="S236" s="268"/>
      <c r="T236" s="268"/>
      <c r="U236" s="269"/>
      <c r="V236" s="336"/>
      <c r="W236" s="271"/>
      <c r="X236" s="272"/>
      <c r="Z236" s="273"/>
      <c r="AA236" s="58"/>
      <c r="AB236" s="275"/>
      <c r="AC236" s="276"/>
      <c r="AD236" s="277"/>
      <c r="AG236" s="106"/>
      <c r="AH236" s="281"/>
      <c r="AI236" s="282"/>
      <c r="AJ236" s="283"/>
      <c r="AK236" s="284"/>
      <c r="AM236" s="222"/>
      <c r="AN236" s="285"/>
      <c r="AO236" s="285"/>
      <c r="AQ236" s="286"/>
      <c r="AS236" s="222"/>
      <c r="AT236" s="337"/>
      <c r="AU236" s="285"/>
      <c r="AW236" s="288"/>
      <c r="AX236" s="106"/>
      <c r="AZ236" s="289"/>
    </row>
    <row r="237" spans="1:55" ht="19.5" customHeight="1" outlineLevel="1" x14ac:dyDescent="0.3">
      <c r="A237" s="264"/>
      <c r="B237" s="342"/>
      <c r="C237" s="265"/>
      <c r="D237" s="239"/>
      <c r="E237" s="239"/>
      <c r="F237" s="168"/>
      <c r="G237" s="266"/>
      <c r="H237" s="168"/>
      <c r="I237" s="168"/>
      <c r="J237" s="168"/>
      <c r="K237" s="121" t="s">
        <v>323</v>
      </c>
      <c r="L237" s="266" t="str">
        <f>VLOOKUP(K237,[6]материалы!$A$5:$G$31,5, FALSE)</f>
        <v>м3</v>
      </c>
      <c r="M237" s="168">
        <f>VLOOKUP(K237,[6]материалы!$A$5:$G$34,7, FALSE)</f>
        <v>486.11</v>
      </c>
      <c r="N237" s="266">
        <v>8.7499999999999994E-2</v>
      </c>
      <c r="O237" s="168">
        <f t="shared" si="169"/>
        <v>42.53</v>
      </c>
      <c r="P237" s="168"/>
      <c r="Q237" s="168"/>
      <c r="R237" s="268"/>
      <c r="S237" s="268"/>
      <c r="T237" s="268"/>
      <c r="U237" s="269"/>
      <c r="V237" s="336"/>
      <c r="W237" s="271"/>
      <c r="X237" s="272"/>
      <c r="Z237" s="273"/>
      <c r="AA237" s="58"/>
      <c r="AB237" s="275"/>
      <c r="AC237" s="276"/>
      <c r="AD237" s="277"/>
      <c r="AG237" s="106"/>
      <c r="AH237" s="281"/>
      <c r="AI237" s="282"/>
      <c r="AJ237" s="283"/>
      <c r="AK237" s="284"/>
      <c r="AM237" s="222"/>
      <c r="AN237" s="285"/>
      <c r="AO237" s="285"/>
      <c r="AQ237" s="286"/>
      <c r="AS237" s="222"/>
      <c r="AT237" s="337"/>
      <c r="AU237" s="285"/>
      <c r="AW237" s="288"/>
      <c r="AX237" s="106"/>
      <c r="AZ237" s="289"/>
    </row>
    <row r="238" spans="1:55" ht="41.25" customHeight="1" outlineLevel="1" x14ac:dyDescent="0.3">
      <c r="A238" s="264"/>
      <c r="B238" s="342"/>
      <c r="C238" s="265"/>
      <c r="D238" s="239"/>
      <c r="E238" s="239"/>
      <c r="F238" s="168"/>
      <c r="G238" s="266"/>
      <c r="H238" s="168"/>
      <c r="I238" s="168"/>
      <c r="J238" s="168"/>
      <c r="K238" s="121" t="s">
        <v>341</v>
      </c>
      <c r="L238" s="266" t="str">
        <f>VLOOKUP(K238,[6]материалы!$A$5:$G$31,5, FALSE)</f>
        <v>кг</v>
      </c>
      <c r="M238" s="168">
        <f>VLOOKUP(K238,[6]материалы!$A$5:$G$34,7, FALSE)</f>
        <v>125</v>
      </c>
      <c r="N238" s="168">
        <v>0.1</v>
      </c>
      <c r="O238" s="168">
        <f t="shared" si="169"/>
        <v>12.5</v>
      </c>
      <c r="P238" s="168"/>
      <c r="Q238" s="168"/>
      <c r="R238" s="268"/>
      <c r="S238" s="268"/>
      <c r="T238" s="268"/>
      <c r="U238" s="269"/>
      <c r="V238" s="336"/>
      <c r="W238" s="271"/>
      <c r="X238" s="272"/>
      <c r="Z238" s="273"/>
      <c r="AA238" s="58"/>
      <c r="AB238" s="275"/>
      <c r="AC238" s="276"/>
      <c r="AD238" s="277"/>
      <c r="AG238" s="106"/>
      <c r="AH238" s="281"/>
      <c r="AI238" s="282"/>
      <c r="AJ238" s="283"/>
      <c r="AK238" s="284"/>
      <c r="AM238" s="222"/>
      <c r="AN238" s="285"/>
      <c r="AO238" s="285"/>
      <c r="AQ238" s="286"/>
      <c r="AS238" s="222"/>
      <c r="AT238" s="337"/>
      <c r="AU238" s="285"/>
      <c r="AW238" s="288"/>
      <c r="AX238" s="106"/>
      <c r="AZ238" s="289"/>
    </row>
    <row r="239" spans="1:55" ht="36.75" customHeight="1" outlineLevel="1" x14ac:dyDescent="0.3">
      <c r="A239" s="264"/>
      <c r="B239" s="342"/>
      <c r="C239" s="265"/>
      <c r="D239" s="239"/>
      <c r="E239" s="239"/>
      <c r="F239" s="168"/>
      <c r="G239" s="266"/>
      <c r="H239" s="168"/>
      <c r="I239" s="168"/>
      <c r="J239" s="168"/>
      <c r="K239" s="121" t="s">
        <v>342</v>
      </c>
      <c r="L239" s="266" t="str">
        <f>VLOOKUP(K239,[6]материалы!$A$5:$G$31,5, FALSE)</f>
        <v>шт.</v>
      </c>
      <c r="M239" s="168">
        <f>VLOOKUP(K239,[6]материалы!$A$5:$G$34,7, FALSE)</f>
        <v>37.5</v>
      </c>
      <c r="N239" s="168">
        <v>0.25</v>
      </c>
      <c r="O239" s="168">
        <f t="shared" si="169"/>
        <v>9.3800000000000008</v>
      </c>
      <c r="P239" s="168"/>
      <c r="Q239" s="168"/>
      <c r="R239" s="268"/>
      <c r="S239" s="268"/>
      <c r="T239" s="268"/>
      <c r="U239" s="269"/>
      <c r="V239" s="336"/>
      <c r="W239" s="271"/>
      <c r="X239" s="272"/>
      <c r="Z239" s="273"/>
      <c r="AA239" s="58"/>
      <c r="AB239" s="275"/>
      <c r="AC239" s="276"/>
      <c r="AD239" s="277"/>
      <c r="AG239" s="106"/>
      <c r="AH239" s="281"/>
      <c r="AI239" s="282"/>
      <c r="AJ239" s="283"/>
      <c r="AK239" s="284"/>
      <c r="AM239" s="222"/>
      <c r="AN239" s="285"/>
      <c r="AO239" s="285"/>
      <c r="AQ239" s="286"/>
      <c r="AS239" s="222"/>
      <c r="AT239" s="337"/>
      <c r="AU239" s="285"/>
      <c r="AW239" s="288"/>
      <c r="AX239" s="106"/>
      <c r="AZ239" s="289"/>
    </row>
    <row r="240" spans="1:55" ht="28.5" customHeight="1" outlineLevel="1" x14ac:dyDescent="0.3">
      <c r="A240" s="264"/>
      <c r="B240" s="342"/>
      <c r="C240" s="265"/>
      <c r="D240" s="239"/>
      <c r="E240" s="239"/>
      <c r="F240" s="168"/>
      <c r="G240" s="266"/>
      <c r="H240" s="168"/>
      <c r="I240" s="168"/>
      <c r="J240" s="168"/>
      <c r="K240" s="121" t="s">
        <v>346</v>
      </c>
      <c r="L240" s="266" t="str">
        <f>VLOOKUP(K240,[6]материалы!$A$5:$G$31,5, FALSE)</f>
        <v>шт.</v>
      </c>
      <c r="M240" s="168">
        <f>VLOOKUP(K240,[6]материалы!$A$5:$G$34,7, FALSE)</f>
        <v>29.17</v>
      </c>
      <c r="N240" s="168">
        <v>1</v>
      </c>
      <c r="O240" s="168">
        <f t="shared" si="169"/>
        <v>29.17</v>
      </c>
      <c r="P240" s="168"/>
      <c r="Q240" s="168"/>
      <c r="R240" s="268"/>
      <c r="S240" s="268"/>
      <c r="T240" s="268"/>
      <c r="U240" s="269"/>
      <c r="V240" s="336"/>
      <c r="W240" s="271"/>
      <c r="X240" s="272"/>
      <c r="Z240" s="273"/>
      <c r="AA240" s="58"/>
      <c r="AB240" s="275"/>
      <c r="AC240" s="276"/>
      <c r="AD240" s="277"/>
      <c r="AG240" s="106"/>
      <c r="AH240" s="281"/>
      <c r="AI240" s="282"/>
      <c r="AJ240" s="283"/>
      <c r="AK240" s="284"/>
      <c r="AM240" s="222"/>
      <c r="AN240" s="285"/>
      <c r="AO240" s="285"/>
      <c r="AQ240" s="286"/>
      <c r="AS240" s="222"/>
      <c r="AT240" s="337"/>
      <c r="AU240" s="285"/>
      <c r="AW240" s="288"/>
      <c r="AX240" s="106"/>
      <c r="AZ240" s="289"/>
    </row>
    <row r="241" spans="1:55" ht="19.5" customHeight="1" outlineLevel="1" x14ac:dyDescent="0.3">
      <c r="A241" s="264"/>
      <c r="B241" s="342"/>
      <c r="C241" s="265"/>
      <c r="D241" s="239"/>
      <c r="E241" s="239"/>
      <c r="F241" s="168"/>
      <c r="G241" s="266"/>
      <c r="H241" s="168"/>
      <c r="I241" s="168"/>
      <c r="J241" s="168"/>
      <c r="K241" s="296" t="s">
        <v>329</v>
      </c>
      <c r="L241" s="266" t="str">
        <f>VLOOKUP(K241,[6]материалы!$A$5:$G$31,5, FALSE)</f>
        <v>кг</v>
      </c>
      <c r="M241" s="168">
        <f>VLOOKUP(K241,[6]материалы!$A$5:$G$34,7, FALSE)</f>
        <v>79.17</v>
      </c>
      <c r="N241" s="168">
        <v>1E-3</v>
      </c>
      <c r="O241" s="168">
        <f t="shared" si="169"/>
        <v>0.08</v>
      </c>
      <c r="P241" s="168"/>
      <c r="Q241" s="168"/>
      <c r="R241" s="268"/>
      <c r="S241" s="268"/>
      <c r="T241" s="268"/>
      <c r="U241" s="269"/>
      <c r="V241" s="336"/>
      <c r="W241" s="271"/>
      <c r="X241" s="272"/>
      <c r="Z241" s="273"/>
      <c r="AA241" s="58"/>
      <c r="AB241" s="275"/>
      <c r="AC241" s="276"/>
      <c r="AD241" s="277"/>
      <c r="AG241" s="106"/>
      <c r="AH241" s="281"/>
      <c r="AI241" s="282"/>
      <c r="AJ241" s="283"/>
      <c r="AK241" s="284"/>
      <c r="AM241" s="222"/>
      <c r="AN241" s="285"/>
      <c r="AO241" s="285"/>
      <c r="AQ241" s="286"/>
      <c r="AS241" s="222"/>
      <c r="AT241" s="337"/>
      <c r="AU241" s="285"/>
      <c r="AW241" s="288"/>
      <c r="AX241" s="106"/>
      <c r="AZ241" s="289"/>
    </row>
    <row r="242" spans="1:55" ht="19.5" customHeight="1" outlineLevel="1" x14ac:dyDescent="0.3">
      <c r="A242" s="264"/>
      <c r="B242" s="342"/>
      <c r="C242" s="265"/>
      <c r="D242" s="239"/>
      <c r="E242" s="239"/>
      <c r="F242" s="168"/>
      <c r="G242" s="266"/>
      <c r="H242" s="168"/>
      <c r="I242" s="168"/>
      <c r="J242" s="168"/>
      <c r="K242" s="296" t="s">
        <v>330</v>
      </c>
      <c r="L242" s="266" t="str">
        <f>VLOOKUP(K242,[6]материалы!$A$5:$G$31,5, FALSE)</f>
        <v>кг</v>
      </c>
      <c r="M242" s="168">
        <f>VLOOKUP(K242,[6]материалы!$A$5:$G$34,7, FALSE)</f>
        <v>66.67</v>
      </c>
      <c r="N242" s="168">
        <v>0.01</v>
      </c>
      <c r="O242" s="168">
        <f t="shared" si="169"/>
        <v>0.67</v>
      </c>
      <c r="P242" s="168"/>
      <c r="Q242" s="168"/>
      <c r="R242" s="268"/>
      <c r="S242" s="268"/>
      <c r="T242" s="268"/>
      <c r="U242" s="269"/>
      <c r="V242" s="336"/>
      <c r="W242" s="271"/>
      <c r="X242" s="272"/>
      <c r="Z242" s="273"/>
      <c r="AA242" s="58"/>
      <c r="AB242" s="275"/>
      <c r="AC242" s="276"/>
      <c r="AD242" s="277"/>
      <c r="AG242" s="106"/>
      <c r="AH242" s="281"/>
      <c r="AI242" s="282"/>
      <c r="AJ242" s="283"/>
      <c r="AK242" s="284"/>
      <c r="AM242" s="222"/>
      <c r="AN242" s="285"/>
      <c r="AO242" s="285"/>
      <c r="AQ242" s="286"/>
      <c r="AS242" s="222"/>
      <c r="AT242" s="337"/>
      <c r="AU242" s="285"/>
      <c r="AW242" s="288"/>
      <c r="AX242" s="106"/>
      <c r="AZ242" s="289"/>
    </row>
    <row r="243" spans="1:55" x14ac:dyDescent="0.3">
      <c r="A243" s="264" t="s">
        <v>469</v>
      </c>
      <c r="B243" s="264" t="s">
        <v>224</v>
      </c>
      <c r="C243" s="265" t="s">
        <v>231</v>
      </c>
      <c r="D243" s="168" t="s">
        <v>177</v>
      </c>
      <c r="E243" s="239" t="s">
        <v>162</v>
      </c>
      <c r="F243" s="168">
        <f>VLOOKUP(E243,'[6]условия, ФОТ'!$A$14:$I$32,9, FALSE)</f>
        <v>180.5</v>
      </c>
      <c r="G243" s="266">
        <v>0.5</v>
      </c>
      <c r="H243" s="168">
        <f t="shared" si="126"/>
        <v>90.25</v>
      </c>
      <c r="I243" s="168">
        <f t="shared" si="123"/>
        <v>27.26</v>
      </c>
      <c r="J243" s="168">
        <f t="shared" si="124"/>
        <v>117.51</v>
      </c>
      <c r="K243" s="267"/>
      <c r="L243" s="168"/>
      <c r="M243" s="168"/>
      <c r="N243" s="168"/>
      <c r="O243" s="168"/>
      <c r="P243" s="168">
        <f t="shared" si="129"/>
        <v>117.51</v>
      </c>
      <c r="Q243" s="168">
        <f t="shared" ref="Q243:Q334" si="170">ROUND(P243*$Q$5,2)</f>
        <v>78.14</v>
      </c>
      <c r="R243" s="268">
        <f>ROUND(T243/1.2,2)</f>
        <v>210.83</v>
      </c>
      <c r="S243" s="268">
        <f t="shared" ref="S243:S334" si="171">ROUND(R243*$S$5,2)</f>
        <v>42.17</v>
      </c>
      <c r="T243" s="268">
        <f t="shared" ref="T243:T293" si="172">ROUND((P243+Q243)*(1+AC243)*1.2,0)</f>
        <v>253</v>
      </c>
      <c r="U243" s="269">
        <v>210</v>
      </c>
      <c r="V243" s="336">
        <f t="shared" si="70"/>
        <v>20.476190476190467</v>
      </c>
      <c r="W243" s="271">
        <v>243</v>
      </c>
      <c r="X243" s="272">
        <f t="shared" si="150"/>
        <v>4.1152263374485614</v>
      </c>
      <c r="Y243" s="231">
        <v>217</v>
      </c>
      <c r="Z243" s="273">
        <v>1.042</v>
      </c>
      <c r="AA243" s="274">
        <f t="shared" ref="AA243:AA293" si="173">ROUND(W243*Z243,2)</f>
        <v>253.21</v>
      </c>
      <c r="AB243" s="275">
        <f t="shared" ref="AB243:AB293" si="174">ROUND((P243+Q243)*1.2,2)</f>
        <v>234.78</v>
      </c>
      <c r="AC243" s="276">
        <f t="shared" ref="AC243:AC293" si="175">ROUND((AA243/AB243)*100%-100%,4)</f>
        <v>7.85E-2</v>
      </c>
      <c r="AD243" s="277">
        <f t="shared" si="151"/>
        <v>18.430230000000002</v>
      </c>
      <c r="AF243" s="235">
        <v>224.37800000000001</v>
      </c>
      <c r="AG243" s="106">
        <v>243</v>
      </c>
      <c r="AH243" s="281">
        <f t="shared" si="152"/>
        <v>10</v>
      </c>
      <c r="AI243" s="282">
        <v>4.9399999999999999E-2</v>
      </c>
      <c r="AJ243" s="283">
        <f t="shared" si="153"/>
        <v>18.430230000000002</v>
      </c>
      <c r="AK243" s="284"/>
      <c r="AM243" s="222">
        <v>-2.9399999999999999E-2</v>
      </c>
      <c r="AN243" s="285">
        <f t="shared" si="154"/>
        <v>1.0294000000000001</v>
      </c>
      <c r="AO243" s="285">
        <v>1.0640000000000001</v>
      </c>
      <c r="AQ243" s="286">
        <f t="shared" si="162"/>
        <v>258.55</v>
      </c>
      <c r="AS243" s="222">
        <v>1.034</v>
      </c>
      <c r="AT243" s="337">
        <v>-2.9399999999999999E-2</v>
      </c>
      <c r="AU243" s="285">
        <f t="shared" si="155"/>
        <v>8.0000000000000071E-3</v>
      </c>
      <c r="AW243" s="288">
        <f t="shared" si="156"/>
        <v>0.1079</v>
      </c>
      <c r="AX243" s="106">
        <v>243</v>
      </c>
      <c r="AY243" s="127" t="b">
        <f t="shared" si="157"/>
        <v>1</v>
      </c>
      <c r="AZ243" s="289">
        <f t="shared" si="158"/>
        <v>-2.9080000000000004</v>
      </c>
      <c r="BC243">
        <f t="shared" si="159"/>
        <v>1.0409999999999999</v>
      </c>
    </row>
    <row r="244" spans="1:55" x14ac:dyDescent="0.3">
      <c r="A244" s="264" t="s">
        <v>471</v>
      </c>
      <c r="B244" s="264" t="s">
        <v>225</v>
      </c>
      <c r="C244" s="265" t="s">
        <v>61</v>
      </c>
      <c r="D244" s="168" t="s">
        <v>232</v>
      </c>
      <c r="E244" s="239" t="s">
        <v>162</v>
      </c>
      <c r="F244" s="168">
        <f>VLOOKUP(E244,'[6]условия, ФОТ'!$A$14:$I$32,9, FALSE)</f>
        <v>180.5</v>
      </c>
      <c r="G244" s="266">
        <v>1.1000000000000001</v>
      </c>
      <c r="H244" s="168">
        <f t="shared" si="126"/>
        <v>198.55</v>
      </c>
      <c r="I244" s="168">
        <f t="shared" si="123"/>
        <v>59.96</v>
      </c>
      <c r="J244" s="168">
        <f t="shared" si="124"/>
        <v>258.51</v>
      </c>
      <c r="K244" s="267"/>
      <c r="L244" s="168"/>
      <c r="M244" s="168"/>
      <c r="N244" s="168"/>
      <c r="O244" s="168"/>
      <c r="P244" s="168">
        <f t="shared" si="129"/>
        <v>258.51</v>
      </c>
      <c r="Q244" s="168">
        <f t="shared" si="170"/>
        <v>171.91</v>
      </c>
      <c r="R244" s="268">
        <f t="shared" ref="R244:R292" si="176">ROUND(T244/1.2,2)</f>
        <v>463.33</v>
      </c>
      <c r="S244" s="268">
        <f t="shared" si="171"/>
        <v>92.67</v>
      </c>
      <c r="T244" s="268">
        <f t="shared" si="172"/>
        <v>556</v>
      </c>
      <c r="U244" s="269">
        <v>462</v>
      </c>
      <c r="V244" s="336">
        <f t="shared" si="70"/>
        <v>20.346320346320354</v>
      </c>
      <c r="W244" s="271">
        <v>534</v>
      </c>
      <c r="X244" s="272">
        <f t="shared" si="150"/>
        <v>4.119850187265925</v>
      </c>
      <c r="Y244" s="231">
        <v>477</v>
      </c>
      <c r="Z244" s="273">
        <v>1.042</v>
      </c>
      <c r="AA244" s="274">
        <f t="shared" si="173"/>
        <v>556.42999999999995</v>
      </c>
      <c r="AB244" s="275">
        <f t="shared" si="174"/>
        <v>516.5</v>
      </c>
      <c r="AC244" s="276">
        <f t="shared" si="175"/>
        <v>7.7299999999999994E-2</v>
      </c>
      <c r="AD244" s="277">
        <f t="shared" si="151"/>
        <v>39.925449999999998</v>
      </c>
      <c r="AF244" s="235">
        <v>493.21800000000002</v>
      </c>
      <c r="AG244" s="106">
        <v>534</v>
      </c>
      <c r="AH244" s="281">
        <f t="shared" si="152"/>
        <v>22</v>
      </c>
      <c r="AI244" s="282">
        <v>4.9500000000000002E-2</v>
      </c>
      <c r="AJ244" s="283">
        <f t="shared" si="153"/>
        <v>39.925449999999998</v>
      </c>
      <c r="AK244" s="284"/>
      <c r="AM244" s="222">
        <v>-3.0200000000000001E-2</v>
      </c>
      <c r="AN244" s="285">
        <f t="shared" si="154"/>
        <v>1.0302</v>
      </c>
      <c r="AO244" s="285">
        <v>1.0649999999999999</v>
      </c>
      <c r="AQ244" s="286">
        <f t="shared" si="162"/>
        <v>568.71</v>
      </c>
      <c r="AS244" s="222">
        <v>1.034</v>
      </c>
      <c r="AT244" s="337">
        <v>-3.0200000000000001E-2</v>
      </c>
      <c r="AU244" s="285">
        <f t="shared" si="155"/>
        <v>8.0000000000000071E-3</v>
      </c>
      <c r="AW244" s="288">
        <f t="shared" si="156"/>
        <v>0.1075</v>
      </c>
      <c r="AX244" s="106">
        <v>534</v>
      </c>
      <c r="AY244" s="127" t="b">
        <f t="shared" si="157"/>
        <v>1</v>
      </c>
      <c r="AZ244" s="289">
        <f t="shared" si="158"/>
        <v>-2.9180000000000001</v>
      </c>
      <c r="BC244">
        <f t="shared" si="159"/>
        <v>1.0409999999999999</v>
      </c>
    </row>
    <row r="245" spans="1:55" x14ac:dyDescent="0.3">
      <c r="A245" s="264" t="s">
        <v>470</v>
      </c>
      <c r="B245" s="264" t="s">
        <v>233</v>
      </c>
      <c r="C245" s="265" t="s">
        <v>62</v>
      </c>
      <c r="D245" s="168" t="s">
        <v>190</v>
      </c>
      <c r="E245" s="239" t="s">
        <v>162</v>
      </c>
      <c r="F245" s="168">
        <f>VLOOKUP(E245,'[6]условия, ФОТ'!$A$14:$I$32,9, FALSE)</f>
        <v>180.5</v>
      </c>
      <c r="G245" s="266">
        <v>0.6</v>
      </c>
      <c r="H245" s="168">
        <f t="shared" si="126"/>
        <v>108.3</v>
      </c>
      <c r="I245" s="168">
        <f t="shared" si="123"/>
        <v>32.71</v>
      </c>
      <c r="J245" s="168">
        <f t="shared" si="124"/>
        <v>141.01</v>
      </c>
      <c r="K245" s="267"/>
      <c r="L245" s="168"/>
      <c r="M245" s="168"/>
      <c r="N245" s="168"/>
      <c r="O245" s="168"/>
      <c r="P245" s="168">
        <f t="shared" si="129"/>
        <v>141.01</v>
      </c>
      <c r="Q245" s="168">
        <f t="shared" si="170"/>
        <v>93.77</v>
      </c>
      <c r="R245" s="268">
        <f t="shared" si="176"/>
        <v>252.5</v>
      </c>
      <c r="S245" s="268">
        <f t="shared" si="171"/>
        <v>50.5</v>
      </c>
      <c r="T245" s="268">
        <f t="shared" si="172"/>
        <v>303</v>
      </c>
      <c r="U245" s="269">
        <v>252</v>
      </c>
      <c r="V245" s="336">
        <f t="shared" si="70"/>
        <v>20.238095238095227</v>
      </c>
      <c r="W245" s="271">
        <v>291</v>
      </c>
      <c r="X245" s="272">
        <f t="shared" si="150"/>
        <v>4.1237113402061993</v>
      </c>
      <c r="Y245" s="231">
        <v>260</v>
      </c>
      <c r="Z245" s="273">
        <v>1.042</v>
      </c>
      <c r="AA245" s="274">
        <f t="shared" si="173"/>
        <v>303.22000000000003</v>
      </c>
      <c r="AB245" s="275">
        <f t="shared" si="174"/>
        <v>281.74</v>
      </c>
      <c r="AC245" s="276">
        <f t="shared" si="175"/>
        <v>7.6200000000000004E-2</v>
      </c>
      <c r="AD245" s="277">
        <f t="shared" si="151"/>
        <v>21.468588</v>
      </c>
      <c r="AF245" s="235">
        <v>268.84000000000003</v>
      </c>
      <c r="AG245" s="106">
        <v>291</v>
      </c>
      <c r="AH245" s="281">
        <f t="shared" si="152"/>
        <v>12</v>
      </c>
      <c r="AI245" s="282">
        <v>4.9799999999999997E-2</v>
      </c>
      <c r="AJ245" s="283">
        <f t="shared" si="153"/>
        <v>21.468588</v>
      </c>
      <c r="AK245" s="284"/>
      <c r="AM245" s="222">
        <v>-3.0800000000000001E-2</v>
      </c>
      <c r="AN245" s="285">
        <f t="shared" si="154"/>
        <v>1.0307999999999999</v>
      </c>
      <c r="AO245" s="285">
        <v>1.0660000000000001</v>
      </c>
      <c r="AQ245" s="286">
        <f t="shared" si="162"/>
        <v>310.20999999999998</v>
      </c>
      <c r="AS245" s="222">
        <v>1.034</v>
      </c>
      <c r="AT245" s="337">
        <v>-3.0800000000000001E-2</v>
      </c>
      <c r="AU245" s="285">
        <f t="shared" si="155"/>
        <v>8.0000000000000071E-3</v>
      </c>
      <c r="AW245" s="288">
        <f t="shared" si="156"/>
        <v>0.10700000000000001</v>
      </c>
      <c r="AX245" s="106">
        <v>291</v>
      </c>
      <c r="AY245" s="127" t="b">
        <f t="shared" si="157"/>
        <v>1</v>
      </c>
      <c r="AZ245" s="289">
        <f t="shared" si="158"/>
        <v>-2.9180000000000001</v>
      </c>
      <c r="BC245">
        <f t="shared" si="159"/>
        <v>1.0409999999999999</v>
      </c>
    </row>
    <row r="246" spans="1:55" x14ac:dyDescent="0.3">
      <c r="A246" s="264" t="s">
        <v>472</v>
      </c>
      <c r="B246" s="264" t="s">
        <v>347</v>
      </c>
      <c r="C246" s="265" t="s">
        <v>63</v>
      </c>
      <c r="D246" s="168" t="s">
        <v>190</v>
      </c>
      <c r="E246" s="239" t="s">
        <v>162</v>
      </c>
      <c r="F246" s="168">
        <f>VLOOKUP(E246,'[6]условия, ФОТ'!$A$14:$I$32,9, FALSE)</f>
        <v>180.5</v>
      </c>
      <c r="G246" s="266">
        <v>1</v>
      </c>
      <c r="H246" s="168">
        <f t="shared" si="126"/>
        <v>180.5</v>
      </c>
      <c r="I246" s="168">
        <f t="shared" si="123"/>
        <v>54.51</v>
      </c>
      <c r="J246" s="168">
        <f t="shared" si="124"/>
        <v>235.01</v>
      </c>
      <c r="K246" s="267"/>
      <c r="L246" s="168"/>
      <c r="M246" s="168"/>
      <c r="N246" s="168"/>
      <c r="O246" s="168"/>
      <c r="P246" s="168">
        <f t="shared" si="129"/>
        <v>235.01</v>
      </c>
      <c r="Q246" s="168">
        <f t="shared" si="170"/>
        <v>156.28</v>
      </c>
      <c r="R246" s="268">
        <f t="shared" si="176"/>
        <v>420.83</v>
      </c>
      <c r="S246" s="268">
        <f t="shared" si="171"/>
        <v>84.17</v>
      </c>
      <c r="T246" s="268">
        <f t="shared" si="172"/>
        <v>505</v>
      </c>
      <c r="U246" s="269">
        <v>420</v>
      </c>
      <c r="V246" s="336">
        <f t="shared" si="70"/>
        <v>20.238095238095227</v>
      </c>
      <c r="W246" s="271">
        <v>485</v>
      </c>
      <c r="X246" s="272">
        <f t="shared" si="150"/>
        <v>4.1237113402061993</v>
      </c>
      <c r="Y246" s="231">
        <v>434</v>
      </c>
      <c r="Z246" s="273">
        <v>1.042</v>
      </c>
      <c r="AA246" s="274">
        <f t="shared" si="173"/>
        <v>505.37</v>
      </c>
      <c r="AB246" s="275">
        <f t="shared" si="174"/>
        <v>469.55</v>
      </c>
      <c r="AC246" s="276">
        <f t="shared" si="175"/>
        <v>7.6300000000000007E-2</v>
      </c>
      <c r="AD246" s="277">
        <f t="shared" si="151"/>
        <v>35.826665000000006</v>
      </c>
      <c r="AF246" s="235">
        <v>448.75600000000003</v>
      </c>
      <c r="AG246" s="106">
        <v>485</v>
      </c>
      <c r="AH246" s="281">
        <f t="shared" si="152"/>
        <v>20</v>
      </c>
      <c r="AI246" s="282">
        <v>4.9500000000000002E-2</v>
      </c>
      <c r="AJ246" s="283">
        <f t="shared" si="153"/>
        <v>35.826665000000006</v>
      </c>
      <c r="AK246" s="284"/>
      <c r="AM246" s="222">
        <v>-2.9399999999999999E-2</v>
      </c>
      <c r="AN246" s="285">
        <f t="shared" si="154"/>
        <v>1.0294000000000001</v>
      </c>
      <c r="AO246" s="285">
        <v>1.0640000000000001</v>
      </c>
      <c r="AQ246" s="286">
        <f t="shared" si="162"/>
        <v>516.04</v>
      </c>
      <c r="AS246" s="222">
        <v>1.034</v>
      </c>
      <c r="AT246" s="337">
        <v>-2.9399999999999999E-2</v>
      </c>
      <c r="AU246" s="285">
        <f t="shared" si="155"/>
        <v>8.0000000000000071E-3</v>
      </c>
      <c r="AW246" s="288">
        <f t="shared" si="156"/>
        <v>0.1057</v>
      </c>
      <c r="AX246" s="106">
        <v>485</v>
      </c>
      <c r="AY246" s="127" t="b">
        <f t="shared" si="157"/>
        <v>1</v>
      </c>
      <c r="AZ246" s="289">
        <f t="shared" si="158"/>
        <v>-2.9180000000000001</v>
      </c>
      <c r="BC246">
        <f t="shared" si="159"/>
        <v>1.0409999999999999</v>
      </c>
    </row>
    <row r="247" spans="1:55" x14ac:dyDescent="0.3">
      <c r="A247" s="264" t="s">
        <v>473</v>
      </c>
      <c r="B247" s="264" t="s">
        <v>234</v>
      </c>
      <c r="C247" s="265" t="s">
        <v>64</v>
      </c>
      <c r="D247" s="168" t="s">
        <v>236</v>
      </c>
      <c r="E247" s="239" t="s">
        <v>162</v>
      </c>
      <c r="F247" s="168">
        <f>VLOOKUP(E247,'[6]условия, ФОТ'!$A$14:$I$32,9, FALSE)</f>
        <v>180.5</v>
      </c>
      <c r="G247" s="266">
        <v>0.7</v>
      </c>
      <c r="H247" s="168">
        <f t="shared" si="126"/>
        <v>126.35</v>
      </c>
      <c r="I247" s="168">
        <f t="shared" si="123"/>
        <v>38.159999999999997</v>
      </c>
      <c r="J247" s="168">
        <f t="shared" si="124"/>
        <v>164.51</v>
      </c>
      <c r="K247" s="267"/>
      <c r="L247" s="168"/>
      <c r="M247" s="168"/>
      <c r="N247" s="168"/>
      <c r="O247" s="168"/>
      <c r="P247" s="168">
        <f t="shared" si="129"/>
        <v>164.51</v>
      </c>
      <c r="Q247" s="168">
        <f t="shared" si="170"/>
        <v>109.4</v>
      </c>
      <c r="R247" s="268">
        <f t="shared" si="176"/>
        <v>295</v>
      </c>
      <c r="S247" s="268">
        <f>ROUND(R247*$S$5,2)</f>
        <v>59</v>
      </c>
      <c r="T247" s="268">
        <f t="shared" si="172"/>
        <v>354</v>
      </c>
      <c r="U247" s="269">
        <v>294</v>
      </c>
      <c r="V247" s="336">
        <f t="shared" si="70"/>
        <v>20.408163265306129</v>
      </c>
      <c r="W247" s="271">
        <v>340</v>
      </c>
      <c r="X247" s="272">
        <f t="shared" si="150"/>
        <v>4.1176470588235361</v>
      </c>
      <c r="Y247" s="231">
        <v>304</v>
      </c>
      <c r="Z247" s="273">
        <v>1.042</v>
      </c>
      <c r="AA247" s="274">
        <f t="shared" si="173"/>
        <v>354.28</v>
      </c>
      <c r="AB247" s="275">
        <f t="shared" si="174"/>
        <v>328.69</v>
      </c>
      <c r="AC247" s="276">
        <f t="shared" si="175"/>
        <v>7.7899999999999997E-2</v>
      </c>
      <c r="AD247" s="277">
        <f t="shared" si="151"/>
        <v>25.604951</v>
      </c>
      <c r="AF247" s="235">
        <v>314.33600000000001</v>
      </c>
      <c r="AG247" s="106">
        <v>340</v>
      </c>
      <c r="AH247" s="281">
        <f t="shared" si="152"/>
        <v>14</v>
      </c>
      <c r="AI247" s="282">
        <v>4.9200000000000001E-2</v>
      </c>
      <c r="AJ247" s="283">
        <f t="shared" si="153"/>
        <v>25.604951</v>
      </c>
      <c r="AK247" s="284"/>
      <c r="AM247" s="222">
        <v>-2.87E-2</v>
      </c>
      <c r="AN247" s="285">
        <f t="shared" si="154"/>
        <v>1.0286999999999999</v>
      </c>
      <c r="AO247" s="285">
        <v>1.0640000000000001</v>
      </c>
      <c r="AQ247" s="286">
        <f t="shared" si="162"/>
        <v>361.76</v>
      </c>
      <c r="AS247" s="222">
        <v>1.034</v>
      </c>
      <c r="AT247" s="337">
        <v>-2.87E-2</v>
      </c>
      <c r="AU247" s="285">
        <f t="shared" si="155"/>
        <v>8.0000000000000071E-3</v>
      </c>
      <c r="AW247" s="288">
        <f t="shared" si="156"/>
        <v>0.1066</v>
      </c>
      <c r="AX247" s="106">
        <v>340</v>
      </c>
      <c r="AY247" s="127" t="b">
        <f t="shared" si="157"/>
        <v>1</v>
      </c>
      <c r="AZ247" s="289">
        <f t="shared" si="158"/>
        <v>-2.9080000000000004</v>
      </c>
      <c r="BC247">
        <f t="shared" si="159"/>
        <v>1.0409999999999999</v>
      </c>
    </row>
    <row r="248" spans="1:55" x14ac:dyDescent="0.3">
      <c r="A248" s="264" t="s">
        <v>474</v>
      </c>
      <c r="B248" s="264" t="s">
        <v>235</v>
      </c>
      <c r="C248" s="265" t="s">
        <v>65</v>
      </c>
      <c r="D248" s="168" t="s">
        <v>236</v>
      </c>
      <c r="E248" s="239" t="s">
        <v>162</v>
      </c>
      <c r="F248" s="168">
        <f>VLOOKUP(E248,'[6]условия, ФОТ'!$A$14:$I$32,9, FALSE)</f>
        <v>180.5</v>
      </c>
      <c r="G248" s="266">
        <v>0.4</v>
      </c>
      <c r="H248" s="168">
        <f t="shared" si="126"/>
        <v>72.2</v>
      </c>
      <c r="I248" s="168">
        <f t="shared" si="123"/>
        <v>21.8</v>
      </c>
      <c r="J248" s="168">
        <f t="shared" si="124"/>
        <v>94</v>
      </c>
      <c r="K248" s="267"/>
      <c r="L248" s="168"/>
      <c r="M248" s="168"/>
      <c r="N248" s="168"/>
      <c r="O248" s="168"/>
      <c r="P248" s="168">
        <f t="shared" si="129"/>
        <v>94</v>
      </c>
      <c r="Q248" s="168">
        <f t="shared" si="170"/>
        <v>62.51</v>
      </c>
      <c r="R248" s="268">
        <f t="shared" si="176"/>
        <v>168.33</v>
      </c>
      <c r="S248" s="268">
        <f t="shared" si="171"/>
        <v>33.67</v>
      </c>
      <c r="T248" s="268">
        <f t="shared" si="172"/>
        <v>202</v>
      </c>
      <c r="U248" s="269">
        <v>168</v>
      </c>
      <c r="V248" s="336">
        <f t="shared" si="70"/>
        <v>20.238095238095227</v>
      </c>
      <c r="W248" s="271">
        <v>194</v>
      </c>
      <c r="X248" s="272">
        <f t="shared" si="150"/>
        <v>4.1237113402061993</v>
      </c>
      <c r="Y248" s="231">
        <v>173</v>
      </c>
      <c r="Z248" s="273">
        <v>1.042</v>
      </c>
      <c r="AA248" s="274">
        <f t="shared" si="173"/>
        <v>202.15</v>
      </c>
      <c r="AB248" s="275">
        <f t="shared" si="174"/>
        <v>187.81</v>
      </c>
      <c r="AC248" s="276">
        <f t="shared" si="175"/>
        <v>7.6399999999999996E-2</v>
      </c>
      <c r="AD248" s="277">
        <f t="shared" si="151"/>
        <v>14.348683999999999</v>
      </c>
      <c r="AF248" s="235">
        <v>178.88200000000001</v>
      </c>
      <c r="AG248" s="106">
        <v>194</v>
      </c>
      <c r="AH248" s="281">
        <f t="shared" si="152"/>
        <v>8</v>
      </c>
      <c r="AI248" s="282">
        <v>4.9500000000000002E-2</v>
      </c>
      <c r="AJ248" s="283">
        <f t="shared" si="153"/>
        <v>14.348683999999999</v>
      </c>
      <c r="AK248" s="284"/>
      <c r="AM248" s="222">
        <v>-3.2899999999999999E-2</v>
      </c>
      <c r="AN248" s="285">
        <f t="shared" si="154"/>
        <v>1.0328999999999999</v>
      </c>
      <c r="AO248" s="285">
        <v>1.0680000000000001</v>
      </c>
      <c r="AQ248" s="286">
        <f t="shared" si="162"/>
        <v>207.19</v>
      </c>
      <c r="AS248" s="222">
        <v>1.034</v>
      </c>
      <c r="AT248" s="337">
        <v>-3.2899999999999999E-2</v>
      </c>
      <c r="AU248" s="285">
        <f t="shared" si="155"/>
        <v>8.0000000000000071E-3</v>
      </c>
      <c r="AW248" s="288">
        <f t="shared" si="156"/>
        <v>0.10929999999999999</v>
      </c>
      <c r="AX248" s="106">
        <v>194</v>
      </c>
      <c r="AY248" s="127" t="b">
        <f t="shared" si="157"/>
        <v>1</v>
      </c>
      <c r="AZ248" s="289">
        <f t="shared" si="158"/>
        <v>-2.9180000000000001</v>
      </c>
      <c r="BC248">
        <f t="shared" si="159"/>
        <v>1.0409999999999999</v>
      </c>
    </row>
    <row r="249" spans="1:55" ht="26.25" customHeight="1" x14ac:dyDescent="0.3">
      <c r="A249" s="264" t="s">
        <v>475</v>
      </c>
      <c r="B249" s="264" t="s">
        <v>237</v>
      </c>
      <c r="C249" s="265" t="s">
        <v>66</v>
      </c>
      <c r="D249" s="168" t="s">
        <v>238</v>
      </c>
      <c r="E249" s="239" t="s">
        <v>162</v>
      </c>
      <c r="F249" s="168">
        <f>VLOOKUP(E249,'[6]условия, ФОТ'!$A$14:$I$32,9, FALSE)</f>
        <v>180.5</v>
      </c>
      <c r="G249" s="266">
        <v>0.4</v>
      </c>
      <c r="H249" s="168">
        <f t="shared" si="126"/>
        <v>72.2</v>
      </c>
      <c r="I249" s="168">
        <f t="shared" si="123"/>
        <v>21.8</v>
      </c>
      <c r="J249" s="168">
        <f t="shared" si="124"/>
        <v>94</v>
      </c>
      <c r="K249" s="267"/>
      <c r="L249" s="168"/>
      <c r="M249" s="168"/>
      <c r="N249" s="168"/>
      <c r="O249" s="168"/>
      <c r="P249" s="168">
        <f t="shared" si="129"/>
        <v>94</v>
      </c>
      <c r="Q249" s="168">
        <f t="shared" si="170"/>
        <v>62.51</v>
      </c>
      <c r="R249" s="268">
        <f t="shared" si="176"/>
        <v>168.33</v>
      </c>
      <c r="S249" s="268">
        <f t="shared" si="171"/>
        <v>33.67</v>
      </c>
      <c r="T249" s="268">
        <f t="shared" si="172"/>
        <v>202</v>
      </c>
      <c r="U249" s="269">
        <v>168</v>
      </c>
      <c r="V249" s="336">
        <f t="shared" si="70"/>
        <v>20.238095238095227</v>
      </c>
      <c r="W249" s="271">
        <v>194</v>
      </c>
      <c r="X249" s="272">
        <f t="shared" si="150"/>
        <v>4.1237113402061993</v>
      </c>
      <c r="Y249" s="231">
        <v>173</v>
      </c>
      <c r="Z249" s="273">
        <v>1.042</v>
      </c>
      <c r="AA249" s="274">
        <f t="shared" si="173"/>
        <v>202.15</v>
      </c>
      <c r="AB249" s="275">
        <f t="shared" si="174"/>
        <v>187.81</v>
      </c>
      <c r="AC249" s="276">
        <f t="shared" si="175"/>
        <v>7.6399999999999996E-2</v>
      </c>
      <c r="AD249" s="277">
        <f t="shared" si="151"/>
        <v>14.348683999999999</v>
      </c>
      <c r="AF249" s="235">
        <v>178.88200000000001</v>
      </c>
      <c r="AG249" s="106">
        <v>194</v>
      </c>
      <c r="AH249" s="281">
        <f t="shared" si="152"/>
        <v>8</v>
      </c>
      <c r="AI249" s="282">
        <v>4.9500000000000002E-2</v>
      </c>
      <c r="AJ249" s="283">
        <f t="shared" si="153"/>
        <v>14.348683999999999</v>
      </c>
      <c r="AK249" s="284"/>
      <c r="AM249" s="222">
        <v>-3.2899999999999999E-2</v>
      </c>
      <c r="AN249" s="285">
        <f t="shared" si="154"/>
        <v>1.0328999999999999</v>
      </c>
      <c r="AO249" s="285">
        <v>1.0680000000000001</v>
      </c>
      <c r="AQ249" s="286">
        <f t="shared" si="162"/>
        <v>207.19</v>
      </c>
      <c r="AS249" s="222">
        <v>1.034</v>
      </c>
      <c r="AT249" s="337">
        <v>-3.2899999999999999E-2</v>
      </c>
      <c r="AU249" s="285">
        <f t="shared" si="155"/>
        <v>8.0000000000000071E-3</v>
      </c>
      <c r="AW249" s="288">
        <f t="shared" si="156"/>
        <v>0.10929999999999999</v>
      </c>
      <c r="AX249" s="106">
        <v>194</v>
      </c>
      <c r="AY249" s="127" t="b">
        <f t="shared" si="157"/>
        <v>1</v>
      </c>
      <c r="AZ249" s="289">
        <f t="shared" si="158"/>
        <v>-2.9180000000000001</v>
      </c>
      <c r="BC249">
        <f t="shared" si="159"/>
        <v>1.0409999999999999</v>
      </c>
    </row>
    <row r="250" spans="1:55" x14ac:dyDescent="0.3">
      <c r="A250" s="264" t="s">
        <v>476</v>
      </c>
      <c r="B250" s="264" t="s">
        <v>239</v>
      </c>
      <c r="C250" s="265" t="s">
        <v>67</v>
      </c>
      <c r="D250" s="168" t="s">
        <v>240</v>
      </c>
      <c r="E250" s="239" t="s">
        <v>162</v>
      </c>
      <c r="F250" s="168">
        <f>VLOOKUP(E250,'[6]условия, ФОТ'!$A$14:$I$32,9, FALSE)</f>
        <v>180.5</v>
      </c>
      <c r="G250" s="266">
        <v>0.24</v>
      </c>
      <c r="H250" s="168">
        <f t="shared" si="126"/>
        <v>43.32</v>
      </c>
      <c r="I250" s="168">
        <f t="shared" si="123"/>
        <v>13.08</v>
      </c>
      <c r="J250" s="168">
        <f t="shared" si="124"/>
        <v>56.4</v>
      </c>
      <c r="K250" s="267"/>
      <c r="L250" s="168"/>
      <c r="M250" s="168"/>
      <c r="N250" s="168"/>
      <c r="O250" s="168"/>
      <c r="P250" s="168">
        <f t="shared" si="129"/>
        <v>56.4</v>
      </c>
      <c r="Q250" s="168">
        <f t="shared" si="170"/>
        <v>37.51</v>
      </c>
      <c r="R250" s="268">
        <f t="shared" si="176"/>
        <v>100.83</v>
      </c>
      <c r="S250" s="268">
        <f t="shared" si="171"/>
        <v>20.170000000000002</v>
      </c>
      <c r="T250" s="268">
        <f t="shared" si="172"/>
        <v>121</v>
      </c>
      <c r="U250" s="269">
        <v>101</v>
      </c>
      <c r="V250" s="336">
        <f t="shared" si="70"/>
        <v>19.801980198019791</v>
      </c>
      <c r="W250" s="271">
        <v>116</v>
      </c>
      <c r="X250" s="272">
        <f t="shared" si="150"/>
        <v>4.3103448275862064</v>
      </c>
      <c r="Y250" s="231">
        <v>104</v>
      </c>
      <c r="Z250" s="273">
        <v>1.042</v>
      </c>
      <c r="AA250" s="274">
        <f t="shared" si="173"/>
        <v>120.87</v>
      </c>
      <c r="AB250" s="275">
        <f t="shared" si="174"/>
        <v>112.69</v>
      </c>
      <c r="AC250" s="276">
        <f t="shared" si="175"/>
        <v>7.2599999999999998E-2</v>
      </c>
      <c r="AD250" s="277">
        <f t="shared" si="151"/>
        <v>8.1812939999999994</v>
      </c>
      <c r="AF250" s="235">
        <v>107.536</v>
      </c>
      <c r="AG250" s="106">
        <v>116</v>
      </c>
      <c r="AH250" s="281">
        <f t="shared" si="152"/>
        <v>5</v>
      </c>
      <c r="AI250" s="282">
        <v>4.9700000000000001E-2</v>
      </c>
      <c r="AJ250" s="283">
        <f t="shared" si="153"/>
        <v>8.1812939999999994</v>
      </c>
      <c r="AK250" s="284"/>
      <c r="AM250" s="222">
        <v>-3.0800000000000001E-2</v>
      </c>
      <c r="AN250" s="285">
        <f t="shared" si="154"/>
        <v>1.0307999999999999</v>
      </c>
      <c r="AO250" s="285">
        <v>1.0660000000000001</v>
      </c>
      <c r="AQ250" s="286">
        <f t="shared" si="162"/>
        <v>123.66</v>
      </c>
      <c r="AS250" s="222">
        <v>1.034</v>
      </c>
      <c r="AT250" s="337">
        <v>-3.0800000000000001E-2</v>
      </c>
      <c r="AU250" s="285">
        <f t="shared" si="155"/>
        <v>8.0000000000000071E-3</v>
      </c>
      <c r="AW250" s="288">
        <f t="shared" si="156"/>
        <v>0.10339999999999999</v>
      </c>
      <c r="AX250" s="106">
        <v>116</v>
      </c>
      <c r="AY250" s="127" t="b">
        <f t="shared" si="157"/>
        <v>1</v>
      </c>
      <c r="AZ250" s="289">
        <f t="shared" si="158"/>
        <v>-3.0880000000000001</v>
      </c>
      <c r="BC250">
        <f t="shared" si="159"/>
        <v>1.0429999999999999</v>
      </c>
    </row>
    <row r="251" spans="1:55" ht="27" customHeight="1" x14ac:dyDescent="0.3">
      <c r="A251" s="264" t="s">
        <v>477</v>
      </c>
      <c r="B251" s="264" t="s">
        <v>241</v>
      </c>
      <c r="C251" s="265" t="s">
        <v>68</v>
      </c>
      <c r="D251" s="168" t="s">
        <v>190</v>
      </c>
      <c r="E251" s="239" t="s">
        <v>162</v>
      </c>
      <c r="F251" s="168">
        <f>VLOOKUP(E251,'[6]условия, ФОТ'!$A$14:$I$32,9, FALSE)</f>
        <v>180.5</v>
      </c>
      <c r="G251" s="266">
        <v>0.2</v>
      </c>
      <c r="H251" s="168">
        <f t="shared" si="126"/>
        <v>36.1</v>
      </c>
      <c r="I251" s="168">
        <f t="shared" si="123"/>
        <v>10.9</v>
      </c>
      <c r="J251" s="168">
        <f t="shared" si="124"/>
        <v>47</v>
      </c>
      <c r="K251" s="267"/>
      <c r="L251" s="168"/>
      <c r="M251" s="168"/>
      <c r="N251" s="168"/>
      <c r="O251" s="168"/>
      <c r="P251" s="168">
        <f t="shared" si="129"/>
        <v>47</v>
      </c>
      <c r="Q251" s="168">
        <f t="shared" si="170"/>
        <v>31.26</v>
      </c>
      <c r="R251" s="268">
        <f t="shared" si="176"/>
        <v>84.17</v>
      </c>
      <c r="S251" s="268">
        <f t="shared" si="171"/>
        <v>16.829999999999998</v>
      </c>
      <c r="T251" s="268">
        <f t="shared" si="172"/>
        <v>101</v>
      </c>
      <c r="U251" s="269">
        <v>84</v>
      </c>
      <c r="V251" s="336">
        <f t="shared" si="70"/>
        <v>20.238095238095227</v>
      </c>
      <c r="W251" s="271">
        <v>97</v>
      </c>
      <c r="X251" s="272">
        <f t="shared" si="150"/>
        <v>4.1237113402061993</v>
      </c>
      <c r="Y251" s="231">
        <v>87</v>
      </c>
      <c r="Z251" s="273">
        <v>1.042</v>
      </c>
      <c r="AA251" s="274">
        <f t="shared" si="173"/>
        <v>101.07</v>
      </c>
      <c r="AB251" s="275">
        <f t="shared" si="174"/>
        <v>93.91</v>
      </c>
      <c r="AC251" s="276">
        <f t="shared" si="175"/>
        <v>7.6200000000000004E-2</v>
      </c>
      <c r="AD251" s="277">
        <f t="shared" si="151"/>
        <v>7.1559420000000005</v>
      </c>
      <c r="AF251" s="235">
        <v>89.957999999999998</v>
      </c>
      <c r="AG251" s="106">
        <v>97</v>
      </c>
      <c r="AH251" s="281">
        <f t="shared" si="152"/>
        <v>4</v>
      </c>
      <c r="AI251" s="282">
        <v>4.9799999999999997E-2</v>
      </c>
      <c r="AJ251" s="283">
        <f t="shared" si="153"/>
        <v>7.1559420000000005</v>
      </c>
      <c r="AK251" s="284"/>
      <c r="AM251" s="222">
        <v>-2.7199999999999998E-2</v>
      </c>
      <c r="AN251" s="285">
        <f t="shared" si="154"/>
        <v>1.0271999999999999</v>
      </c>
      <c r="AO251" s="285">
        <v>1.0620000000000001</v>
      </c>
      <c r="AQ251" s="286">
        <f t="shared" si="162"/>
        <v>103.01</v>
      </c>
      <c r="AS251" s="222">
        <v>1.034</v>
      </c>
      <c r="AT251" s="337">
        <v>-2.7199999999999998E-2</v>
      </c>
      <c r="AU251" s="285">
        <f t="shared" si="155"/>
        <v>8.0000000000000071E-3</v>
      </c>
      <c r="AW251" s="288">
        <f t="shared" si="156"/>
        <v>0.10340000000000001</v>
      </c>
      <c r="AX251" s="106">
        <v>97</v>
      </c>
      <c r="AY251" s="127" t="b">
        <f t="shared" si="157"/>
        <v>1</v>
      </c>
      <c r="AZ251" s="289">
        <f t="shared" si="158"/>
        <v>-2.9180000000000001</v>
      </c>
      <c r="BC251">
        <f t="shared" si="159"/>
        <v>1.0409999999999999</v>
      </c>
    </row>
    <row r="252" spans="1:55" x14ac:dyDescent="0.3">
      <c r="A252" s="264" t="s">
        <v>478</v>
      </c>
      <c r="B252" s="264" t="s">
        <v>242</v>
      </c>
      <c r="C252" s="265" t="s">
        <v>69</v>
      </c>
      <c r="D252" s="168" t="s">
        <v>190</v>
      </c>
      <c r="E252" s="239" t="s">
        <v>162</v>
      </c>
      <c r="F252" s="168">
        <f>VLOOKUP(E252,'[6]условия, ФОТ'!$A$14:$I$32,9, FALSE)</f>
        <v>180.5</v>
      </c>
      <c r="G252" s="266">
        <v>0.25</v>
      </c>
      <c r="H252" s="168">
        <f t="shared" si="126"/>
        <v>45.13</v>
      </c>
      <c r="I252" s="168">
        <f t="shared" si="123"/>
        <v>13.63</v>
      </c>
      <c r="J252" s="168">
        <f t="shared" si="124"/>
        <v>58.760000000000005</v>
      </c>
      <c r="K252" s="267"/>
      <c r="L252" s="168"/>
      <c r="M252" s="168"/>
      <c r="N252" s="168"/>
      <c r="O252" s="168"/>
      <c r="P252" s="168">
        <f t="shared" si="129"/>
        <v>58.760000000000005</v>
      </c>
      <c r="Q252" s="168">
        <f t="shared" si="170"/>
        <v>39.08</v>
      </c>
      <c r="R252" s="268">
        <f t="shared" si="176"/>
        <v>105</v>
      </c>
      <c r="S252" s="268">
        <f t="shared" si="171"/>
        <v>21</v>
      </c>
      <c r="T252" s="268">
        <f t="shared" si="172"/>
        <v>126</v>
      </c>
      <c r="U252" s="269">
        <v>105</v>
      </c>
      <c r="V252" s="336">
        <f t="shared" si="70"/>
        <v>20</v>
      </c>
      <c r="W252" s="271">
        <v>121</v>
      </c>
      <c r="X252" s="272">
        <f t="shared" si="150"/>
        <v>4.1322314049586879</v>
      </c>
      <c r="Y252" s="231">
        <v>108</v>
      </c>
      <c r="Z252" s="273">
        <v>1.042</v>
      </c>
      <c r="AA252" s="274">
        <f t="shared" si="173"/>
        <v>126.08</v>
      </c>
      <c r="AB252" s="275">
        <f t="shared" si="174"/>
        <v>117.41</v>
      </c>
      <c r="AC252" s="276">
        <f t="shared" si="175"/>
        <v>7.3800000000000004E-2</v>
      </c>
      <c r="AD252" s="277">
        <f t="shared" si="151"/>
        <v>8.6648580000000006</v>
      </c>
      <c r="AF252" s="235">
        <v>111.672</v>
      </c>
      <c r="AG252" s="106">
        <v>121</v>
      </c>
      <c r="AH252" s="281">
        <f t="shared" si="152"/>
        <v>5</v>
      </c>
      <c r="AI252" s="282">
        <v>4.9099999999999998E-2</v>
      </c>
      <c r="AJ252" s="283">
        <f t="shared" si="153"/>
        <v>8.6648580000000006</v>
      </c>
      <c r="AK252" s="284"/>
      <c r="AM252" s="222">
        <v>-3.4000000000000002E-2</v>
      </c>
      <c r="AN252" s="285">
        <f t="shared" si="154"/>
        <v>1.034</v>
      </c>
      <c r="AO252" s="285">
        <v>1.069</v>
      </c>
      <c r="AQ252" s="286">
        <f t="shared" si="162"/>
        <v>129.35</v>
      </c>
      <c r="AS252" s="222">
        <v>1.034</v>
      </c>
      <c r="AT252" s="337">
        <v>-3.4000000000000002E-2</v>
      </c>
      <c r="AU252" s="285">
        <f t="shared" si="155"/>
        <v>8.0000000000000071E-3</v>
      </c>
      <c r="AW252" s="288">
        <f t="shared" si="156"/>
        <v>0.10780000000000001</v>
      </c>
      <c r="AX252" s="106">
        <v>121</v>
      </c>
      <c r="AY252" s="127" t="b">
        <f t="shared" si="157"/>
        <v>1</v>
      </c>
      <c r="AZ252" s="289">
        <f t="shared" si="158"/>
        <v>-2.9279999999999999</v>
      </c>
      <c r="BC252">
        <f t="shared" si="159"/>
        <v>1.0409999999999999</v>
      </c>
    </row>
    <row r="253" spans="1:55" x14ac:dyDescent="0.3">
      <c r="A253" s="264" t="s">
        <v>479</v>
      </c>
      <c r="B253" s="264" t="s">
        <v>243</v>
      </c>
      <c r="C253" s="265" t="s">
        <v>70</v>
      </c>
      <c r="D253" s="168" t="s">
        <v>244</v>
      </c>
      <c r="E253" s="239" t="s">
        <v>162</v>
      </c>
      <c r="F253" s="168">
        <f>VLOOKUP(E253,'[6]условия, ФОТ'!$A$14:$I$32,9, FALSE)</f>
        <v>180.5</v>
      </c>
      <c r="G253" s="266">
        <v>1</v>
      </c>
      <c r="H253" s="168">
        <f t="shared" si="126"/>
        <v>180.5</v>
      </c>
      <c r="I253" s="168">
        <f t="shared" si="123"/>
        <v>54.51</v>
      </c>
      <c r="J253" s="168">
        <f t="shared" si="124"/>
        <v>235.01</v>
      </c>
      <c r="K253" s="267"/>
      <c r="L253" s="168"/>
      <c r="M253" s="168"/>
      <c r="N253" s="168"/>
      <c r="O253" s="168"/>
      <c r="P253" s="168">
        <f t="shared" si="129"/>
        <v>235.01</v>
      </c>
      <c r="Q253" s="168">
        <f t="shared" si="170"/>
        <v>156.28</v>
      </c>
      <c r="R253" s="268">
        <f t="shared" si="176"/>
        <v>420.83</v>
      </c>
      <c r="S253" s="268">
        <f t="shared" si="171"/>
        <v>84.17</v>
      </c>
      <c r="T253" s="268">
        <f t="shared" si="172"/>
        <v>505</v>
      </c>
      <c r="U253" s="269">
        <v>420</v>
      </c>
      <c r="V253" s="336">
        <f t="shared" si="70"/>
        <v>20.238095238095227</v>
      </c>
      <c r="W253" s="271">
        <v>485</v>
      </c>
      <c r="X253" s="272">
        <f t="shared" si="150"/>
        <v>4.1237113402061993</v>
      </c>
      <c r="Y253" s="231">
        <v>434</v>
      </c>
      <c r="Z253" s="273">
        <v>1.042</v>
      </c>
      <c r="AA253" s="274">
        <f t="shared" si="173"/>
        <v>505.37</v>
      </c>
      <c r="AB253" s="275">
        <f t="shared" si="174"/>
        <v>469.55</v>
      </c>
      <c r="AC253" s="276">
        <f t="shared" si="175"/>
        <v>7.6300000000000007E-2</v>
      </c>
      <c r="AD253" s="277">
        <f t="shared" si="151"/>
        <v>35.826665000000006</v>
      </c>
      <c r="AF253" s="235">
        <v>448.75600000000003</v>
      </c>
      <c r="AG253" s="106">
        <v>485</v>
      </c>
      <c r="AH253" s="281">
        <f t="shared" si="152"/>
        <v>20</v>
      </c>
      <c r="AI253" s="282">
        <v>4.9500000000000002E-2</v>
      </c>
      <c r="AJ253" s="283">
        <f t="shared" si="153"/>
        <v>35.826665000000006</v>
      </c>
      <c r="AK253" s="284"/>
      <c r="AM253" s="222">
        <v>-2.9399999999999999E-2</v>
      </c>
      <c r="AN253" s="285">
        <f t="shared" si="154"/>
        <v>1.0294000000000001</v>
      </c>
      <c r="AO253" s="285">
        <v>1.0640000000000001</v>
      </c>
      <c r="AQ253" s="286">
        <f t="shared" si="162"/>
        <v>516.04</v>
      </c>
      <c r="AS253" s="222">
        <v>1.034</v>
      </c>
      <c r="AT253" s="337">
        <v>-2.9399999999999999E-2</v>
      </c>
      <c r="AU253" s="285">
        <f t="shared" si="155"/>
        <v>8.0000000000000071E-3</v>
      </c>
      <c r="AW253" s="288">
        <f t="shared" si="156"/>
        <v>0.1057</v>
      </c>
      <c r="AX253" s="106">
        <v>485</v>
      </c>
      <c r="AY253" s="127" t="b">
        <f t="shared" si="157"/>
        <v>1</v>
      </c>
      <c r="AZ253" s="289">
        <f t="shared" si="158"/>
        <v>-2.9180000000000001</v>
      </c>
      <c r="BC253">
        <f t="shared" si="159"/>
        <v>1.0409999999999999</v>
      </c>
    </row>
    <row r="254" spans="1:55" x14ac:dyDescent="0.3">
      <c r="A254" s="264" t="s">
        <v>480</v>
      </c>
      <c r="B254" s="264" t="s">
        <v>246</v>
      </c>
      <c r="C254" s="265" t="s">
        <v>71</v>
      </c>
      <c r="D254" s="168" t="s">
        <v>180</v>
      </c>
      <c r="E254" s="239" t="s">
        <v>162</v>
      </c>
      <c r="F254" s="168">
        <f>VLOOKUP(E254,'[6]условия, ФОТ'!$A$14:$I$32,9, FALSE)</f>
        <v>180.5</v>
      </c>
      <c r="G254" s="266">
        <v>0.54</v>
      </c>
      <c r="H254" s="168">
        <f t="shared" si="126"/>
        <v>97.47</v>
      </c>
      <c r="I254" s="168">
        <f t="shared" si="123"/>
        <v>29.44</v>
      </c>
      <c r="J254" s="168">
        <f t="shared" si="124"/>
        <v>126.91</v>
      </c>
      <c r="K254" s="267"/>
      <c r="L254" s="168"/>
      <c r="M254" s="168"/>
      <c r="N254" s="168"/>
      <c r="O254" s="168"/>
      <c r="P254" s="168">
        <f t="shared" si="129"/>
        <v>126.91</v>
      </c>
      <c r="Q254" s="168">
        <f t="shared" si="170"/>
        <v>84.4</v>
      </c>
      <c r="R254" s="268">
        <f t="shared" si="176"/>
        <v>227.5</v>
      </c>
      <c r="S254" s="268">
        <f t="shared" si="171"/>
        <v>45.5</v>
      </c>
      <c r="T254" s="268">
        <f t="shared" si="172"/>
        <v>273</v>
      </c>
      <c r="U254" s="269">
        <v>227</v>
      </c>
      <c r="V254" s="336">
        <f t="shared" si="70"/>
        <v>20.264317180616743</v>
      </c>
      <c r="W254" s="271">
        <v>262</v>
      </c>
      <c r="X254" s="272">
        <f t="shared" si="150"/>
        <v>4.198473282442734</v>
      </c>
      <c r="Y254" s="231">
        <v>234</v>
      </c>
      <c r="Z254" s="273">
        <v>1.042</v>
      </c>
      <c r="AA254" s="274">
        <f t="shared" si="173"/>
        <v>273</v>
      </c>
      <c r="AB254" s="275">
        <f t="shared" si="174"/>
        <v>253.57</v>
      </c>
      <c r="AC254" s="276">
        <f t="shared" si="175"/>
        <v>7.6600000000000001E-2</v>
      </c>
      <c r="AD254" s="277">
        <f t="shared" si="151"/>
        <v>19.423462000000001</v>
      </c>
      <c r="AF254" s="235">
        <v>241.95600000000002</v>
      </c>
      <c r="AG254" s="106">
        <v>262</v>
      </c>
      <c r="AH254" s="281">
        <f t="shared" si="152"/>
        <v>11</v>
      </c>
      <c r="AI254" s="282">
        <v>4.9700000000000001E-2</v>
      </c>
      <c r="AJ254" s="283">
        <f t="shared" si="153"/>
        <v>19.423462000000001</v>
      </c>
      <c r="AK254" s="284"/>
      <c r="AM254" s="222">
        <v>-3.0800000000000001E-2</v>
      </c>
      <c r="AN254" s="285">
        <f t="shared" si="154"/>
        <v>1.0307999999999999</v>
      </c>
      <c r="AO254" s="285">
        <v>1.0660000000000001</v>
      </c>
      <c r="AQ254" s="286">
        <f t="shared" si="162"/>
        <v>279.29000000000002</v>
      </c>
      <c r="AS254" s="222">
        <v>1.034</v>
      </c>
      <c r="AT254" s="337">
        <v>-3.0800000000000001E-2</v>
      </c>
      <c r="AU254" s="285">
        <f t="shared" si="155"/>
        <v>8.0000000000000071E-3</v>
      </c>
      <c r="AW254" s="288">
        <f t="shared" si="156"/>
        <v>0.1074</v>
      </c>
      <c r="AX254" s="106">
        <v>262</v>
      </c>
      <c r="AY254" s="127" t="b">
        <f t="shared" si="157"/>
        <v>1</v>
      </c>
      <c r="AZ254" s="289">
        <f t="shared" si="158"/>
        <v>-2.9880000000000004</v>
      </c>
      <c r="BC254">
        <f t="shared" si="159"/>
        <v>1.042</v>
      </c>
    </row>
    <row r="255" spans="1:55" x14ac:dyDescent="0.3">
      <c r="A255" s="264" t="s">
        <v>481</v>
      </c>
      <c r="B255" s="264" t="s">
        <v>246</v>
      </c>
      <c r="C255" s="265" t="s">
        <v>72</v>
      </c>
      <c r="D255" s="168" t="s">
        <v>247</v>
      </c>
      <c r="E255" s="239" t="s">
        <v>162</v>
      </c>
      <c r="F255" s="168">
        <f>VLOOKUP(E255,'[6]условия, ФОТ'!$A$14:$I$32,9, FALSE)</f>
        <v>180.5</v>
      </c>
      <c r="G255" s="266">
        <f>0.11*13</f>
        <v>1.43</v>
      </c>
      <c r="H255" s="168">
        <f t="shared" si="126"/>
        <v>258.12</v>
      </c>
      <c r="I255" s="168">
        <f t="shared" si="123"/>
        <v>77.95</v>
      </c>
      <c r="J255" s="168">
        <f t="shared" si="124"/>
        <v>336.07</v>
      </c>
      <c r="K255" s="267"/>
      <c r="L255" s="168"/>
      <c r="M255" s="168"/>
      <c r="N255" s="168"/>
      <c r="O255" s="168"/>
      <c r="P255" s="168">
        <f t="shared" si="129"/>
        <v>336.07</v>
      </c>
      <c r="Q255" s="168">
        <f t="shared" si="170"/>
        <v>223.49</v>
      </c>
      <c r="R255" s="268">
        <f t="shared" si="176"/>
        <v>602.5</v>
      </c>
      <c r="S255" s="268">
        <f t="shared" si="171"/>
        <v>120.5</v>
      </c>
      <c r="T255" s="268">
        <f t="shared" si="172"/>
        <v>723</v>
      </c>
      <c r="U255" s="269">
        <v>601</v>
      </c>
      <c r="V255" s="336">
        <f t="shared" si="70"/>
        <v>20.299500831946759</v>
      </c>
      <c r="W255" s="271">
        <v>694</v>
      </c>
      <c r="X255" s="272">
        <f t="shared" si="150"/>
        <v>4.1786743515850162</v>
      </c>
      <c r="Y255" s="231">
        <v>620</v>
      </c>
      <c r="Z255" s="273">
        <v>1.042</v>
      </c>
      <c r="AA255" s="274">
        <f t="shared" si="173"/>
        <v>723.15</v>
      </c>
      <c r="AB255" s="275">
        <f t="shared" si="174"/>
        <v>671.47</v>
      </c>
      <c r="AC255" s="276">
        <f t="shared" si="175"/>
        <v>7.6999999999999999E-2</v>
      </c>
      <c r="AD255" s="277">
        <f t="shared" si="151"/>
        <v>51.703189999999999</v>
      </c>
      <c r="AF255" s="235">
        <v>641.08000000000004</v>
      </c>
      <c r="AG255" s="106">
        <v>694</v>
      </c>
      <c r="AH255" s="281">
        <f t="shared" si="152"/>
        <v>29</v>
      </c>
      <c r="AI255" s="282">
        <v>4.9299999999999997E-2</v>
      </c>
      <c r="AJ255" s="283">
        <f t="shared" si="153"/>
        <v>51.703189999999999</v>
      </c>
      <c r="AK255" s="284"/>
      <c r="AM255" s="222">
        <v>-3.04E-2</v>
      </c>
      <c r="AN255" s="285">
        <f t="shared" si="154"/>
        <v>1.0304</v>
      </c>
      <c r="AO255" s="285">
        <v>1.0649999999999999</v>
      </c>
      <c r="AQ255" s="286">
        <f t="shared" si="162"/>
        <v>739.11</v>
      </c>
      <c r="AS255" s="222">
        <v>1.034</v>
      </c>
      <c r="AT255" s="337">
        <v>-3.04E-2</v>
      </c>
      <c r="AU255" s="285">
        <f t="shared" si="155"/>
        <v>8.0000000000000071E-3</v>
      </c>
      <c r="AW255" s="288">
        <f t="shared" si="156"/>
        <v>0.1074</v>
      </c>
      <c r="AX255" s="106">
        <v>694</v>
      </c>
      <c r="AY255" s="127" t="b">
        <f t="shared" si="157"/>
        <v>1</v>
      </c>
      <c r="AZ255" s="289">
        <f t="shared" si="158"/>
        <v>-2.968</v>
      </c>
      <c r="BC255">
        <f t="shared" si="159"/>
        <v>1.042</v>
      </c>
    </row>
    <row r="256" spans="1:55" ht="36.950000000000003" customHeight="1" x14ac:dyDescent="0.3">
      <c r="A256" s="264" t="s">
        <v>482</v>
      </c>
      <c r="B256" s="264" t="s">
        <v>248</v>
      </c>
      <c r="C256" s="265" t="s">
        <v>73</v>
      </c>
      <c r="D256" s="168" t="s">
        <v>184</v>
      </c>
      <c r="E256" s="239" t="s">
        <v>162</v>
      </c>
      <c r="F256" s="168">
        <f>VLOOKUP(E256,'[6]условия, ФОТ'!$A$14:$I$32,9, FALSE)</f>
        <v>180.5</v>
      </c>
      <c r="G256" s="266">
        <v>0.5</v>
      </c>
      <c r="H256" s="168">
        <f t="shared" si="126"/>
        <v>90.25</v>
      </c>
      <c r="I256" s="168">
        <f t="shared" si="123"/>
        <v>27.26</v>
      </c>
      <c r="J256" s="168">
        <f t="shared" si="124"/>
        <v>117.51</v>
      </c>
      <c r="K256" s="267"/>
      <c r="L256" s="168"/>
      <c r="M256" s="168"/>
      <c r="N256" s="168"/>
      <c r="O256" s="168"/>
      <c r="P256" s="168">
        <f t="shared" si="129"/>
        <v>117.51</v>
      </c>
      <c r="Q256" s="168">
        <f t="shared" si="170"/>
        <v>78.14</v>
      </c>
      <c r="R256" s="268">
        <f t="shared" si="176"/>
        <v>210.83</v>
      </c>
      <c r="S256" s="268">
        <f t="shared" si="171"/>
        <v>42.17</v>
      </c>
      <c r="T256" s="268">
        <f t="shared" si="172"/>
        <v>253</v>
      </c>
      <c r="U256" s="269">
        <v>210</v>
      </c>
      <c r="V256" s="336">
        <f t="shared" si="70"/>
        <v>20.476190476190467</v>
      </c>
      <c r="W256" s="271">
        <v>243</v>
      </c>
      <c r="X256" s="272">
        <f t="shared" si="150"/>
        <v>4.1152263374485614</v>
      </c>
      <c r="Y256" s="231">
        <v>217</v>
      </c>
      <c r="Z256" s="273">
        <v>1.042</v>
      </c>
      <c r="AA256" s="274">
        <f t="shared" si="173"/>
        <v>253.21</v>
      </c>
      <c r="AB256" s="275">
        <f t="shared" si="174"/>
        <v>234.78</v>
      </c>
      <c r="AC256" s="276">
        <f t="shared" si="175"/>
        <v>7.85E-2</v>
      </c>
      <c r="AD256" s="277">
        <f t="shared" si="151"/>
        <v>18.430230000000002</v>
      </c>
      <c r="AF256" s="235">
        <v>224.37800000000001</v>
      </c>
      <c r="AG256" s="106">
        <v>243</v>
      </c>
      <c r="AH256" s="281">
        <f t="shared" si="152"/>
        <v>10</v>
      </c>
      <c r="AI256" s="282">
        <v>4.9399999999999999E-2</v>
      </c>
      <c r="AJ256" s="283">
        <f t="shared" si="153"/>
        <v>18.430230000000002</v>
      </c>
      <c r="AK256" s="284"/>
      <c r="AM256" s="222">
        <v>-2.9399999999999999E-2</v>
      </c>
      <c r="AN256" s="285">
        <f t="shared" si="154"/>
        <v>1.0294000000000001</v>
      </c>
      <c r="AO256" s="285">
        <v>1.0640000000000001</v>
      </c>
      <c r="AQ256" s="286">
        <f t="shared" si="162"/>
        <v>258.55</v>
      </c>
      <c r="AS256" s="222">
        <v>1.034</v>
      </c>
      <c r="AT256" s="337">
        <v>-2.9399999999999999E-2</v>
      </c>
      <c r="AU256" s="285">
        <f t="shared" si="155"/>
        <v>8.0000000000000071E-3</v>
      </c>
      <c r="AW256" s="288">
        <f t="shared" si="156"/>
        <v>0.1079</v>
      </c>
      <c r="AX256" s="106">
        <v>243</v>
      </c>
      <c r="AY256" s="127" t="b">
        <f t="shared" si="157"/>
        <v>1</v>
      </c>
      <c r="AZ256" s="289">
        <f t="shared" si="158"/>
        <v>-2.9080000000000004</v>
      </c>
      <c r="BC256">
        <f t="shared" si="159"/>
        <v>1.0409999999999999</v>
      </c>
    </row>
    <row r="257" spans="1:55" x14ac:dyDescent="0.3">
      <c r="A257" s="264" t="s">
        <v>483</v>
      </c>
      <c r="B257" s="264" t="s">
        <v>249</v>
      </c>
      <c r="C257" s="265" t="s">
        <v>74</v>
      </c>
      <c r="D257" s="168" t="s">
        <v>184</v>
      </c>
      <c r="E257" s="239" t="s">
        <v>162</v>
      </c>
      <c r="F257" s="168">
        <f>VLOOKUP(E257,'[6]условия, ФОТ'!$A$14:$I$32,9, FALSE)</f>
        <v>180.5</v>
      </c>
      <c r="G257" s="266">
        <v>0.67</v>
      </c>
      <c r="H257" s="168">
        <f t="shared" si="126"/>
        <v>120.94</v>
      </c>
      <c r="I257" s="168">
        <f t="shared" si="123"/>
        <v>36.520000000000003</v>
      </c>
      <c r="J257" s="168">
        <f t="shared" si="124"/>
        <v>157.46</v>
      </c>
      <c r="K257" s="267"/>
      <c r="L257" s="168"/>
      <c r="M257" s="168"/>
      <c r="N257" s="168"/>
      <c r="O257" s="168"/>
      <c r="P257" s="168">
        <f t="shared" si="129"/>
        <v>157.46</v>
      </c>
      <c r="Q257" s="168">
        <f t="shared" si="170"/>
        <v>104.71</v>
      </c>
      <c r="R257" s="268">
        <f t="shared" si="176"/>
        <v>282.5</v>
      </c>
      <c r="S257" s="268">
        <f>ROUND(R257*$S$5,2)</f>
        <v>56.5</v>
      </c>
      <c r="T257" s="268">
        <f t="shared" si="172"/>
        <v>339</v>
      </c>
      <c r="U257" s="269">
        <v>282</v>
      </c>
      <c r="V257" s="336">
        <f t="shared" si="70"/>
        <v>20.212765957446805</v>
      </c>
      <c r="W257" s="271">
        <v>325</v>
      </c>
      <c r="X257" s="272">
        <f t="shared" si="150"/>
        <v>4.3076923076923066</v>
      </c>
      <c r="Y257" s="231">
        <v>291</v>
      </c>
      <c r="Z257" s="273">
        <v>1.042</v>
      </c>
      <c r="AA257" s="274">
        <f t="shared" si="173"/>
        <v>338.65</v>
      </c>
      <c r="AB257" s="275">
        <f t="shared" si="174"/>
        <v>314.60000000000002</v>
      </c>
      <c r="AC257" s="276">
        <f t="shared" si="175"/>
        <v>7.6399999999999996E-2</v>
      </c>
      <c r="AD257" s="277">
        <f t="shared" si="151"/>
        <v>24.035440000000001</v>
      </c>
      <c r="AF257" s="235">
        <v>300.89400000000001</v>
      </c>
      <c r="AG257" s="106">
        <v>325</v>
      </c>
      <c r="AH257" s="281">
        <f t="shared" si="152"/>
        <v>14</v>
      </c>
      <c r="AI257" s="282">
        <v>4.9299999999999997E-2</v>
      </c>
      <c r="AJ257" s="283">
        <f t="shared" si="153"/>
        <v>24.035440000000001</v>
      </c>
      <c r="AK257" s="284"/>
      <c r="AM257" s="222">
        <v>-2.87E-2</v>
      </c>
      <c r="AN257" s="285">
        <f t="shared" si="154"/>
        <v>1.0286999999999999</v>
      </c>
      <c r="AO257" s="285">
        <v>1.0640000000000001</v>
      </c>
      <c r="AQ257" s="286">
        <f t="shared" si="162"/>
        <v>345.8</v>
      </c>
      <c r="AS257" s="222">
        <v>1.034</v>
      </c>
      <c r="AT257" s="337">
        <v>-2.87E-2</v>
      </c>
      <c r="AU257" s="285">
        <f t="shared" si="155"/>
        <v>8.0000000000000071E-3</v>
      </c>
      <c r="AW257" s="288">
        <f t="shared" si="156"/>
        <v>0.1051</v>
      </c>
      <c r="AX257" s="106">
        <v>325</v>
      </c>
      <c r="AY257" s="127" t="b">
        <f t="shared" si="157"/>
        <v>1</v>
      </c>
      <c r="AZ257" s="289">
        <f t="shared" si="158"/>
        <v>-3.0880000000000001</v>
      </c>
      <c r="BC257">
        <f t="shared" si="159"/>
        <v>1.0429999999999999</v>
      </c>
    </row>
    <row r="258" spans="1:55" x14ac:dyDescent="0.3">
      <c r="A258" s="264" t="s">
        <v>484</v>
      </c>
      <c r="B258" s="264" t="s">
        <v>250</v>
      </c>
      <c r="C258" s="265" t="s">
        <v>75</v>
      </c>
      <c r="D258" s="168" t="s">
        <v>184</v>
      </c>
      <c r="E258" s="239" t="s">
        <v>162</v>
      </c>
      <c r="F258" s="168">
        <f>VLOOKUP(E258,'[6]условия, ФОТ'!$A$14:$I$32,9, FALSE)</f>
        <v>180.5</v>
      </c>
      <c r="G258" s="266">
        <v>0.24</v>
      </c>
      <c r="H258" s="168">
        <f t="shared" si="126"/>
        <v>43.32</v>
      </c>
      <c r="I258" s="168">
        <f t="shared" si="123"/>
        <v>13.08</v>
      </c>
      <c r="J258" s="168">
        <f t="shared" si="124"/>
        <v>56.4</v>
      </c>
      <c r="K258" s="267"/>
      <c r="L258" s="168"/>
      <c r="M258" s="168"/>
      <c r="N258" s="168"/>
      <c r="O258" s="168"/>
      <c r="P258" s="168">
        <f t="shared" si="129"/>
        <v>56.4</v>
      </c>
      <c r="Q258" s="168">
        <f t="shared" si="170"/>
        <v>37.51</v>
      </c>
      <c r="R258" s="268">
        <f t="shared" si="176"/>
        <v>100.83</v>
      </c>
      <c r="S258" s="268">
        <f t="shared" si="171"/>
        <v>20.170000000000002</v>
      </c>
      <c r="T258" s="268">
        <f t="shared" si="172"/>
        <v>121</v>
      </c>
      <c r="U258" s="269">
        <v>101</v>
      </c>
      <c r="V258" s="336">
        <f t="shared" si="70"/>
        <v>19.801980198019791</v>
      </c>
      <c r="W258" s="271">
        <v>116</v>
      </c>
      <c r="X258" s="272">
        <f t="shared" si="150"/>
        <v>4.3103448275862064</v>
      </c>
      <c r="Y258" s="231">
        <v>104</v>
      </c>
      <c r="Z258" s="273">
        <v>1.042</v>
      </c>
      <c r="AA258" s="274">
        <f t="shared" si="173"/>
        <v>120.87</v>
      </c>
      <c r="AB258" s="275">
        <f t="shared" si="174"/>
        <v>112.69</v>
      </c>
      <c r="AC258" s="276">
        <f t="shared" si="175"/>
        <v>7.2599999999999998E-2</v>
      </c>
      <c r="AD258" s="277">
        <f t="shared" si="151"/>
        <v>8.1812939999999994</v>
      </c>
      <c r="AF258" s="235">
        <v>107.536</v>
      </c>
      <c r="AG258" s="106">
        <v>116</v>
      </c>
      <c r="AH258" s="281">
        <f t="shared" si="152"/>
        <v>5</v>
      </c>
      <c r="AI258" s="282">
        <v>4.9700000000000001E-2</v>
      </c>
      <c r="AJ258" s="283">
        <f t="shared" si="153"/>
        <v>8.1812939999999994</v>
      </c>
      <c r="AK258" s="284"/>
      <c r="AM258" s="222">
        <v>-3.0800000000000001E-2</v>
      </c>
      <c r="AN258" s="285">
        <f t="shared" si="154"/>
        <v>1.0307999999999999</v>
      </c>
      <c r="AO258" s="285">
        <v>1.0660000000000001</v>
      </c>
      <c r="AQ258" s="286">
        <f t="shared" si="162"/>
        <v>123.66</v>
      </c>
      <c r="AS258" s="222">
        <v>1.034</v>
      </c>
      <c r="AT258" s="337">
        <v>-3.0800000000000001E-2</v>
      </c>
      <c r="AU258" s="285">
        <f t="shared" si="155"/>
        <v>8.0000000000000071E-3</v>
      </c>
      <c r="AW258" s="288">
        <f t="shared" si="156"/>
        <v>0.10339999999999999</v>
      </c>
      <c r="AX258" s="106">
        <v>116</v>
      </c>
      <c r="AY258" s="127" t="b">
        <f t="shared" si="157"/>
        <v>1</v>
      </c>
      <c r="AZ258" s="289">
        <f t="shared" si="158"/>
        <v>-3.0880000000000001</v>
      </c>
      <c r="BC258">
        <f t="shared" si="159"/>
        <v>1.0429999999999999</v>
      </c>
    </row>
    <row r="259" spans="1:55" x14ac:dyDescent="0.3">
      <c r="A259" s="264" t="s">
        <v>485</v>
      </c>
      <c r="B259" s="264" t="s">
        <v>251</v>
      </c>
      <c r="C259" s="265" t="s">
        <v>76</v>
      </c>
      <c r="D259" s="168" t="s">
        <v>245</v>
      </c>
      <c r="E259" s="239" t="s">
        <v>162</v>
      </c>
      <c r="F259" s="168">
        <f>VLOOKUP(E259,'[6]условия, ФОТ'!$A$14:$I$32,9, FALSE)</f>
        <v>180.5</v>
      </c>
      <c r="G259" s="266">
        <v>0.51</v>
      </c>
      <c r="H259" s="168">
        <f t="shared" ref="H259:H334" si="177">ROUND(F259*G259,2)</f>
        <v>92.06</v>
      </c>
      <c r="I259" s="168">
        <f t="shared" si="123"/>
        <v>27.8</v>
      </c>
      <c r="J259" s="168">
        <f t="shared" ref="J259:J334" si="178">H259+I259</f>
        <v>119.86</v>
      </c>
      <c r="K259" s="267"/>
      <c r="L259" s="168"/>
      <c r="M259" s="168"/>
      <c r="N259" s="168"/>
      <c r="O259" s="168"/>
      <c r="P259" s="168">
        <f t="shared" ref="P259:P334" si="179">J259+O259</f>
        <v>119.86</v>
      </c>
      <c r="Q259" s="168">
        <f t="shared" si="170"/>
        <v>79.709999999999994</v>
      </c>
      <c r="R259" s="268">
        <f t="shared" si="176"/>
        <v>215</v>
      </c>
      <c r="S259" s="268">
        <f t="shared" si="171"/>
        <v>43</v>
      </c>
      <c r="T259" s="268">
        <f t="shared" si="172"/>
        <v>258</v>
      </c>
      <c r="U259" s="269">
        <v>214</v>
      </c>
      <c r="V259" s="336">
        <f t="shared" ref="V259:V332" si="180">T259/U259*100-100</f>
        <v>20.56074766355141</v>
      </c>
      <c r="W259" s="271">
        <v>248</v>
      </c>
      <c r="X259" s="272">
        <f t="shared" si="150"/>
        <v>4.0322580645161281</v>
      </c>
      <c r="Y259" s="231">
        <v>221</v>
      </c>
      <c r="Z259" s="273">
        <v>1.042</v>
      </c>
      <c r="AA259" s="274">
        <f t="shared" si="173"/>
        <v>258.42</v>
      </c>
      <c r="AB259" s="275">
        <f t="shared" si="174"/>
        <v>239.48</v>
      </c>
      <c r="AC259" s="276">
        <f t="shared" si="175"/>
        <v>7.9100000000000004E-2</v>
      </c>
      <c r="AD259" s="277">
        <f t="shared" si="151"/>
        <v>18.942868000000001</v>
      </c>
      <c r="AF259" s="235">
        <v>228.51400000000001</v>
      </c>
      <c r="AG259" s="106">
        <v>248</v>
      </c>
      <c r="AH259" s="281">
        <f t="shared" si="152"/>
        <v>10</v>
      </c>
      <c r="AI259" s="282">
        <v>4.9700000000000001E-2</v>
      </c>
      <c r="AJ259" s="283">
        <f t="shared" si="153"/>
        <v>18.942868000000001</v>
      </c>
      <c r="AK259" s="284"/>
      <c r="AM259" s="222">
        <v>-3.09E-2</v>
      </c>
      <c r="AN259" s="285">
        <f t="shared" si="154"/>
        <v>1.0308999999999999</v>
      </c>
      <c r="AO259" s="285">
        <v>1.0660000000000001</v>
      </c>
      <c r="AQ259" s="286">
        <f t="shared" si="162"/>
        <v>264.37</v>
      </c>
      <c r="AS259" s="222">
        <v>1.034</v>
      </c>
      <c r="AT259" s="337">
        <v>-3.09E-2</v>
      </c>
      <c r="AU259" s="285">
        <f t="shared" si="155"/>
        <v>8.0000000000000071E-3</v>
      </c>
      <c r="AW259" s="288">
        <f t="shared" si="156"/>
        <v>0.11</v>
      </c>
      <c r="AX259" s="106">
        <v>248</v>
      </c>
      <c r="AY259" s="127" t="b">
        <f t="shared" si="157"/>
        <v>1</v>
      </c>
      <c r="AZ259" s="289">
        <f t="shared" si="158"/>
        <v>-2.8380000000000001</v>
      </c>
      <c r="BC259">
        <f t="shared" si="159"/>
        <v>1.04</v>
      </c>
    </row>
    <row r="260" spans="1:55" x14ac:dyDescent="0.3">
      <c r="A260" s="264" t="s">
        <v>486</v>
      </c>
      <c r="B260" s="264" t="s">
        <v>27</v>
      </c>
      <c r="C260" s="265" t="s">
        <v>417</v>
      </c>
      <c r="D260" s="168" t="s">
        <v>418</v>
      </c>
      <c r="E260" s="239" t="s">
        <v>162</v>
      </c>
      <c r="F260" s="168">
        <f>VLOOKUP(E260,'[6]условия, ФОТ'!$A$14:$I$32,9, FALSE)</f>
        <v>180.5</v>
      </c>
      <c r="G260" s="266">
        <v>0.51</v>
      </c>
      <c r="H260" s="168">
        <f t="shared" si="177"/>
        <v>92.06</v>
      </c>
      <c r="I260" s="168">
        <f t="shared" si="123"/>
        <v>27.8</v>
      </c>
      <c r="J260" s="168">
        <f t="shared" si="178"/>
        <v>119.86</v>
      </c>
      <c r="K260" s="267"/>
      <c r="L260" s="168"/>
      <c r="M260" s="168"/>
      <c r="N260" s="168"/>
      <c r="O260" s="168"/>
      <c r="P260" s="168">
        <f t="shared" si="179"/>
        <v>119.86</v>
      </c>
      <c r="Q260" s="168">
        <f t="shared" si="170"/>
        <v>79.709999999999994</v>
      </c>
      <c r="R260" s="268">
        <f t="shared" si="176"/>
        <v>215</v>
      </c>
      <c r="S260" s="268">
        <f t="shared" si="171"/>
        <v>43</v>
      </c>
      <c r="T260" s="268">
        <f t="shared" si="172"/>
        <v>258</v>
      </c>
      <c r="U260" s="269">
        <v>214</v>
      </c>
      <c r="V260" s="336"/>
      <c r="W260" s="271">
        <v>248</v>
      </c>
      <c r="X260" s="272">
        <f t="shared" si="150"/>
        <v>4.0322580645161281</v>
      </c>
      <c r="Y260" s="231">
        <v>221</v>
      </c>
      <c r="Z260" s="273">
        <v>1.042</v>
      </c>
      <c r="AA260" s="274">
        <f t="shared" si="173"/>
        <v>258.42</v>
      </c>
      <c r="AB260" s="275">
        <f t="shared" si="174"/>
        <v>239.48</v>
      </c>
      <c r="AC260" s="276">
        <f t="shared" si="175"/>
        <v>7.9100000000000004E-2</v>
      </c>
      <c r="AD260" s="277">
        <f t="shared" si="151"/>
        <v>18.942868000000001</v>
      </c>
      <c r="AF260" s="235">
        <v>228.51400000000001</v>
      </c>
      <c r="AG260" s="106">
        <v>248</v>
      </c>
      <c r="AH260" s="281">
        <f t="shared" si="152"/>
        <v>10</v>
      </c>
      <c r="AI260" s="282">
        <v>4.9700000000000001E-2</v>
      </c>
      <c r="AJ260" s="283">
        <f t="shared" si="153"/>
        <v>18.942868000000001</v>
      </c>
      <c r="AK260" s="284"/>
      <c r="AM260" s="222">
        <v>-3.09E-2</v>
      </c>
      <c r="AN260" s="285">
        <f t="shared" si="154"/>
        <v>1.0308999999999999</v>
      </c>
      <c r="AO260" s="285">
        <v>1.0660000000000001</v>
      </c>
      <c r="AQ260" s="286">
        <f t="shared" si="162"/>
        <v>264.37</v>
      </c>
      <c r="AS260" s="222">
        <v>1.034</v>
      </c>
      <c r="AT260" s="337">
        <v>-3.09E-2</v>
      </c>
      <c r="AU260" s="285">
        <f t="shared" si="155"/>
        <v>8.0000000000000071E-3</v>
      </c>
      <c r="AW260" s="288">
        <f t="shared" si="156"/>
        <v>0.11</v>
      </c>
      <c r="AX260" s="106">
        <v>248</v>
      </c>
      <c r="AY260" s="127" t="b">
        <f t="shared" si="157"/>
        <v>1</v>
      </c>
      <c r="AZ260" s="289">
        <f t="shared" si="158"/>
        <v>-2.8380000000000001</v>
      </c>
      <c r="BC260">
        <f t="shared" si="159"/>
        <v>1.04</v>
      </c>
    </row>
    <row r="261" spans="1:55" x14ac:dyDescent="0.3">
      <c r="A261" s="264" t="s">
        <v>487</v>
      </c>
      <c r="B261" s="264" t="s">
        <v>252</v>
      </c>
      <c r="C261" s="265" t="s">
        <v>77</v>
      </c>
      <c r="D261" s="168" t="s">
        <v>253</v>
      </c>
      <c r="E261" s="239" t="s">
        <v>162</v>
      </c>
      <c r="F261" s="168">
        <f>VLOOKUP(E261,'[6]условия, ФОТ'!$A$14:$I$32,9, FALSE)</f>
        <v>180.5</v>
      </c>
      <c r="G261" s="266">
        <v>0.33</v>
      </c>
      <c r="H261" s="168">
        <f t="shared" si="177"/>
        <v>59.57</v>
      </c>
      <c r="I261" s="168">
        <f t="shared" si="123"/>
        <v>17.989999999999998</v>
      </c>
      <c r="J261" s="168">
        <f t="shared" si="178"/>
        <v>77.56</v>
      </c>
      <c r="K261" s="267"/>
      <c r="L261" s="168"/>
      <c r="M261" s="168"/>
      <c r="N261" s="168"/>
      <c r="O261" s="168"/>
      <c r="P261" s="168">
        <f t="shared" si="179"/>
        <v>77.56</v>
      </c>
      <c r="Q261" s="168">
        <f t="shared" si="170"/>
        <v>51.58</v>
      </c>
      <c r="R261" s="268">
        <f t="shared" si="176"/>
        <v>139.16999999999999</v>
      </c>
      <c r="S261" s="268">
        <f t="shared" si="171"/>
        <v>27.83</v>
      </c>
      <c r="T261" s="268">
        <f t="shared" si="172"/>
        <v>167</v>
      </c>
      <c r="U261" s="269">
        <v>139</v>
      </c>
      <c r="V261" s="336">
        <f t="shared" si="180"/>
        <v>20.143884892086334</v>
      </c>
      <c r="W261" s="271">
        <v>160</v>
      </c>
      <c r="X261" s="272">
        <f t="shared" si="150"/>
        <v>4.375</v>
      </c>
      <c r="Y261" s="231">
        <v>143</v>
      </c>
      <c r="Z261" s="273">
        <v>1.042</v>
      </c>
      <c r="AA261" s="274">
        <f t="shared" si="173"/>
        <v>166.72</v>
      </c>
      <c r="AB261" s="275">
        <f t="shared" si="174"/>
        <v>154.97</v>
      </c>
      <c r="AC261" s="276">
        <f t="shared" si="175"/>
        <v>7.5800000000000006E-2</v>
      </c>
      <c r="AD261" s="277">
        <f t="shared" si="151"/>
        <v>11.746726000000001</v>
      </c>
      <c r="AF261" s="235">
        <v>147.86199999999999</v>
      </c>
      <c r="AG261" s="106">
        <v>160</v>
      </c>
      <c r="AH261" s="281">
        <f t="shared" si="152"/>
        <v>7</v>
      </c>
      <c r="AI261" s="282">
        <v>4.9700000000000001E-2</v>
      </c>
      <c r="AJ261" s="283">
        <f t="shared" si="153"/>
        <v>11.746726000000001</v>
      </c>
      <c r="AK261" s="284"/>
      <c r="AM261" s="222">
        <v>-3.09E-2</v>
      </c>
      <c r="AN261" s="285">
        <f t="shared" si="154"/>
        <v>1.0308999999999999</v>
      </c>
      <c r="AO261" s="285">
        <v>1.0660000000000001</v>
      </c>
      <c r="AQ261" s="286">
        <f t="shared" si="162"/>
        <v>170.56</v>
      </c>
      <c r="AS261" s="222">
        <v>1.034</v>
      </c>
      <c r="AT261" s="337">
        <v>-3.09E-2</v>
      </c>
      <c r="AU261" s="285">
        <f t="shared" si="155"/>
        <v>8.0000000000000071E-3</v>
      </c>
      <c r="AW261" s="288">
        <f t="shared" si="156"/>
        <v>0.1067</v>
      </c>
      <c r="AX261" s="106">
        <v>160</v>
      </c>
      <c r="AY261" s="127" t="b">
        <f t="shared" si="157"/>
        <v>1</v>
      </c>
      <c r="AZ261" s="289">
        <f t="shared" si="158"/>
        <v>-3.1480000000000006</v>
      </c>
      <c r="BC261">
        <f t="shared" si="159"/>
        <v>1.044</v>
      </c>
    </row>
    <row r="262" spans="1:55" x14ac:dyDescent="0.3">
      <c r="A262" s="264" t="s">
        <v>488</v>
      </c>
      <c r="B262" s="264" t="s">
        <v>27</v>
      </c>
      <c r="C262" s="265" t="s">
        <v>416</v>
      </c>
      <c r="D262" s="168" t="s">
        <v>190</v>
      </c>
      <c r="E262" s="239" t="s">
        <v>162</v>
      </c>
      <c r="F262" s="168">
        <f>VLOOKUP(E262,'[6]условия, ФОТ'!$A$14:$I$32,9, FALSE)</f>
        <v>180.5</v>
      </c>
      <c r="G262" s="266">
        <v>0.33</v>
      </c>
      <c r="H262" s="168">
        <f t="shared" si="177"/>
        <v>59.57</v>
      </c>
      <c r="I262" s="168">
        <f t="shared" si="123"/>
        <v>17.989999999999998</v>
      </c>
      <c r="J262" s="168">
        <f t="shared" si="178"/>
        <v>77.56</v>
      </c>
      <c r="K262" s="267"/>
      <c r="L262" s="168"/>
      <c r="M262" s="168"/>
      <c r="N262" s="168"/>
      <c r="O262" s="168"/>
      <c r="P262" s="168">
        <f t="shared" si="179"/>
        <v>77.56</v>
      </c>
      <c r="Q262" s="168">
        <f t="shared" si="170"/>
        <v>51.58</v>
      </c>
      <c r="R262" s="268">
        <f t="shared" si="176"/>
        <v>139.16999999999999</v>
      </c>
      <c r="S262" s="268">
        <f t="shared" si="171"/>
        <v>27.83</v>
      </c>
      <c r="T262" s="268">
        <f t="shared" si="172"/>
        <v>167</v>
      </c>
      <c r="U262" s="269">
        <v>139</v>
      </c>
      <c r="V262" s="336"/>
      <c r="W262" s="271">
        <v>160</v>
      </c>
      <c r="X262" s="272">
        <f t="shared" si="150"/>
        <v>4.375</v>
      </c>
      <c r="Y262" s="231">
        <v>143</v>
      </c>
      <c r="Z262" s="273">
        <v>1.042</v>
      </c>
      <c r="AA262" s="274">
        <f t="shared" si="173"/>
        <v>166.72</v>
      </c>
      <c r="AB262" s="275">
        <f t="shared" si="174"/>
        <v>154.97</v>
      </c>
      <c r="AC262" s="276">
        <f t="shared" si="175"/>
        <v>7.5800000000000006E-2</v>
      </c>
      <c r="AD262" s="277">
        <f t="shared" si="151"/>
        <v>11.746726000000001</v>
      </c>
      <c r="AF262" s="235">
        <v>147.86199999999999</v>
      </c>
      <c r="AG262" s="106">
        <v>160</v>
      </c>
      <c r="AH262" s="281">
        <f t="shared" si="152"/>
        <v>7</v>
      </c>
      <c r="AI262" s="282">
        <v>4.9700000000000001E-2</v>
      </c>
      <c r="AJ262" s="283">
        <f t="shared" si="153"/>
        <v>11.746726000000001</v>
      </c>
      <c r="AK262" s="284"/>
      <c r="AM262" s="222">
        <v>-3.09E-2</v>
      </c>
      <c r="AN262" s="285">
        <f t="shared" si="154"/>
        <v>1.0308999999999999</v>
      </c>
      <c r="AO262" s="285">
        <v>1.0660000000000001</v>
      </c>
      <c r="AQ262" s="286">
        <f t="shared" si="162"/>
        <v>170.56</v>
      </c>
      <c r="AS262" s="222">
        <v>1.034</v>
      </c>
      <c r="AT262" s="337">
        <v>-3.09E-2</v>
      </c>
      <c r="AU262" s="285">
        <f t="shared" si="155"/>
        <v>8.0000000000000071E-3</v>
      </c>
      <c r="AW262" s="288">
        <f t="shared" si="156"/>
        <v>0.1067</v>
      </c>
      <c r="AX262" s="106">
        <v>160</v>
      </c>
      <c r="AY262" s="127" t="b">
        <f t="shared" si="157"/>
        <v>1</v>
      </c>
      <c r="AZ262" s="289">
        <f t="shared" si="158"/>
        <v>-3.1480000000000006</v>
      </c>
      <c r="BC262">
        <f t="shared" si="159"/>
        <v>1.044</v>
      </c>
    </row>
    <row r="263" spans="1:55" x14ac:dyDescent="0.3">
      <c r="A263" s="264" t="s">
        <v>489</v>
      </c>
      <c r="B263" s="264" t="s">
        <v>254</v>
      </c>
      <c r="C263" s="265" t="s">
        <v>78</v>
      </c>
      <c r="D263" s="168" t="s">
        <v>186</v>
      </c>
      <c r="E263" s="239" t="s">
        <v>162</v>
      </c>
      <c r="F263" s="168">
        <f>VLOOKUP(E263,'[6]условия, ФОТ'!$A$14:$I$32,9, FALSE)</f>
        <v>180.5</v>
      </c>
      <c r="G263" s="266">
        <v>0.5</v>
      </c>
      <c r="H263" s="168">
        <f t="shared" si="177"/>
        <v>90.25</v>
      </c>
      <c r="I263" s="168">
        <f t="shared" si="123"/>
        <v>27.26</v>
      </c>
      <c r="J263" s="168">
        <f t="shared" si="178"/>
        <v>117.51</v>
      </c>
      <c r="K263" s="267"/>
      <c r="L263" s="168"/>
      <c r="M263" s="168"/>
      <c r="N263" s="168"/>
      <c r="O263" s="168"/>
      <c r="P263" s="168">
        <f t="shared" si="179"/>
        <v>117.51</v>
      </c>
      <c r="Q263" s="168">
        <f t="shared" si="170"/>
        <v>78.14</v>
      </c>
      <c r="R263" s="268">
        <f t="shared" si="176"/>
        <v>210.83</v>
      </c>
      <c r="S263" s="268">
        <f t="shared" si="171"/>
        <v>42.17</v>
      </c>
      <c r="T263" s="268">
        <f t="shared" si="172"/>
        <v>253</v>
      </c>
      <c r="U263" s="269">
        <v>210</v>
      </c>
      <c r="V263" s="336">
        <f t="shared" si="180"/>
        <v>20.476190476190467</v>
      </c>
      <c r="W263" s="271">
        <v>243</v>
      </c>
      <c r="X263" s="272">
        <f t="shared" si="150"/>
        <v>4.1152263374485614</v>
      </c>
      <c r="Y263" s="231">
        <v>217</v>
      </c>
      <c r="Z263" s="273">
        <v>1.042</v>
      </c>
      <c r="AA263" s="274">
        <f t="shared" si="173"/>
        <v>253.21</v>
      </c>
      <c r="AB263" s="275">
        <f t="shared" si="174"/>
        <v>234.78</v>
      </c>
      <c r="AC263" s="276">
        <f t="shared" si="175"/>
        <v>7.85E-2</v>
      </c>
      <c r="AD263" s="277">
        <f t="shared" si="151"/>
        <v>18.430230000000002</v>
      </c>
      <c r="AF263" s="235">
        <v>224.37800000000001</v>
      </c>
      <c r="AG263" s="106">
        <v>243</v>
      </c>
      <c r="AH263" s="281">
        <f t="shared" si="152"/>
        <v>10</v>
      </c>
      <c r="AI263" s="282">
        <v>4.9399999999999999E-2</v>
      </c>
      <c r="AJ263" s="283">
        <f t="shared" si="153"/>
        <v>18.430230000000002</v>
      </c>
      <c r="AK263" s="284"/>
      <c r="AM263" s="222">
        <v>-2.9399999999999999E-2</v>
      </c>
      <c r="AN263" s="285">
        <f t="shared" si="154"/>
        <v>1.0294000000000001</v>
      </c>
      <c r="AO263" s="285">
        <v>1.0640000000000001</v>
      </c>
      <c r="AQ263" s="286">
        <f t="shared" si="162"/>
        <v>258.55</v>
      </c>
      <c r="AS263" s="222">
        <v>1.034</v>
      </c>
      <c r="AT263" s="337">
        <v>-2.9399999999999999E-2</v>
      </c>
      <c r="AU263" s="285">
        <f t="shared" si="155"/>
        <v>8.0000000000000071E-3</v>
      </c>
      <c r="AW263" s="288">
        <f t="shared" si="156"/>
        <v>0.1079</v>
      </c>
      <c r="AX263" s="106">
        <v>243</v>
      </c>
      <c r="AY263" s="127" t="b">
        <f t="shared" si="157"/>
        <v>1</v>
      </c>
      <c r="AZ263" s="289">
        <f t="shared" si="158"/>
        <v>-2.9080000000000004</v>
      </c>
      <c r="BC263">
        <f t="shared" si="159"/>
        <v>1.0409999999999999</v>
      </c>
    </row>
    <row r="264" spans="1:55" x14ac:dyDescent="0.3">
      <c r="A264" s="264" t="s">
        <v>490</v>
      </c>
      <c r="B264" s="264" t="s">
        <v>255</v>
      </c>
      <c r="C264" s="265" t="s">
        <v>79</v>
      </c>
      <c r="D264" s="168" t="s">
        <v>186</v>
      </c>
      <c r="E264" s="239" t="s">
        <v>162</v>
      </c>
      <c r="F264" s="168">
        <f>VLOOKUP(E264,'[6]условия, ФОТ'!$A$14:$I$32,9, FALSE)</f>
        <v>180.5</v>
      </c>
      <c r="G264" s="266">
        <v>0.33</v>
      </c>
      <c r="H264" s="168">
        <f t="shared" si="177"/>
        <v>59.57</v>
      </c>
      <c r="I264" s="168">
        <f t="shared" si="123"/>
        <v>17.989999999999998</v>
      </c>
      <c r="J264" s="168">
        <f t="shared" si="178"/>
        <v>77.56</v>
      </c>
      <c r="K264" s="267"/>
      <c r="L264" s="168"/>
      <c r="M264" s="168"/>
      <c r="N264" s="168"/>
      <c r="O264" s="168"/>
      <c r="P264" s="168">
        <f t="shared" si="179"/>
        <v>77.56</v>
      </c>
      <c r="Q264" s="168">
        <f t="shared" si="170"/>
        <v>51.58</v>
      </c>
      <c r="R264" s="268">
        <f t="shared" si="176"/>
        <v>139.16999999999999</v>
      </c>
      <c r="S264" s="268">
        <f t="shared" si="171"/>
        <v>27.83</v>
      </c>
      <c r="T264" s="268">
        <f t="shared" si="172"/>
        <v>167</v>
      </c>
      <c r="U264" s="269">
        <v>139</v>
      </c>
      <c r="V264" s="336">
        <f t="shared" si="180"/>
        <v>20.143884892086334</v>
      </c>
      <c r="W264" s="271">
        <v>160</v>
      </c>
      <c r="X264" s="272">
        <f t="shared" si="150"/>
        <v>4.375</v>
      </c>
      <c r="Y264" s="231">
        <v>143</v>
      </c>
      <c r="Z264" s="273">
        <v>1.042</v>
      </c>
      <c r="AA264" s="274">
        <f t="shared" si="173"/>
        <v>166.72</v>
      </c>
      <c r="AB264" s="275">
        <f t="shared" si="174"/>
        <v>154.97</v>
      </c>
      <c r="AC264" s="276">
        <f t="shared" si="175"/>
        <v>7.5800000000000006E-2</v>
      </c>
      <c r="AD264" s="277">
        <f t="shared" si="151"/>
        <v>11.746726000000001</v>
      </c>
      <c r="AF264" s="235">
        <v>147.86199999999999</v>
      </c>
      <c r="AG264" s="106">
        <v>160</v>
      </c>
      <c r="AH264" s="281">
        <f t="shared" si="152"/>
        <v>7</v>
      </c>
      <c r="AI264" s="282">
        <v>4.9700000000000001E-2</v>
      </c>
      <c r="AJ264" s="283">
        <f t="shared" si="153"/>
        <v>11.746726000000001</v>
      </c>
      <c r="AK264" s="284"/>
      <c r="AM264" s="222">
        <v>-3.09E-2</v>
      </c>
      <c r="AN264" s="285">
        <f t="shared" si="154"/>
        <v>1.0308999999999999</v>
      </c>
      <c r="AO264" s="285">
        <v>1.0660000000000001</v>
      </c>
      <c r="AQ264" s="286">
        <f t="shared" si="162"/>
        <v>170.56</v>
      </c>
      <c r="AS264" s="222">
        <v>1.034</v>
      </c>
      <c r="AT264" s="337">
        <v>-3.09E-2</v>
      </c>
      <c r="AU264" s="285">
        <f t="shared" si="155"/>
        <v>8.0000000000000071E-3</v>
      </c>
      <c r="AW264" s="288">
        <f t="shared" si="156"/>
        <v>0.1067</v>
      </c>
      <c r="AX264" s="106">
        <v>160</v>
      </c>
      <c r="AY264" s="127" t="b">
        <f t="shared" si="157"/>
        <v>1</v>
      </c>
      <c r="AZ264" s="289">
        <f t="shared" si="158"/>
        <v>-3.1480000000000006</v>
      </c>
      <c r="BC264">
        <f t="shared" si="159"/>
        <v>1.044</v>
      </c>
    </row>
    <row r="265" spans="1:55" ht="25.5" x14ac:dyDescent="0.3">
      <c r="A265" s="264" t="s">
        <v>491</v>
      </c>
      <c r="B265" s="264" t="s">
        <v>256</v>
      </c>
      <c r="C265" s="265" t="s">
        <v>80</v>
      </c>
      <c r="D265" s="168" t="s">
        <v>186</v>
      </c>
      <c r="E265" s="239" t="s">
        <v>162</v>
      </c>
      <c r="F265" s="168">
        <f>VLOOKUP(E265,'[6]условия, ФОТ'!$A$14:$I$32,9, FALSE)</f>
        <v>180.5</v>
      </c>
      <c r="G265" s="266">
        <v>1</v>
      </c>
      <c r="H265" s="168">
        <f t="shared" si="177"/>
        <v>180.5</v>
      </c>
      <c r="I265" s="168">
        <f t="shared" si="123"/>
        <v>54.51</v>
      </c>
      <c r="J265" s="168">
        <f t="shared" si="178"/>
        <v>235.01</v>
      </c>
      <c r="K265" s="267"/>
      <c r="L265" s="168"/>
      <c r="M265" s="168"/>
      <c r="N265" s="168"/>
      <c r="O265" s="168"/>
      <c r="P265" s="168">
        <f t="shared" si="179"/>
        <v>235.01</v>
      </c>
      <c r="Q265" s="168">
        <f t="shared" si="170"/>
        <v>156.28</v>
      </c>
      <c r="R265" s="268">
        <f t="shared" si="176"/>
        <v>420.83</v>
      </c>
      <c r="S265" s="268">
        <f t="shared" si="171"/>
        <v>84.17</v>
      </c>
      <c r="T265" s="268">
        <f t="shared" si="172"/>
        <v>505</v>
      </c>
      <c r="U265" s="269">
        <v>420</v>
      </c>
      <c r="V265" s="336">
        <f t="shared" si="180"/>
        <v>20.238095238095227</v>
      </c>
      <c r="W265" s="271">
        <v>485</v>
      </c>
      <c r="X265" s="272">
        <f t="shared" si="150"/>
        <v>4.1237113402061993</v>
      </c>
      <c r="Y265" s="231">
        <v>434</v>
      </c>
      <c r="Z265" s="273">
        <v>1.042</v>
      </c>
      <c r="AA265" s="274">
        <f t="shared" si="173"/>
        <v>505.37</v>
      </c>
      <c r="AB265" s="275">
        <f t="shared" si="174"/>
        <v>469.55</v>
      </c>
      <c r="AC265" s="276">
        <f t="shared" si="175"/>
        <v>7.6300000000000007E-2</v>
      </c>
      <c r="AD265" s="277">
        <f t="shared" si="151"/>
        <v>35.826665000000006</v>
      </c>
      <c r="AF265" s="235">
        <v>448.75600000000003</v>
      </c>
      <c r="AG265" s="106">
        <v>485</v>
      </c>
      <c r="AH265" s="281">
        <f t="shared" si="152"/>
        <v>20</v>
      </c>
      <c r="AI265" s="282">
        <v>4.9500000000000002E-2</v>
      </c>
      <c r="AJ265" s="283">
        <f t="shared" si="153"/>
        <v>35.826665000000006</v>
      </c>
      <c r="AK265" s="284"/>
      <c r="AM265" s="222">
        <v>-2.9399999999999999E-2</v>
      </c>
      <c r="AN265" s="285">
        <f t="shared" si="154"/>
        <v>1.0294000000000001</v>
      </c>
      <c r="AO265" s="285">
        <v>1.0640000000000001</v>
      </c>
      <c r="AQ265" s="286">
        <f t="shared" si="162"/>
        <v>516.04</v>
      </c>
      <c r="AS265" s="222">
        <v>1.034</v>
      </c>
      <c r="AT265" s="337">
        <v>-2.9399999999999999E-2</v>
      </c>
      <c r="AU265" s="285">
        <f t="shared" si="155"/>
        <v>8.0000000000000071E-3</v>
      </c>
      <c r="AW265" s="288">
        <f t="shared" si="156"/>
        <v>0.1057</v>
      </c>
      <c r="AX265" s="106">
        <v>485</v>
      </c>
      <c r="AY265" s="127" t="b">
        <f t="shared" si="157"/>
        <v>1</v>
      </c>
      <c r="AZ265" s="289">
        <f t="shared" si="158"/>
        <v>-2.9180000000000001</v>
      </c>
      <c r="BC265">
        <f t="shared" si="159"/>
        <v>1.0409999999999999</v>
      </c>
    </row>
    <row r="266" spans="1:55" x14ac:dyDescent="0.3">
      <c r="A266" s="264" t="s">
        <v>492</v>
      </c>
      <c r="B266" s="264" t="s">
        <v>257</v>
      </c>
      <c r="C266" s="265" t="s">
        <v>81</v>
      </c>
      <c r="D266" s="168" t="s">
        <v>258</v>
      </c>
      <c r="E266" s="239" t="s">
        <v>162</v>
      </c>
      <c r="F266" s="168">
        <f>VLOOKUP(E266,'[6]условия, ФОТ'!$A$14:$I$32,9, FALSE)</f>
        <v>180.5</v>
      </c>
      <c r="G266" s="266">
        <v>0.25</v>
      </c>
      <c r="H266" s="168">
        <f t="shared" si="177"/>
        <v>45.13</v>
      </c>
      <c r="I266" s="168">
        <f t="shared" si="123"/>
        <v>13.63</v>
      </c>
      <c r="J266" s="168">
        <f t="shared" si="178"/>
        <v>58.760000000000005</v>
      </c>
      <c r="K266" s="267"/>
      <c r="L266" s="168"/>
      <c r="M266" s="168"/>
      <c r="N266" s="168"/>
      <c r="O266" s="168"/>
      <c r="P266" s="168">
        <f t="shared" si="179"/>
        <v>58.760000000000005</v>
      </c>
      <c r="Q266" s="168">
        <f t="shared" si="170"/>
        <v>39.08</v>
      </c>
      <c r="R266" s="268">
        <f t="shared" si="176"/>
        <v>105</v>
      </c>
      <c r="S266" s="268">
        <f t="shared" si="171"/>
        <v>21</v>
      </c>
      <c r="T266" s="268">
        <f t="shared" si="172"/>
        <v>126</v>
      </c>
      <c r="U266" s="269">
        <v>105</v>
      </c>
      <c r="V266" s="336">
        <f t="shared" si="180"/>
        <v>20</v>
      </c>
      <c r="W266" s="271">
        <v>121</v>
      </c>
      <c r="X266" s="272">
        <f t="shared" si="150"/>
        <v>4.1322314049586879</v>
      </c>
      <c r="Y266" s="231">
        <v>108</v>
      </c>
      <c r="Z266" s="273">
        <v>1.042</v>
      </c>
      <c r="AA266" s="274">
        <f t="shared" si="173"/>
        <v>126.08</v>
      </c>
      <c r="AB266" s="275">
        <f t="shared" si="174"/>
        <v>117.41</v>
      </c>
      <c r="AC266" s="276">
        <f t="shared" si="175"/>
        <v>7.3800000000000004E-2</v>
      </c>
      <c r="AD266" s="277">
        <f t="shared" si="151"/>
        <v>8.6648580000000006</v>
      </c>
      <c r="AF266" s="235">
        <v>111.672</v>
      </c>
      <c r="AG266" s="106">
        <v>121</v>
      </c>
      <c r="AH266" s="281">
        <f t="shared" si="152"/>
        <v>5</v>
      </c>
      <c r="AI266" s="282">
        <v>4.9099999999999998E-2</v>
      </c>
      <c r="AJ266" s="283">
        <f t="shared" si="153"/>
        <v>8.6648580000000006</v>
      </c>
      <c r="AK266" s="284"/>
      <c r="AM266" s="222">
        <v>-3.4000000000000002E-2</v>
      </c>
      <c r="AN266" s="285">
        <f t="shared" si="154"/>
        <v>1.034</v>
      </c>
      <c r="AO266" s="285">
        <v>1.069</v>
      </c>
      <c r="AQ266" s="286">
        <f t="shared" si="162"/>
        <v>129.35</v>
      </c>
      <c r="AS266" s="222">
        <v>1.034</v>
      </c>
      <c r="AT266" s="337">
        <v>-3.4000000000000002E-2</v>
      </c>
      <c r="AU266" s="285">
        <f t="shared" si="155"/>
        <v>8.0000000000000071E-3</v>
      </c>
      <c r="AW266" s="288">
        <f t="shared" si="156"/>
        <v>0.10780000000000001</v>
      </c>
      <c r="AX266" s="106">
        <v>121</v>
      </c>
      <c r="AY266" s="127" t="b">
        <f t="shared" si="157"/>
        <v>1</v>
      </c>
      <c r="AZ266" s="289">
        <f t="shared" si="158"/>
        <v>-2.9279999999999999</v>
      </c>
      <c r="BC266">
        <f t="shared" si="159"/>
        <v>1.0409999999999999</v>
      </c>
    </row>
    <row r="267" spans="1:55" x14ac:dyDescent="0.3">
      <c r="A267" s="264" t="s">
        <v>493</v>
      </c>
      <c r="B267" s="264" t="s">
        <v>259</v>
      </c>
      <c r="C267" s="265" t="s">
        <v>82</v>
      </c>
      <c r="D267" s="168" t="s">
        <v>260</v>
      </c>
      <c r="E267" s="239" t="s">
        <v>162</v>
      </c>
      <c r="F267" s="168">
        <f>VLOOKUP(E267,'[6]условия, ФОТ'!$A$14:$I$32,9, FALSE)</f>
        <v>180.5</v>
      </c>
      <c r="G267" s="266">
        <v>0.1</v>
      </c>
      <c r="H267" s="168">
        <f t="shared" si="177"/>
        <v>18.05</v>
      </c>
      <c r="I267" s="168">
        <f t="shared" si="123"/>
        <v>5.45</v>
      </c>
      <c r="J267" s="168">
        <f t="shared" si="178"/>
        <v>23.5</v>
      </c>
      <c r="K267" s="267"/>
      <c r="L267" s="168"/>
      <c r="M267" s="168"/>
      <c r="N267" s="168"/>
      <c r="O267" s="168"/>
      <c r="P267" s="168">
        <f t="shared" si="179"/>
        <v>23.5</v>
      </c>
      <c r="Q267" s="168">
        <f t="shared" si="170"/>
        <v>15.63</v>
      </c>
      <c r="R267" s="268">
        <f t="shared" si="176"/>
        <v>42.5</v>
      </c>
      <c r="S267" s="268">
        <f>ROUND(R267*$S$5,2)</f>
        <v>8.5</v>
      </c>
      <c r="T267" s="268">
        <f t="shared" si="172"/>
        <v>51</v>
      </c>
      <c r="U267" s="269">
        <v>42</v>
      </c>
      <c r="V267" s="336">
        <f t="shared" si="180"/>
        <v>21.428571428571416</v>
      </c>
      <c r="W267" s="271">
        <v>49</v>
      </c>
      <c r="X267" s="272">
        <f t="shared" si="150"/>
        <v>4.0816326530612344</v>
      </c>
      <c r="Y267" s="231">
        <v>43</v>
      </c>
      <c r="Z267" s="273">
        <v>1.042</v>
      </c>
      <c r="AA267" s="274">
        <f t="shared" si="173"/>
        <v>51.06</v>
      </c>
      <c r="AB267" s="275">
        <f t="shared" si="174"/>
        <v>46.96</v>
      </c>
      <c r="AC267" s="276">
        <f t="shared" si="175"/>
        <v>8.7300000000000003E-2</v>
      </c>
      <c r="AD267" s="277">
        <f t="shared" si="151"/>
        <v>4.0996079999999999</v>
      </c>
      <c r="AF267" s="235">
        <v>44.462000000000003</v>
      </c>
      <c r="AG267" s="106">
        <v>49</v>
      </c>
      <c r="AH267" s="281">
        <f t="shared" si="152"/>
        <v>2</v>
      </c>
      <c r="AI267" s="282">
        <v>4.9299999999999997E-2</v>
      </c>
      <c r="AJ267" s="283">
        <f t="shared" si="153"/>
        <v>4.0996079999999999</v>
      </c>
      <c r="AK267" s="284"/>
      <c r="AM267" s="222">
        <v>-3.8100000000000002E-2</v>
      </c>
      <c r="AN267" s="285">
        <f t="shared" si="154"/>
        <v>1.0381</v>
      </c>
      <c r="AO267" s="285">
        <v>1.073</v>
      </c>
      <c r="AQ267" s="286">
        <f t="shared" si="162"/>
        <v>52.58</v>
      </c>
      <c r="AS267" s="222">
        <v>1.034</v>
      </c>
      <c r="AT267" s="337">
        <v>-3.8100000000000002E-2</v>
      </c>
      <c r="AU267" s="285">
        <f t="shared" si="155"/>
        <v>8.0000000000000071E-3</v>
      </c>
      <c r="AW267" s="288">
        <f t="shared" si="156"/>
        <v>0.12540000000000001</v>
      </c>
      <c r="AX267" s="106">
        <v>49</v>
      </c>
      <c r="AY267" s="127" t="b">
        <f t="shared" si="157"/>
        <v>1</v>
      </c>
      <c r="AZ267" s="289">
        <f t="shared" si="158"/>
        <v>-2.8780000000000001</v>
      </c>
      <c r="BC267">
        <f t="shared" si="159"/>
        <v>1.0409999999999999</v>
      </c>
    </row>
    <row r="268" spans="1:55" x14ac:dyDescent="0.3">
      <c r="A268" s="264" t="s">
        <v>494</v>
      </c>
      <c r="B268" s="264" t="s">
        <v>262</v>
      </c>
      <c r="C268" s="265" t="s">
        <v>83</v>
      </c>
      <c r="D268" s="168" t="s">
        <v>261</v>
      </c>
      <c r="E268" s="239" t="s">
        <v>162</v>
      </c>
      <c r="F268" s="168">
        <f>VLOOKUP(E268,'[6]условия, ФОТ'!$A$14:$I$32,9, FALSE)</f>
        <v>180.5</v>
      </c>
      <c r="G268" s="266">
        <v>0.52</v>
      </c>
      <c r="H268" s="168">
        <f t="shared" si="177"/>
        <v>93.86</v>
      </c>
      <c r="I268" s="168">
        <f t="shared" si="123"/>
        <v>28.35</v>
      </c>
      <c r="J268" s="168">
        <f t="shared" si="178"/>
        <v>122.21000000000001</v>
      </c>
      <c r="K268" s="267"/>
      <c r="L268" s="168"/>
      <c r="M268" s="168"/>
      <c r="N268" s="168"/>
      <c r="O268" s="168"/>
      <c r="P268" s="168">
        <f t="shared" si="179"/>
        <v>122.21000000000001</v>
      </c>
      <c r="Q268" s="168">
        <f t="shared" si="170"/>
        <v>81.27</v>
      </c>
      <c r="R268" s="268">
        <f t="shared" si="176"/>
        <v>219.17</v>
      </c>
      <c r="S268" s="268">
        <f t="shared" si="171"/>
        <v>43.83</v>
      </c>
      <c r="T268" s="268">
        <f t="shared" si="172"/>
        <v>263</v>
      </c>
      <c r="U268" s="269">
        <v>219</v>
      </c>
      <c r="V268" s="336">
        <f t="shared" si="180"/>
        <v>20.091324200913235</v>
      </c>
      <c r="W268" s="271">
        <v>252</v>
      </c>
      <c r="X268" s="272">
        <f t="shared" ref="X268:X334" si="181">T268/W268*100-100</f>
        <v>4.3650793650793673</v>
      </c>
      <c r="Y268" s="231">
        <v>226</v>
      </c>
      <c r="Z268" s="273">
        <v>1.042</v>
      </c>
      <c r="AA268" s="274">
        <f t="shared" si="173"/>
        <v>262.58</v>
      </c>
      <c r="AB268" s="275">
        <f t="shared" si="174"/>
        <v>244.18</v>
      </c>
      <c r="AC268" s="276">
        <f t="shared" si="175"/>
        <v>7.5399999999999995E-2</v>
      </c>
      <c r="AD268" s="277">
        <f t="shared" ref="AD268:AD326" si="182">AB268*AC268</f>
        <v>18.411172000000001</v>
      </c>
      <c r="AF268" s="235">
        <v>233.684</v>
      </c>
      <c r="AG268" s="106">
        <v>252</v>
      </c>
      <c r="AH268" s="281">
        <f t="shared" ref="AH268:AH326" si="183">T268-AG268</f>
        <v>11</v>
      </c>
      <c r="AI268" s="282">
        <v>0.05</v>
      </c>
      <c r="AJ268" s="283">
        <f t="shared" ref="AJ268:AJ326" si="184">AB268*AC268</f>
        <v>18.411172000000001</v>
      </c>
      <c r="AK268" s="284"/>
      <c r="AM268" s="222">
        <v>-2.8000000000000001E-2</v>
      </c>
      <c r="AN268" s="285">
        <f t="shared" ref="AN268:AN326" si="185">IF(AM268&lt;0,-AM268+1,AM268)</f>
        <v>1.028</v>
      </c>
      <c r="AO268" s="285">
        <v>1.0629999999999999</v>
      </c>
      <c r="AQ268" s="286">
        <f t="shared" si="162"/>
        <v>267.88</v>
      </c>
      <c r="AS268" s="222">
        <v>1.034</v>
      </c>
      <c r="AT268" s="337">
        <v>-2.8000000000000001E-2</v>
      </c>
      <c r="AU268" s="285">
        <f t="shared" ref="AU268:AU326" si="186">Z268-AS268</f>
        <v>8.0000000000000071E-3</v>
      </c>
      <c r="AW268" s="288">
        <f t="shared" ref="AW268:AW326" si="187">AC268-AT268</f>
        <v>0.10339999999999999</v>
      </c>
      <c r="AX268" s="106">
        <v>252</v>
      </c>
      <c r="AY268" s="127" t="b">
        <f t="shared" ref="AY268:AY326" si="188">W268=AX268</f>
        <v>1</v>
      </c>
      <c r="AZ268" s="289">
        <f t="shared" ref="AZ268:AZ326" si="189">ROUND(W268/T268*100-100,2)+Z268</f>
        <v>-3.1379999999999999</v>
      </c>
      <c r="BC268">
        <f t="shared" ref="BC268:BC326" si="190">ROUND(T268/W268,3)</f>
        <v>1.044</v>
      </c>
    </row>
    <row r="269" spans="1:55" x14ac:dyDescent="0.3">
      <c r="A269" s="264" t="s">
        <v>495</v>
      </c>
      <c r="B269" s="264" t="s">
        <v>263</v>
      </c>
      <c r="C269" s="265" t="s">
        <v>84</v>
      </c>
      <c r="D269" s="168" t="s">
        <v>261</v>
      </c>
      <c r="E269" s="239" t="s">
        <v>162</v>
      </c>
      <c r="F269" s="168">
        <f>VLOOKUP(E269,'[6]условия, ФОТ'!$A$14:$I$32,9, FALSE)</f>
        <v>180.5</v>
      </c>
      <c r="G269" s="266">
        <v>0.32</v>
      </c>
      <c r="H269" s="168">
        <f t="shared" si="177"/>
        <v>57.76</v>
      </c>
      <c r="I269" s="168">
        <f t="shared" si="123"/>
        <v>17.440000000000001</v>
      </c>
      <c r="J269" s="168">
        <f t="shared" si="178"/>
        <v>75.2</v>
      </c>
      <c r="K269" s="267"/>
      <c r="L269" s="168"/>
      <c r="M269" s="168"/>
      <c r="N269" s="168"/>
      <c r="O269" s="168"/>
      <c r="P269" s="168">
        <f t="shared" si="179"/>
        <v>75.2</v>
      </c>
      <c r="Q269" s="168">
        <f t="shared" si="170"/>
        <v>50.01</v>
      </c>
      <c r="R269" s="268">
        <f t="shared" si="176"/>
        <v>135</v>
      </c>
      <c r="S269" s="268">
        <f>ROUND(R269*$S$5,2)</f>
        <v>27</v>
      </c>
      <c r="T269" s="268">
        <f t="shared" si="172"/>
        <v>162</v>
      </c>
      <c r="U269" s="269">
        <v>135</v>
      </c>
      <c r="V269" s="336">
        <f t="shared" si="180"/>
        <v>20</v>
      </c>
      <c r="W269" s="271">
        <v>155</v>
      </c>
      <c r="X269" s="272">
        <f t="shared" si="181"/>
        <v>4.5161290322580641</v>
      </c>
      <c r="Y269" s="231">
        <v>139</v>
      </c>
      <c r="Z269" s="273">
        <v>1.042</v>
      </c>
      <c r="AA269" s="274">
        <f t="shared" si="173"/>
        <v>161.51</v>
      </c>
      <c r="AB269" s="275">
        <f t="shared" si="174"/>
        <v>150.25</v>
      </c>
      <c r="AC269" s="276">
        <f t="shared" si="175"/>
        <v>7.4899999999999994E-2</v>
      </c>
      <c r="AD269" s="277">
        <f t="shared" si="182"/>
        <v>11.253724999999999</v>
      </c>
      <c r="AF269" s="235">
        <v>143.726</v>
      </c>
      <c r="AG269" s="106">
        <v>155</v>
      </c>
      <c r="AH269" s="281">
        <f t="shared" si="183"/>
        <v>7</v>
      </c>
      <c r="AI269" s="282">
        <v>4.9299999999999997E-2</v>
      </c>
      <c r="AJ269" s="283">
        <f t="shared" si="184"/>
        <v>11.253724999999999</v>
      </c>
      <c r="AK269" s="284"/>
      <c r="AM269" s="222">
        <v>-2.86E-2</v>
      </c>
      <c r="AN269" s="285">
        <f t="shared" si="185"/>
        <v>1.0286</v>
      </c>
      <c r="AO269" s="285">
        <v>1.0640000000000001</v>
      </c>
      <c r="AQ269" s="286">
        <f t="shared" si="162"/>
        <v>164.92</v>
      </c>
      <c r="AS269" s="222">
        <v>1.034</v>
      </c>
      <c r="AT269" s="337">
        <v>-2.86E-2</v>
      </c>
      <c r="AU269" s="285">
        <f t="shared" si="186"/>
        <v>8.0000000000000071E-3</v>
      </c>
      <c r="AW269" s="288">
        <f t="shared" si="187"/>
        <v>0.10349999999999999</v>
      </c>
      <c r="AX269" s="106">
        <v>155</v>
      </c>
      <c r="AY269" s="127" t="b">
        <f t="shared" si="188"/>
        <v>1</v>
      </c>
      <c r="AZ269" s="289">
        <f t="shared" si="189"/>
        <v>-3.2780000000000005</v>
      </c>
      <c r="BC269">
        <f t="shared" si="190"/>
        <v>1.0449999999999999</v>
      </c>
    </row>
    <row r="270" spans="1:55" x14ac:dyDescent="0.3">
      <c r="A270" s="264" t="s">
        <v>496</v>
      </c>
      <c r="B270" s="264" t="s">
        <v>264</v>
      </c>
      <c r="C270" s="265" t="s">
        <v>85</v>
      </c>
      <c r="D270" s="168" t="s">
        <v>198</v>
      </c>
      <c r="E270" s="239" t="s">
        <v>162</v>
      </c>
      <c r="F270" s="168">
        <f>VLOOKUP(E270,'[6]условия, ФОТ'!$A$14:$I$32,9, FALSE)</f>
        <v>180.5</v>
      </c>
      <c r="G270" s="266">
        <v>0.4</v>
      </c>
      <c r="H270" s="168">
        <f t="shared" si="177"/>
        <v>72.2</v>
      </c>
      <c r="I270" s="168">
        <f t="shared" si="123"/>
        <v>21.8</v>
      </c>
      <c r="J270" s="168">
        <f t="shared" si="178"/>
        <v>94</v>
      </c>
      <c r="K270" s="267"/>
      <c r="L270" s="168"/>
      <c r="M270" s="168"/>
      <c r="N270" s="168"/>
      <c r="O270" s="168"/>
      <c r="P270" s="168">
        <f t="shared" si="179"/>
        <v>94</v>
      </c>
      <c r="Q270" s="168">
        <f t="shared" si="170"/>
        <v>62.51</v>
      </c>
      <c r="R270" s="268">
        <f t="shared" si="176"/>
        <v>168.33</v>
      </c>
      <c r="S270" s="268">
        <f t="shared" si="171"/>
        <v>33.67</v>
      </c>
      <c r="T270" s="268">
        <f t="shared" si="172"/>
        <v>202</v>
      </c>
      <c r="U270" s="269">
        <v>168</v>
      </c>
      <c r="V270" s="336">
        <f t="shared" si="180"/>
        <v>20.238095238095227</v>
      </c>
      <c r="W270" s="271">
        <v>194</v>
      </c>
      <c r="X270" s="272">
        <f t="shared" si="181"/>
        <v>4.1237113402061993</v>
      </c>
      <c r="Y270" s="231">
        <v>173</v>
      </c>
      <c r="Z270" s="273">
        <v>1.042</v>
      </c>
      <c r="AA270" s="274">
        <f t="shared" si="173"/>
        <v>202.15</v>
      </c>
      <c r="AB270" s="275">
        <f t="shared" si="174"/>
        <v>187.81</v>
      </c>
      <c r="AC270" s="276">
        <f t="shared" si="175"/>
        <v>7.6399999999999996E-2</v>
      </c>
      <c r="AD270" s="277">
        <f t="shared" si="182"/>
        <v>14.348683999999999</v>
      </c>
      <c r="AF270" s="235">
        <v>178.88200000000001</v>
      </c>
      <c r="AG270" s="106">
        <v>194</v>
      </c>
      <c r="AH270" s="281">
        <f t="shared" si="183"/>
        <v>8</v>
      </c>
      <c r="AI270" s="282">
        <v>4.9500000000000002E-2</v>
      </c>
      <c r="AJ270" s="283">
        <f t="shared" si="184"/>
        <v>14.348683999999999</v>
      </c>
      <c r="AK270" s="284"/>
      <c r="AM270" s="222">
        <v>-3.2899999999999999E-2</v>
      </c>
      <c r="AN270" s="285">
        <f t="shared" si="185"/>
        <v>1.0328999999999999</v>
      </c>
      <c r="AO270" s="285">
        <v>1.0680000000000001</v>
      </c>
      <c r="AQ270" s="286">
        <f t="shared" si="162"/>
        <v>207.19</v>
      </c>
      <c r="AS270" s="222">
        <v>1.034</v>
      </c>
      <c r="AT270" s="337">
        <v>-3.2899999999999999E-2</v>
      </c>
      <c r="AU270" s="285">
        <f t="shared" si="186"/>
        <v>8.0000000000000071E-3</v>
      </c>
      <c r="AW270" s="288">
        <f t="shared" si="187"/>
        <v>0.10929999999999999</v>
      </c>
      <c r="AX270" s="106">
        <v>194</v>
      </c>
      <c r="AY270" s="127" t="b">
        <f t="shared" si="188"/>
        <v>1</v>
      </c>
      <c r="AZ270" s="289">
        <f t="shared" si="189"/>
        <v>-2.9180000000000001</v>
      </c>
      <c r="BC270">
        <f t="shared" si="190"/>
        <v>1.0409999999999999</v>
      </c>
    </row>
    <row r="271" spans="1:55" x14ac:dyDescent="0.3">
      <c r="A271" s="264" t="s">
        <v>497</v>
      </c>
      <c r="B271" s="264" t="s">
        <v>265</v>
      </c>
      <c r="C271" s="265" t="s">
        <v>86</v>
      </c>
      <c r="D271" s="168" t="s">
        <v>198</v>
      </c>
      <c r="E271" s="239" t="s">
        <v>162</v>
      </c>
      <c r="F271" s="168">
        <f>VLOOKUP(E271,'[6]условия, ФОТ'!$A$14:$I$32,9, FALSE)</f>
        <v>180.5</v>
      </c>
      <c r="G271" s="266">
        <v>0.55000000000000004</v>
      </c>
      <c r="H271" s="168">
        <f t="shared" si="177"/>
        <v>99.28</v>
      </c>
      <c r="I271" s="168">
        <f t="shared" si="123"/>
        <v>29.98</v>
      </c>
      <c r="J271" s="168">
        <f t="shared" si="178"/>
        <v>129.26</v>
      </c>
      <c r="K271" s="267"/>
      <c r="L271" s="168"/>
      <c r="M271" s="168"/>
      <c r="N271" s="168"/>
      <c r="O271" s="168"/>
      <c r="P271" s="168">
        <f t="shared" si="179"/>
        <v>129.26</v>
      </c>
      <c r="Q271" s="168">
        <f t="shared" si="170"/>
        <v>85.96</v>
      </c>
      <c r="R271" s="268">
        <f t="shared" si="176"/>
        <v>231.67</v>
      </c>
      <c r="S271" s="268">
        <f t="shared" si="171"/>
        <v>46.33</v>
      </c>
      <c r="T271" s="268">
        <f t="shared" si="172"/>
        <v>278</v>
      </c>
      <c r="U271" s="269">
        <v>231</v>
      </c>
      <c r="V271" s="336">
        <f t="shared" si="180"/>
        <v>20.346320346320354</v>
      </c>
      <c r="W271" s="271">
        <v>267</v>
      </c>
      <c r="X271" s="272">
        <f t="shared" si="181"/>
        <v>4.119850187265925</v>
      </c>
      <c r="Y271" s="231">
        <v>239</v>
      </c>
      <c r="Z271" s="273">
        <v>1.042</v>
      </c>
      <c r="AA271" s="274">
        <f t="shared" si="173"/>
        <v>278.20999999999998</v>
      </c>
      <c r="AB271" s="275">
        <f t="shared" si="174"/>
        <v>258.26</v>
      </c>
      <c r="AC271" s="276">
        <f t="shared" si="175"/>
        <v>7.7200000000000005E-2</v>
      </c>
      <c r="AD271" s="277">
        <f t="shared" si="182"/>
        <v>19.937671999999999</v>
      </c>
      <c r="AF271" s="235">
        <v>247.126</v>
      </c>
      <c r="AG271" s="106">
        <v>267</v>
      </c>
      <c r="AH271" s="281">
        <f t="shared" si="183"/>
        <v>11</v>
      </c>
      <c r="AI271" s="282">
        <v>4.9799999999999997E-2</v>
      </c>
      <c r="AJ271" s="283">
        <f t="shared" si="184"/>
        <v>19.937671999999999</v>
      </c>
      <c r="AK271" s="284"/>
      <c r="AM271" s="222">
        <v>-2.8199999999999999E-2</v>
      </c>
      <c r="AN271" s="285">
        <f t="shared" si="185"/>
        <v>1.0282</v>
      </c>
      <c r="AO271" s="285">
        <v>1.0629999999999999</v>
      </c>
      <c r="AQ271" s="286">
        <f t="shared" si="162"/>
        <v>283.82</v>
      </c>
      <c r="AS271" s="222">
        <v>1.034</v>
      </c>
      <c r="AT271" s="337">
        <v>-2.8199999999999999E-2</v>
      </c>
      <c r="AU271" s="285">
        <f t="shared" si="186"/>
        <v>8.0000000000000071E-3</v>
      </c>
      <c r="AW271" s="288">
        <f t="shared" si="187"/>
        <v>0.10540000000000001</v>
      </c>
      <c r="AX271" s="106">
        <v>267</v>
      </c>
      <c r="AY271" s="127" t="b">
        <f t="shared" si="188"/>
        <v>1</v>
      </c>
      <c r="AZ271" s="289">
        <f t="shared" si="189"/>
        <v>-2.9180000000000001</v>
      </c>
      <c r="BC271">
        <f t="shared" si="190"/>
        <v>1.0409999999999999</v>
      </c>
    </row>
    <row r="272" spans="1:55" ht="25.5" x14ac:dyDescent="0.3">
      <c r="A272" s="264" t="s">
        <v>498</v>
      </c>
      <c r="B272" s="264" t="s">
        <v>266</v>
      </c>
      <c r="C272" s="265" t="s">
        <v>87</v>
      </c>
      <c r="D272" s="168" t="s">
        <v>198</v>
      </c>
      <c r="E272" s="239" t="s">
        <v>162</v>
      </c>
      <c r="F272" s="168">
        <f>VLOOKUP(E272,'[6]условия, ФОТ'!$A$14:$I$32,9, FALSE)</f>
        <v>180.5</v>
      </c>
      <c r="G272" s="266">
        <v>0.75</v>
      </c>
      <c r="H272" s="168">
        <f t="shared" si="177"/>
        <v>135.38</v>
      </c>
      <c r="I272" s="168">
        <f t="shared" si="123"/>
        <v>40.880000000000003</v>
      </c>
      <c r="J272" s="168">
        <f t="shared" si="178"/>
        <v>176.26</v>
      </c>
      <c r="K272" s="267"/>
      <c r="L272" s="168"/>
      <c r="M272" s="168"/>
      <c r="N272" s="168"/>
      <c r="O272" s="168"/>
      <c r="P272" s="168">
        <f t="shared" si="179"/>
        <v>176.26</v>
      </c>
      <c r="Q272" s="168">
        <f t="shared" si="170"/>
        <v>117.21</v>
      </c>
      <c r="R272" s="268">
        <f t="shared" si="176"/>
        <v>315.83</v>
      </c>
      <c r="S272" s="268">
        <f t="shared" si="171"/>
        <v>63.17</v>
      </c>
      <c r="T272" s="268">
        <f t="shared" si="172"/>
        <v>379</v>
      </c>
      <c r="U272" s="269">
        <v>315</v>
      </c>
      <c r="V272" s="336">
        <f t="shared" si="180"/>
        <v>20.317460317460316</v>
      </c>
      <c r="W272" s="271">
        <v>364</v>
      </c>
      <c r="X272" s="272">
        <f t="shared" si="181"/>
        <v>4.120879120879124</v>
      </c>
      <c r="Y272" s="231">
        <v>325</v>
      </c>
      <c r="Z272" s="273">
        <v>1.042</v>
      </c>
      <c r="AA272" s="274">
        <f t="shared" si="173"/>
        <v>379.29</v>
      </c>
      <c r="AB272" s="275">
        <f t="shared" si="174"/>
        <v>352.16</v>
      </c>
      <c r="AC272" s="276">
        <f t="shared" si="175"/>
        <v>7.6999999999999999E-2</v>
      </c>
      <c r="AD272" s="277">
        <f t="shared" si="182"/>
        <v>27.116320000000002</v>
      </c>
      <c r="AF272" s="235">
        <v>336.05</v>
      </c>
      <c r="AG272" s="106">
        <v>364</v>
      </c>
      <c r="AH272" s="281">
        <f t="shared" si="183"/>
        <v>15</v>
      </c>
      <c r="AI272" s="282">
        <v>4.9700000000000001E-2</v>
      </c>
      <c r="AJ272" s="283">
        <f t="shared" si="184"/>
        <v>27.116320000000002</v>
      </c>
      <c r="AK272" s="284"/>
      <c r="AM272" s="222">
        <v>-3.09E-2</v>
      </c>
      <c r="AN272" s="285">
        <f t="shared" si="185"/>
        <v>1.0308999999999999</v>
      </c>
      <c r="AO272" s="285">
        <v>1.0660000000000001</v>
      </c>
      <c r="AQ272" s="286">
        <f t="shared" si="162"/>
        <v>388.02</v>
      </c>
      <c r="AS272" s="222">
        <v>1.034</v>
      </c>
      <c r="AT272" s="337">
        <v>-3.09E-2</v>
      </c>
      <c r="AU272" s="285">
        <f t="shared" si="186"/>
        <v>8.0000000000000071E-3</v>
      </c>
      <c r="AW272" s="288">
        <f t="shared" si="187"/>
        <v>0.1079</v>
      </c>
      <c r="AX272" s="106">
        <v>364</v>
      </c>
      <c r="AY272" s="127" t="b">
        <f t="shared" si="188"/>
        <v>1</v>
      </c>
      <c r="AZ272" s="289">
        <f t="shared" si="189"/>
        <v>-2.9180000000000001</v>
      </c>
      <c r="BC272">
        <f t="shared" si="190"/>
        <v>1.0409999999999999</v>
      </c>
    </row>
    <row r="273" spans="1:55" ht="17.25" customHeight="1" x14ac:dyDescent="0.3">
      <c r="A273" s="264" t="s">
        <v>499</v>
      </c>
      <c r="B273" s="264" t="s">
        <v>267</v>
      </c>
      <c r="C273" s="265" t="s">
        <v>88</v>
      </c>
      <c r="D273" s="168" t="s">
        <v>177</v>
      </c>
      <c r="E273" s="239" t="s">
        <v>162</v>
      </c>
      <c r="F273" s="168">
        <f>VLOOKUP(E273,'[6]условия, ФОТ'!$A$14:$I$32,9, FALSE)</f>
        <v>180.5</v>
      </c>
      <c r="G273" s="266">
        <v>0.8</v>
      </c>
      <c r="H273" s="168">
        <f t="shared" si="177"/>
        <v>144.4</v>
      </c>
      <c r="I273" s="168">
        <f t="shared" si="123"/>
        <v>43.61</v>
      </c>
      <c r="J273" s="168">
        <f t="shared" si="178"/>
        <v>188.01</v>
      </c>
      <c r="K273" s="267"/>
      <c r="L273" s="168"/>
      <c r="M273" s="168"/>
      <c r="N273" s="168"/>
      <c r="O273" s="168"/>
      <c r="P273" s="168">
        <f t="shared" si="179"/>
        <v>188.01</v>
      </c>
      <c r="Q273" s="168">
        <f t="shared" si="170"/>
        <v>125.03</v>
      </c>
      <c r="R273" s="268">
        <f t="shared" si="176"/>
        <v>336.67</v>
      </c>
      <c r="S273" s="268">
        <f t="shared" si="171"/>
        <v>67.33</v>
      </c>
      <c r="T273" s="268">
        <f t="shared" si="172"/>
        <v>404</v>
      </c>
      <c r="U273" s="269">
        <v>336</v>
      </c>
      <c r="V273" s="336">
        <f t="shared" si="180"/>
        <v>20.238095238095227</v>
      </c>
      <c r="W273" s="271">
        <v>388</v>
      </c>
      <c r="X273" s="272">
        <f t="shared" si="181"/>
        <v>4.1237113402061993</v>
      </c>
      <c r="Y273" s="231">
        <v>347</v>
      </c>
      <c r="Z273" s="273">
        <v>1.042</v>
      </c>
      <c r="AA273" s="274">
        <f t="shared" si="173"/>
        <v>404.3</v>
      </c>
      <c r="AB273" s="275">
        <f t="shared" si="174"/>
        <v>375.65</v>
      </c>
      <c r="AC273" s="276">
        <f t="shared" si="175"/>
        <v>7.6300000000000007E-2</v>
      </c>
      <c r="AD273" s="277">
        <f t="shared" si="182"/>
        <v>28.662095000000001</v>
      </c>
      <c r="AF273" s="235">
        <v>358.798</v>
      </c>
      <c r="AG273" s="106">
        <v>388</v>
      </c>
      <c r="AH273" s="281">
        <f t="shared" si="183"/>
        <v>16</v>
      </c>
      <c r="AI273" s="282">
        <v>4.9799999999999997E-2</v>
      </c>
      <c r="AJ273" s="283">
        <f t="shared" si="184"/>
        <v>28.662095000000001</v>
      </c>
      <c r="AK273" s="284"/>
      <c r="AM273" s="222">
        <v>-0.03</v>
      </c>
      <c r="AN273" s="285">
        <f t="shared" si="185"/>
        <v>1.03</v>
      </c>
      <c r="AO273" s="285">
        <v>1.0649999999999999</v>
      </c>
      <c r="AQ273" s="286">
        <f t="shared" si="162"/>
        <v>413.22</v>
      </c>
      <c r="AS273" s="222">
        <v>1.034</v>
      </c>
      <c r="AT273" s="337">
        <v>-0.03</v>
      </c>
      <c r="AU273" s="285">
        <f t="shared" si="186"/>
        <v>8.0000000000000071E-3</v>
      </c>
      <c r="AW273" s="288">
        <f t="shared" si="187"/>
        <v>0.10630000000000001</v>
      </c>
      <c r="AX273" s="106">
        <v>388</v>
      </c>
      <c r="AY273" s="127" t="b">
        <f t="shared" si="188"/>
        <v>1</v>
      </c>
      <c r="AZ273" s="289">
        <f t="shared" si="189"/>
        <v>-2.9180000000000001</v>
      </c>
      <c r="BC273">
        <f t="shared" si="190"/>
        <v>1.0409999999999999</v>
      </c>
    </row>
    <row r="274" spans="1:55" ht="31.7" customHeight="1" x14ac:dyDescent="0.3">
      <c r="A274" s="264" t="s">
        <v>500</v>
      </c>
      <c r="B274" s="264" t="s">
        <v>268</v>
      </c>
      <c r="C274" s="265" t="s">
        <v>89</v>
      </c>
      <c r="D274" s="168" t="s">
        <v>198</v>
      </c>
      <c r="E274" s="239" t="s">
        <v>162</v>
      </c>
      <c r="F274" s="168">
        <f>VLOOKUP(E274,'[6]условия, ФОТ'!$A$14:$I$32,9, FALSE)</f>
        <v>180.5</v>
      </c>
      <c r="G274" s="266">
        <v>1</v>
      </c>
      <c r="H274" s="168">
        <f t="shared" si="177"/>
        <v>180.5</v>
      </c>
      <c r="I274" s="168">
        <f t="shared" si="123"/>
        <v>54.51</v>
      </c>
      <c r="J274" s="168">
        <f t="shared" si="178"/>
        <v>235.01</v>
      </c>
      <c r="K274" s="267"/>
      <c r="L274" s="168"/>
      <c r="M274" s="168"/>
      <c r="N274" s="168"/>
      <c r="O274" s="168"/>
      <c r="P274" s="168">
        <f t="shared" si="179"/>
        <v>235.01</v>
      </c>
      <c r="Q274" s="168">
        <f t="shared" si="170"/>
        <v>156.28</v>
      </c>
      <c r="R274" s="268">
        <f t="shared" si="176"/>
        <v>420.83</v>
      </c>
      <c r="S274" s="268">
        <f t="shared" si="171"/>
        <v>84.17</v>
      </c>
      <c r="T274" s="268">
        <f t="shared" si="172"/>
        <v>505</v>
      </c>
      <c r="U274" s="269">
        <v>420</v>
      </c>
      <c r="V274" s="336">
        <f t="shared" si="180"/>
        <v>20.238095238095227</v>
      </c>
      <c r="W274" s="271">
        <v>485</v>
      </c>
      <c r="X274" s="272">
        <f t="shared" si="181"/>
        <v>4.1237113402061993</v>
      </c>
      <c r="Y274" s="231">
        <v>434</v>
      </c>
      <c r="Z274" s="273">
        <v>1.042</v>
      </c>
      <c r="AA274" s="274">
        <f t="shared" si="173"/>
        <v>505.37</v>
      </c>
      <c r="AB274" s="275">
        <f t="shared" si="174"/>
        <v>469.55</v>
      </c>
      <c r="AC274" s="276">
        <f t="shared" si="175"/>
        <v>7.6300000000000007E-2</v>
      </c>
      <c r="AD274" s="277">
        <f t="shared" si="182"/>
        <v>35.826665000000006</v>
      </c>
      <c r="AF274" s="235">
        <v>448.75600000000003</v>
      </c>
      <c r="AG274" s="106">
        <v>485</v>
      </c>
      <c r="AH274" s="281">
        <f t="shared" si="183"/>
        <v>20</v>
      </c>
      <c r="AI274" s="282">
        <v>4.9500000000000002E-2</v>
      </c>
      <c r="AJ274" s="283">
        <f t="shared" si="184"/>
        <v>35.826665000000006</v>
      </c>
      <c r="AK274" s="284"/>
      <c r="AM274" s="222">
        <v>-2.9399999999999999E-2</v>
      </c>
      <c r="AN274" s="285">
        <f t="shared" si="185"/>
        <v>1.0294000000000001</v>
      </c>
      <c r="AO274" s="285">
        <v>1.0640000000000001</v>
      </c>
      <c r="AQ274" s="286">
        <f t="shared" si="162"/>
        <v>516.04</v>
      </c>
      <c r="AS274" s="222">
        <v>1.034</v>
      </c>
      <c r="AT274" s="337">
        <v>-2.9399999999999999E-2</v>
      </c>
      <c r="AU274" s="285">
        <f t="shared" si="186"/>
        <v>8.0000000000000071E-3</v>
      </c>
      <c r="AW274" s="288">
        <f t="shared" si="187"/>
        <v>0.1057</v>
      </c>
      <c r="AX274" s="106">
        <v>485</v>
      </c>
      <c r="AY274" s="127" t="b">
        <f t="shared" si="188"/>
        <v>1</v>
      </c>
      <c r="AZ274" s="289">
        <f t="shared" si="189"/>
        <v>-2.9180000000000001</v>
      </c>
      <c r="BC274">
        <f t="shared" si="190"/>
        <v>1.0409999999999999</v>
      </c>
    </row>
    <row r="275" spans="1:55" ht="30.75" customHeight="1" x14ac:dyDescent="0.3">
      <c r="A275" s="264" t="s">
        <v>501</v>
      </c>
      <c r="B275" s="264" t="s">
        <v>269</v>
      </c>
      <c r="C275" s="265" t="s">
        <v>90</v>
      </c>
      <c r="D275" s="168" t="s">
        <v>198</v>
      </c>
      <c r="E275" s="239" t="s">
        <v>162</v>
      </c>
      <c r="F275" s="168">
        <f>VLOOKUP(E275,'[6]условия, ФОТ'!$A$14:$I$32,9, FALSE)</f>
        <v>180.5</v>
      </c>
      <c r="G275" s="266">
        <v>0.25</v>
      </c>
      <c r="H275" s="168">
        <f t="shared" si="177"/>
        <v>45.13</v>
      </c>
      <c r="I275" s="168">
        <f t="shared" si="123"/>
        <v>13.63</v>
      </c>
      <c r="J275" s="168">
        <f t="shared" si="178"/>
        <v>58.760000000000005</v>
      </c>
      <c r="K275" s="267"/>
      <c r="L275" s="168"/>
      <c r="M275" s="168"/>
      <c r="N275" s="168"/>
      <c r="O275" s="168"/>
      <c r="P275" s="168">
        <f t="shared" si="179"/>
        <v>58.760000000000005</v>
      </c>
      <c r="Q275" s="168">
        <f t="shared" si="170"/>
        <v>39.08</v>
      </c>
      <c r="R275" s="268">
        <f t="shared" si="176"/>
        <v>105</v>
      </c>
      <c r="S275" s="268">
        <f t="shared" si="171"/>
        <v>21</v>
      </c>
      <c r="T275" s="268">
        <f t="shared" si="172"/>
        <v>126</v>
      </c>
      <c r="U275" s="269">
        <v>105</v>
      </c>
      <c r="V275" s="336">
        <f t="shared" si="180"/>
        <v>20</v>
      </c>
      <c r="W275" s="271">
        <v>121</v>
      </c>
      <c r="X275" s="272">
        <f t="shared" si="181"/>
        <v>4.1322314049586879</v>
      </c>
      <c r="Y275" s="231">
        <v>108</v>
      </c>
      <c r="Z275" s="273">
        <v>1.042</v>
      </c>
      <c r="AA275" s="274">
        <f t="shared" si="173"/>
        <v>126.08</v>
      </c>
      <c r="AB275" s="275">
        <f t="shared" si="174"/>
        <v>117.41</v>
      </c>
      <c r="AC275" s="276">
        <f t="shared" si="175"/>
        <v>7.3800000000000004E-2</v>
      </c>
      <c r="AD275" s="277">
        <f t="shared" si="182"/>
        <v>8.6648580000000006</v>
      </c>
      <c r="AF275" s="235">
        <v>111.672</v>
      </c>
      <c r="AG275" s="106">
        <v>121</v>
      </c>
      <c r="AH275" s="281">
        <f t="shared" si="183"/>
        <v>5</v>
      </c>
      <c r="AI275" s="282">
        <v>4.9099999999999998E-2</v>
      </c>
      <c r="AJ275" s="283">
        <f t="shared" si="184"/>
        <v>8.6648580000000006</v>
      </c>
      <c r="AK275" s="284"/>
      <c r="AM275" s="222">
        <v>-3.4000000000000002E-2</v>
      </c>
      <c r="AN275" s="285">
        <f t="shared" si="185"/>
        <v>1.034</v>
      </c>
      <c r="AO275" s="285">
        <v>1.069</v>
      </c>
      <c r="AQ275" s="286">
        <f t="shared" si="162"/>
        <v>129.35</v>
      </c>
      <c r="AS275" s="222">
        <v>1.034</v>
      </c>
      <c r="AT275" s="337">
        <v>-3.4000000000000002E-2</v>
      </c>
      <c r="AU275" s="285">
        <f t="shared" si="186"/>
        <v>8.0000000000000071E-3</v>
      </c>
      <c r="AW275" s="288">
        <f t="shared" si="187"/>
        <v>0.10780000000000001</v>
      </c>
      <c r="AX275" s="106">
        <v>121</v>
      </c>
      <c r="AY275" s="127" t="b">
        <f t="shared" si="188"/>
        <v>1</v>
      </c>
      <c r="AZ275" s="289">
        <f t="shared" si="189"/>
        <v>-2.9279999999999999</v>
      </c>
      <c r="BC275">
        <f t="shared" si="190"/>
        <v>1.0409999999999999</v>
      </c>
    </row>
    <row r="276" spans="1:55" ht="21.75" customHeight="1" x14ac:dyDescent="0.3">
      <c r="A276" s="264" t="s">
        <v>502</v>
      </c>
      <c r="B276" s="264" t="s">
        <v>270</v>
      </c>
      <c r="C276" s="265" t="s">
        <v>91</v>
      </c>
      <c r="D276" s="168" t="s">
        <v>198</v>
      </c>
      <c r="E276" s="239" t="s">
        <v>162</v>
      </c>
      <c r="F276" s="168">
        <f>VLOOKUP(E276,'[6]условия, ФОТ'!$A$14:$I$32,9, FALSE)</f>
        <v>180.5</v>
      </c>
      <c r="G276" s="266">
        <v>0.25</v>
      </c>
      <c r="H276" s="168">
        <f t="shared" si="177"/>
        <v>45.13</v>
      </c>
      <c r="I276" s="168">
        <f t="shared" si="123"/>
        <v>13.63</v>
      </c>
      <c r="J276" s="168">
        <f t="shared" si="178"/>
        <v>58.760000000000005</v>
      </c>
      <c r="K276" s="267"/>
      <c r="L276" s="168"/>
      <c r="M276" s="168"/>
      <c r="N276" s="168"/>
      <c r="O276" s="168"/>
      <c r="P276" s="168">
        <f t="shared" si="179"/>
        <v>58.760000000000005</v>
      </c>
      <c r="Q276" s="168">
        <f t="shared" si="170"/>
        <v>39.08</v>
      </c>
      <c r="R276" s="268">
        <f t="shared" si="176"/>
        <v>105</v>
      </c>
      <c r="S276" s="268">
        <f t="shared" si="171"/>
        <v>21</v>
      </c>
      <c r="T276" s="268">
        <f t="shared" si="172"/>
        <v>126</v>
      </c>
      <c r="U276" s="269">
        <v>105</v>
      </c>
      <c r="V276" s="336">
        <f t="shared" si="180"/>
        <v>20</v>
      </c>
      <c r="W276" s="271">
        <v>121</v>
      </c>
      <c r="X276" s="272">
        <f t="shared" si="181"/>
        <v>4.1322314049586879</v>
      </c>
      <c r="Y276" s="231">
        <v>108</v>
      </c>
      <c r="Z276" s="273">
        <v>1.042</v>
      </c>
      <c r="AA276" s="274">
        <f t="shared" si="173"/>
        <v>126.08</v>
      </c>
      <c r="AB276" s="275">
        <f t="shared" si="174"/>
        <v>117.41</v>
      </c>
      <c r="AC276" s="276">
        <f t="shared" si="175"/>
        <v>7.3800000000000004E-2</v>
      </c>
      <c r="AD276" s="277">
        <f t="shared" si="182"/>
        <v>8.6648580000000006</v>
      </c>
      <c r="AF276" s="235">
        <v>111.672</v>
      </c>
      <c r="AG276" s="106">
        <v>121</v>
      </c>
      <c r="AH276" s="281">
        <f t="shared" si="183"/>
        <v>5</v>
      </c>
      <c r="AI276" s="282">
        <v>4.9099999999999998E-2</v>
      </c>
      <c r="AJ276" s="283">
        <f t="shared" si="184"/>
        <v>8.6648580000000006</v>
      </c>
      <c r="AK276" s="284"/>
      <c r="AM276" s="222">
        <v>-3.4000000000000002E-2</v>
      </c>
      <c r="AN276" s="285">
        <f t="shared" si="185"/>
        <v>1.034</v>
      </c>
      <c r="AO276" s="285">
        <v>1.069</v>
      </c>
      <c r="AQ276" s="286">
        <f t="shared" si="162"/>
        <v>129.35</v>
      </c>
      <c r="AS276" s="222">
        <v>1.034</v>
      </c>
      <c r="AT276" s="337">
        <v>-3.4000000000000002E-2</v>
      </c>
      <c r="AU276" s="285">
        <f t="shared" si="186"/>
        <v>8.0000000000000071E-3</v>
      </c>
      <c r="AW276" s="288">
        <f t="shared" si="187"/>
        <v>0.10780000000000001</v>
      </c>
      <c r="AX276" s="106">
        <v>121</v>
      </c>
      <c r="AY276" s="127" t="b">
        <f t="shared" si="188"/>
        <v>1</v>
      </c>
      <c r="AZ276" s="289">
        <f t="shared" si="189"/>
        <v>-2.9279999999999999</v>
      </c>
      <c r="BC276">
        <f t="shared" si="190"/>
        <v>1.0409999999999999</v>
      </c>
    </row>
    <row r="277" spans="1:55" ht="25.5" x14ac:dyDescent="0.3">
      <c r="A277" s="264" t="s">
        <v>503</v>
      </c>
      <c r="B277" s="264" t="s">
        <v>271</v>
      </c>
      <c r="C277" s="265" t="s">
        <v>92</v>
      </c>
      <c r="D277" s="168" t="s">
        <v>198</v>
      </c>
      <c r="E277" s="239" t="s">
        <v>162</v>
      </c>
      <c r="F277" s="168">
        <f>VLOOKUP(E277,'[6]условия, ФОТ'!$A$14:$I$32,9, FALSE)</f>
        <v>180.5</v>
      </c>
      <c r="G277" s="266">
        <v>0.25</v>
      </c>
      <c r="H277" s="168">
        <f t="shared" si="177"/>
        <v>45.13</v>
      </c>
      <c r="I277" s="168">
        <f t="shared" si="123"/>
        <v>13.63</v>
      </c>
      <c r="J277" s="168">
        <f t="shared" si="178"/>
        <v>58.760000000000005</v>
      </c>
      <c r="K277" s="267"/>
      <c r="L277" s="168"/>
      <c r="M277" s="168"/>
      <c r="N277" s="168"/>
      <c r="O277" s="168"/>
      <c r="P277" s="168">
        <f t="shared" si="179"/>
        <v>58.760000000000005</v>
      </c>
      <c r="Q277" s="168">
        <f t="shared" si="170"/>
        <v>39.08</v>
      </c>
      <c r="R277" s="268">
        <f t="shared" si="176"/>
        <v>105</v>
      </c>
      <c r="S277" s="268">
        <f t="shared" si="171"/>
        <v>21</v>
      </c>
      <c r="T277" s="268">
        <f t="shared" si="172"/>
        <v>126</v>
      </c>
      <c r="U277" s="269">
        <v>105</v>
      </c>
      <c r="V277" s="336">
        <f t="shared" si="180"/>
        <v>20</v>
      </c>
      <c r="W277" s="271">
        <v>121</v>
      </c>
      <c r="X277" s="272">
        <f t="shared" si="181"/>
        <v>4.1322314049586879</v>
      </c>
      <c r="Y277" s="231">
        <v>108</v>
      </c>
      <c r="Z277" s="273">
        <v>1.042</v>
      </c>
      <c r="AA277" s="274">
        <f t="shared" si="173"/>
        <v>126.08</v>
      </c>
      <c r="AB277" s="275">
        <f t="shared" si="174"/>
        <v>117.41</v>
      </c>
      <c r="AC277" s="276">
        <f t="shared" si="175"/>
        <v>7.3800000000000004E-2</v>
      </c>
      <c r="AD277" s="277">
        <f t="shared" si="182"/>
        <v>8.6648580000000006</v>
      </c>
      <c r="AF277" s="235">
        <v>111.672</v>
      </c>
      <c r="AG277" s="106">
        <v>121</v>
      </c>
      <c r="AH277" s="281">
        <f t="shared" si="183"/>
        <v>5</v>
      </c>
      <c r="AI277" s="282">
        <v>4.9099999999999998E-2</v>
      </c>
      <c r="AJ277" s="283">
        <f t="shared" si="184"/>
        <v>8.6648580000000006</v>
      </c>
      <c r="AK277" s="284"/>
      <c r="AM277" s="222">
        <v>-3.4000000000000002E-2</v>
      </c>
      <c r="AN277" s="285">
        <f t="shared" si="185"/>
        <v>1.034</v>
      </c>
      <c r="AO277" s="285">
        <v>1.069</v>
      </c>
      <c r="AQ277" s="286">
        <f t="shared" si="162"/>
        <v>129.35</v>
      </c>
      <c r="AS277" s="222">
        <v>1.034</v>
      </c>
      <c r="AT277" s="337">
        <v>-3.4000000000000002E-2</v>
      </c>
      <c r="AU277" s="285">
        <f t="shared" si="186"/>
        <v>8.0000000000000071E-3</v>
      </c>
      <c r="AW277" s="288">
        <f t="shared" si="187"/>
        <v>0.10780000000000001</v>
      </c>
      <c r="AX277" s="106">
        <v>121</v>
      </c>
      <c r="AY277" s="127" t="b">
        <f t="shared" si="188"/>
        <v>1</v>
      </c>
      <c r="AZ277" s="289">
        <f t="shared" si="189"/>
        <v>-2.9279999999999999</v>
      </c>
      <c r="BC277">
        <f t="shared" si="190"/>
        <v>1.0409999999999999</v>
      </c>
    </row>
    <row r="278" spans="1:55" x14ac:dyDescent="0.3">
      <c r="A278" s="264" t="s">
        <v>504</v>
      </c>
      <c r="B278" s="264" t="s">
        <v>272</v>
      </c>
      <c r="C278" s="265" t="s">
        <v>93</v>
      </c>
      <c r="D278" s="168" t="s">
        <v>198</v>
      </c>
      <c r="E278" s="239" t="s">
        <v>162</v>
      </c>
      <c r="F278" s="168">
        <f>VLOOKUP(E278,'[6]условия, ФОТ'!$A$14:$I$32,9, FALSE)</f>
        <v>180.5</v>
      </c>
      <c r="G278" s="266">
        <v>0.5</v>
      </c>
      <c r="H278" s="168">
        <f t="shared" si="177"/>
        <v>90.25</v>
      </c>
      <c r="I278" s="168">
        <f t="shared" si="123"/>
        <v>27.26</v>
      </c>
      <c r="J278" s="168">
        <f t="shared" si="178"/>
        <v>117.51</v>
      </c>
      <c r="K278" s="267"/>
      <c r="L278" s="168"/>
      <c r="M278" s="168"/>
      <c r="N278" s="168"/>
      <c r="O278" s="168"/>
      <c r="P278" s="168">
        <f t="shared" si="179"/>
        <v>117.51</v>
      </c>
      <c r="Q278" s="168">
        <f t="shared" si="170"/>
        <v>78.14</v>
      </c>
      <c r="R278" s="268">
        <f t="shared" si="176"/>
        <v>210.83</v>
      </c>
      <c r="S278" s="268">
        <f t="shared" si="171"/>
        <v>42.17</v>
      </c>
      <c r="T278" s="268">
        <f t="shared" si="172"/>
        <v>253</v>
      </c>
      <c r="U278" s="269">
        <v>210</v>
      </c>
      <c r="V278" s="336">
        <f t="shared" si="180"/>
        <v>20.476190476190467</v>
      </c>
      <c r="W278" s="271">
        <v>243</v>
      </c>
      <c r="X278" s="272">
        <f t="shared" si="181"/>
        <v>4.1152263374485614</v>
      </c>
      <c r="Y278" s="231">
        <v>217</v>
      </c>
      <c r="Z278" s="273">
        <v>1.042</v>
      </c>
      <c r="AA278" s="274">
        <f t="shared" si="173"/>
        <v>253.21</v>
      </c>
      <c r="AB278" s="275">
        <f t="shared" si="174"/>
        <v>234.78</v>
      </c>
      <c r="AC278" s="276">
        <f t="shared" si="175"/>
        <v>7.85E-2</v>
      </c>
      <c r="AD278" s="277">
        <f t="shared" si="182"/>
        <v>18.430230000000002</v>
      </c>
      <c r="AF278" s="235">
        <v>224.37800000000001</v>
      </c>
      <c r="AG278" s="106">
        <v>243</v>
      </c>
      <c r="AH278" s="281">
        <f t="shared" si="183"/>
        <v>10</v>
      </c>
      <c r="AI278" s="282">
        <v>4.9399999999999999E-2</v>
      </c>
      <c r="AJ278" s="283">
        <f t="shared" si="184"/>
        <v>18.430230000000002</v>
      </c>
      <c r="AK278" s="284"/>
      <c r="AM278" s="222">
        <v>-2.9399999999999999E-2</v>
      </c>
      <c r="AN278" s="285">
        <f t="shared" si="185"/>
        <v>1.0294000000000001</v>
      </c>
      <c r="AO278" s="285">
        <v>1.0640000000000001</v>
      </c>
      <c r="AQ278" s="286">
        <f t="shared" si="162"/>
        <v>258.55</v>
      </c>
      <c r="AS278" s="222">
        <v>1.034</v>
      </c>
      <c r="AT278" s="337">
        <v>-2.9399999999999999E-2</v>
      </c>
      <c r="AU278" s="285">
        <f t="shared" si="186"/>
        <v>8.0000000000000071E-3</v>
      </c>
      <c r="AW278" s="288">
        <f t="shared" si="187"/>
        <v>0.1079</v>
      </c>
      <c r="AX278" s="106">
        <v>243</v>
      </c>
      <c r="AY278" s="127" t="b">
        <f t="shared" si="188"/>
        <v>1</v>
      </c>
      <c r="AZ278" s="289">
        <f t="shared" si="189"/>
        <v>-2.9080000000000004</v>
      </c>
      <c r="BC278">
        <f t="shared" si="190"/>
        <v>1.0409999999999999</v>
      </c>
    </row>
    <row r="279" spans="1:55" x14ac:dyDescent="0.3">
      <c r="A279" s="264" t="s">
        <v>505</v>
      </c>
      <c r="B279" s="264" t="s">
        <v>273</v>
      </c>
      <c r="C279" s="265" t="s">
        <v>94</v>
      </c>
      <c r="D279" s="168" t="s">
        <v>198</v>
      </c>
      <c r="E279" s="239" t="s">
        <v>162</v>
      </c>
      <c r="F279" s="168">
        <f>VLOOKUP(E279,'[6]условия, ФОТ'!$A$14:$I$32,9, FALSE)</f>
        <v>180.5</v>
      </c>
      <c r="G279" s="266">
        <v>0.91</v>
      </c>
      <c r="H279" s="168">
        <f t="shared" si="177"/>
        <v>164.26</v>
      </c>
      <c r="I279" s="168">
        <f t="shared" si="123"/>
        <v>49.61</v>
      </c>
      <c r="J279" s="168">
        <f t="shared" si="178"/>
        <v>213.87</v>
      </c>
      <c r="K279" s="267"/>
      <c r="L279" s="168"/>
      <c r="M279" s="168"/>
      <c r="N279" s="168"/>
      <c r="O279" s="168"/>
      <c r="P279" s="168">
        <f t="shared" si="179"/>
        <v>213.87</v>
      </c>
      <c r="Q279" s="168">
        <f t="shared" si="170"/>
        <v>142.22</v>
      </c>
      <c r="R279" s="268">
        <f t="shared" si="176"/>
        <v>384.17</v>
      </c>
      <c r="S279" s="268">
        <f t="shared" si="171"/>
        <v>76.83</v>
      </c>
      <c r="T279" s="268">
        <f t="shared" si="172"/>
        <v>461</v>
      </c>
      <c r="U279" s="269">
        <v>382</v>
      </c>
      <c r="V279" s="336">
        <f t="shared" si="180"/>
        <v>20.680628272251298</v>
      </c>
      <c r="W279" s="271">
        <v>442</v>
      </c>
      <c r="X279" s="272">
        <f t="shared" si="181"/>
        <v>4.2986425339366576</v>
      </c>
      <c r="Y279" s="231">
        <v>395</v>
      </c>
      <c r="Z279" s="273">
        <v>1.042</v>
      </c>
      <c r="AA279" s="274">
        <f t="shared" si="173"/>
        <v>460.56</v>
      </c>
      <c r="AB279" s="275">
        <f t="shared" si="174"/>
        <v>427.31</v>
      </c>
      <c r="AC279" s="276">
        <f t="shared" si="175"/>
        <v>7.7799999999999994E-2</v>
      </c>
      <c r="AD279" s="277">
        <f t="shared" si="182"/>
        <v>33.244717999999999</v>
      </c>
      <c r="AF279" s="235">
        <v>408.43</v>
      </c>
      <c r="AG279" s="106">
        <v>442</v>
      </c>
      <c r="AH279" s="281">
        <f t="shared" si="183"/>
        <v>19</v>
      </c>
      <c r="AI279" s="282">
        <v>4.9599999999999998E-2</v>
      </c>
      <c r="AJ279" s="283">
        <f t="shared" si="184"/>
        <v>33.244717999999999</v>
      </c>
      <c r="AK279" s="284"/>
      <c r="AM279" s="222">
        <v>-2.92E-2</v>
      </c>
      <c r="AN279" s="285">
        <f t="shared" si="185"/>
        <v>1.0291999999999999</v>
      </c>
      <c r="AO279" s="285">
        <v>1.0640000000000001</v>
      </c>
      <c r="AQ279" s="286">
        <f t="shared" si="162"/>
        <v>470.29</v>
      </c>
      <c r="AS279" s="222">
        <v>1.034</v>
      </c>
      <c r="AT279" s="337">
        <v>-2.92E-2</v>
      </c>
      <c r="AU279" s="285">
        <f t="shared" si="186"/>
        <v>8.0000000000000071E-3</v>
      </c>
      <c r="AW279" s="288">
        <f t="shared" si="187"/>
        <v>0.107</v>
      </c>
      <c r="AX279" s="106">
        <v>442</v>
      </c>
      <c r="AY279" s="127" t="b">
        <f t="shared" si="188"/>
        <v>1</v>
      </c>
      <c r="AZ279" s="289">
        <f t="shared" si="189"/>
        <v>-3.0780000000000003</v>
      </c>
      <c r="BC279">
        <f t="shared" si="190"/>
        <v>1.0429999999999999</v>
      </c>
    </row>
    <row r="280" spans="1:55" x14ac:dyDescent="0.3">
      <c r="A280" s="264" t="s">
        <v>506</v>
      </c>
      <c r="B280" s="264" t="s">
        <v>274</v>
      </c>
      <c r="C280" s="265" t="s">
        <v>95</v>
      </c>
      <c r="D280" s="168" t="s">
        <v>198</v>
      </c>
      <c r="E280" s="239" t="s">
        <v>162</v>
      </c>
      <c r="F280" s="168">
        <f>VLOOKUP(E280,'[6]условия, ФОТ'!$A$14:$I$32,9, FALSE)</f>
        <v>180.5</v>
      </c>
      <c r="G280" s="266">
        <v>0.72</v>
      </c>
      <c r="H280" s="168">
        <f t="shared" si="177"/>
        <v>129.96</v>
      </c>
      <c r="I280" s="168">
        <f t="shared" si="123"/>
        <v>39.25</v>
      </c>
      <c r="J280" s="168">
        <f t="shared" si="178"/>
        <v>169.21</v>
      </c>
      <c r="K280" s="267"/>
      <c r="L280" s="168"/>
      <c r="M280" s="168"/>
      <c r="N280" s="168"/>
      <c r="O280" s="168"/>
      <c r="P280" s="168">
        <f t="shared" si="179"/>
        <v>169.21</v>
      </c>
      <c r="Q280" s="168">
        <f t="shared" si="170"/>
        <v>112.52</v>
      </c>
      <c r="R280" s="268">
        <f t="shared" si="176"/>
        <v>303.33</v>
      </c>
      <c r="S280" s="268">
        <f t="shared" si="171"/>
        <v>60.67</v>
      </c>
      <c r="T280" s="268">
        <f t="shared" si="172"/>
        <v>364</v>
      </c>
      <c r="U280" s="269">
        <v>303</v>
      </c>
      <c r="V280" s="336">
        <f t="shared" si="180"/>
        <v>20.132013201320149</v>
      </c>
      <c r="W280" s="271">
        <v>349</v>
      </c>
      <c r="X280" s="272">
        <f t="shared" si="181"/>
        <v>4.2979942693409612</v>
      </c>
      <c r="Y280" s="231">
        <v>312</v>
      </c>
      <c r="Z280" s="273">
        <v>1.042</v>
      </c>
      <c r="AA280" s="274">
        <f t="shared" si="173"/>
        <v>363.66</v>
      </c>
      <c r="AB280" s="275">
        <f t="shared" si="174"/>
        <v>338.08</v>
      </c>
      <c r="AC280" s="276">
        <f t="shared" si="175"/>
        <v>7.5700000000000003E-2</v>
      </c>
      <c r="AD280" s="277">
        <f t="shared" si="182"/>
        <v>25.592656000000002</v>
      </c>
      <c r="AF280" s="235">
        <v>322.608</v>
      </c>
      <c r="AG280" s="106">
        <v>349</v>
      </c>
      <c r="AH280" s="281">
        <f t="shared" si="183"/>
        <v>15</v>
      </c>
      <c r="AI280" s="282">
        <v>4.9700000000000001E-2</v>
      </c>
      <c r="AJ280" s="283">
        <f t="shared" si="184"/>
        <v>25.592656000000002</v>
      </c>
      <c r="AK280" s="284"/>
      <c r="AM280" s="222">
        <v>-3.09E-2</v>
      </c>
      <c r="AN280" s="285">
        <f t="shared" si="185"/>
        <v>1.0308999999999999</v>
      </c>
      <c r="AO280" s="285">
        <v>1.0660000000000001</v>
      </c>
      <c r="AQ280" s="286">
        <f t="shared" si="162"/>
        <v>372.03</v>
      </c>
      <c r="AS280" s="222">
        <v>1.034</v>
      </c>
      <c r="AT280" s="337">
        <v>-3.09E-2</v>
      </c>
      <c r="AU280" s="285">
        <f t="shared" si="186"/>
        <v>8.0000000000000071E-3</v>
      </c>
      <c r="AW280" s="288">
        <f t="shared" si="187"/>
        <v>0.1066</v>
      </c>
      <c r="AX280" s="106">
        <v>349</v>
      </c>
      <c r="AY280" s="127" t="b">
        <f t="shared" si="188"/>
        <v>1</v>
      </c>
      <c r="AZ280" s="289">
        <f t="shared" si="189"/>
        <v>-3.0780000000000003</v>
      </c>
      <c r="BC280">
        <f t="shared" si="190"/>
        <v>1.0429999999999999</v>
      </c>
    </row>
    <row r="281" spans="1:55" ht="25.5" x14ac:dyDescent="0.3">
      <c r="A281" s="264" t="s">
        <v>507</v>
      </c>
      <c r="B281" s="264" t="s">
        <v>275</v>
      </c>
      <c r="C281" s="265" t="s">
        <v>96</v>
      </c>
      <c r="D281" s="168" t="s">
        <v>198</v>
      </c>
      <c r="E281" s="239" t="s">
        <v>162</v>
      </c>
      <c r="F281" s="168">
        <f>VLOOKUP(E281,'[6]условия, ФОТ'!$A$14:$I$32,9, FALSE)</f>
        <v>180.5</v>
      </c>
      <c r="G281" s="266">
        <v>0.42</v>
      </c>
      <c r="H281" s="168">
        <f t="shared" si="177"/>
        <v>75.81</v>
      </c>
      <c r="I281" s="168">
        <f t="shared" si="123"/>
        <v>22.89</v>
      </c>
      <c r="J281" s="168">
        <f t="shared" si="178"/>
        <v>98.7</v>
      </c>
      <c r="K281" s="267"/>
      <c r="L281" s="168"/>
      <c r="M281" s="168"/>
      <c r="N281" s="168"/>
      <c r="O281" s="168"/>
      <c r="P281" s="168">
        <f t="shared" si="179"/>
        <v>98.7</v>
      </c>
      <c r="Q281" s="168">
        <f t="shared" si="170"/>
        <v>65.64</v>
      </c>
      <c r="R281" s="268">
        <f t="shared" si="176"/>
        <v>177.5</v>
      </c>
      <c r="S281" s="268">
        <f t="shared" si="171"/>
        <v>35.5</v>
      </c>
      <c r="T281" s="268">
        <f t="shared" si="172"/>
        <v>213</v>
      </c>
      <c r="U281" s="269">
        <v>177</v>
      </c>
      <c r="V281" s="336">
        <f t="shared" si="180"/>
        <v>20.338983050847446</v>
      </c>
      <c r="W281" s="271">
        <v>204</v>
      </c>
      <c r="X281" s="272">
        <f t="shared" si="181"/>
        <v>4.4117647058823621</v>
      </c>
      <c r="Y281" s="231">
        <v>182</v>
      </c>
      <c r="Z281" s="273">
        <v>1.042</v>
      </c>
      <c r="AA281" s="274">
        <f t="shared" si="173"/>
        <v>212.57</v>
      </c>
      <c r="AB281" s="275">
        <f t="shared" si="174"/>
        <v>197.21</v>
      </c>
      <c r="AC281" s="276">
        <f t="shared" si="175"/>
        <v>7.7899999999999997E-2</v>
      </c>
      <c r="AD281" s="277">
        <f t="shared" si="182"/>
        <v>15.362659000000001</v>
      </c>
      <c r="AF281" s="235">
        <v>188.18800000000002</v>
      </c>
      <c r="AG281" s="106">
        <v>204</v>
      </c>
      <c r="AH281" s="281">
        <f t="shared" si="183"/>
        <v>9</v>
      </c>
      <c r="AI281" s="282">
        <v>4.9700000000000001E-2</v>
      </c>
      <c r="AJ281" s="283">
        <f t="shared" si="184"/>
        <v>15.362659000000001</v>
      </c>
      <c r="AK281" s="284"/>
      <c r="AM281" s="222">
        <v>-3.0800000000000001E-2</v>
      </c>
      <c r="AN281" s="285">
        <f t="shared" si="185"/>
        <v>1.0307999999999999</v>
      </c>
      <c r="AO281" s="285">
        <v>1.0660000000000001</v>
      </c>
      <c r="AQ281" s="286">
        <f t="shared" si="162"/>
        <v>217.46</v>
      </c>
      <c r="AS281" s="222">
        <v>1.034</v>
      </c>
      <c r="AT281" s="337">
        <v>-3.0800000000000001E-2</v>
      </c>
      <c r="AU281" s="285">
        <f t="shared" si="186"/>
        <v>8.0000000000000071E-3</v>
      </c>
      <c r="AW281" s="288">
        <f t="shared" si="187"/>
        <v>0.10869999999999999</v>
      </c>
      <c r="AX281" s="106">
        <v>204</v>
      </c>
      <c r="AY281" s="127" t="b">
        <f t="shared" si="188"/>
        <v>1</v>
      </c>
      <c r="AZ281" s="289">
        <f t="shared" si="189"/>
        <v>-3.1880000000000006</v>
      </c>
      <c r="BC281">
        <f t="shared" si="190"/>
        <v>1.044</v>
      </c>
    </row>
    <row r="282" spans="1:55" x14ac:dyDescent="0.3">
      <c r="A282" s="264" t="s">
        <v>508</v>
      </c>
      <c r="B282" s="264" t="s">
        <v>276</v>
      </c>
      <c r="C282" s="265" t="s">
        <v>97</v>
      </c>
      <c r="D282" s="168" t="s">
        <v>198</v>
      </c>
      <c r="E282" s="239" t="s">
        <v>162</v>
      </c>
      <c r="F282" s="168">
        <f>VLOOKUP(E282,'[6]условия, ФОТ'!$A$14:$I$32,9, FALSE)</f>
        <v>180.5</v>
      </c>
      <c r="G282" s="266">
        <v>2</v>
      </c>
      <c r="H282" s="168">
        <f t="shared" si="177"/>
        <v>361</v>
      </c>
      <c r="I282" s="168">
        <f t="shared" si="123"/>
        <v>109.02</v>
      </c>
      <c r="J282" s="168">
        <f t="shared" si="178"/>
        <v>470.02</v>
      </c>
      <c r="K282" s="267"/>
      <c r="L282" s="168"/>
      <c r="M282" s="168"/>
      <c r="N282" s="168"/>
      <c r="O282" s="168"/>
      <c r="P282" s="168">
        <f t="shared" si="179"/>
        <v>470.02</v>
      </c>
      <c r="Q282" s="168">
        <f t="shared" si="170"/>
        <v>312.56</v>
      </c>
      <c r="R282" s="268">
        <f t="shared" si="176"/>
        <v>842.5</v>
      </c>
      <c r="S282" s="268">
        <f t="shared" si="171"/>
        <v>168.5</v>
      </c>
      <c r="T282" s="268">
        <f t="shared" si="172"/>
        <v>1011</v>
      </c>
      <c r="U282" s="269">
        <v>841</v>
      </c>
      <c r="V282" s="336">
        <f t="shared" si="180"/>
        <v>20.2140309155767</v>
      </c>
      <c r="W282" s="271">
        <v>970</v>
      </c>
      <c r="X282" s="272">
        <f t="shared" si="181"/>
        <v>4.2268041237113465</v>
      </c>
      <c r="Y282" s="231">
        <v>867</v>
      </c>
      <c r="Z282" s="273">
        <v>1.042</v>
      </c>
      <c r="AA282" s="274">
        <f t="shared" si="173"/>
        <v>1010.74</v>
      </c>
      <c r="AB282" s="275">
        <f t="shared" si="174"/>
        <v>939.1</v>
      </c>
      <c r="AC282" s="276">
        <f t="shared" si="175"/>
        <v>7.6300000000000007E-2</v>
      </c>
      <c r="AD282" s="277">
        <f t="shared" si="182"/>
        <v>71.653330000000011</v>
      </c>
      <c r="AF282" s="235">
        <v>896.47800000000007</v>
      </c>
      <c r="AG282" s="106">
        <v>970</v>
      </c>
      <c r="AH282" s="281">
        <f t="shared" si="183"/>
        <v>41</v>
      </c>
      <c r="AI282" s="282">
        <v>4.9200000000000001E-2</v>
      </c>
      <c r="AJ282" s="283">
        <f t="shared" si="184"/>
        <v>71.653330000000011</v>
      </c>
      <c r="AK282" s="284"/>
      <c r="AM282" s="222">
        <v>-3.0499999999999999E-2</v>
      </c>
      <c r="AN282" s="285">
        <f t="shared" si="185"/>
        <v>1.0305</v>
      </c>
      <c r="AO282" s="285">
        <v>1.0660000000000001</v>
      </c>
      <c r="AQ282" s="286">
        <f t="shared" ref="AQ282:AQ340" si="191">ROUND(W282*AO282,2)</f>
        <v>1034.02</v>
      </c>
      <c r="AS282" s="222">
        <v>1.034</v>
      </c>
      <c r="AT282" s="337">
        <v>-3.0499999999999999E-2</v>
      </c>
      <c r="AU282" s="285">
        <f t="shared" si="186"/>
        <v>8.0000000000000071E-3</v>
      </c>
      <c r="AW282" s="288">
        <f t="shared" si="187"/>
        <v>0.10680000000000001</v>
      </c>
      <c r="AX282" s="106">
        <v>970</v>
      </c>
      <c r="AY282" s="127" t="b">
        <f t="shared" si="188"/>
        <v>1</v>
      </c>
      <c r="AZ282" s="289">
        <f t="shared" si="189"/>
        <v>-3.0179999999999998</v>
      </c>
      <c r="BC282">
        <f t="shared" si="190"/>
        <v>1.042</v>
      </c>
    </row>
    <row r="283" spans="1:55" x14ac:dyDescent="0.3">
      <c r="A283" s="264" t="s">
        <v>509</v>
      </c>
      <c r="B283" s="264" t="s">
        <v>277</v>
      </c>
      <c r="C283" s="265" t="s">
        <v>98</v>
      </c>
      <c r="D283" s="168" t="s">
        <v>198</v>
      </c>
      <c r="E283" s="239" t="s">
        <v>162</v>
      </c>
      <c r="F283" s="168">
        <f>VLOOKUP(E283,'[6]условия, ФОТ'!$A$14:$I$32,9, FALSE)</f>
        <v>180.5</v>
      </c>
      <c r="G283" s="266">
        <v>0.35</v>
      </c>
      <c r="H283" s="168">
        <f t="shared" si="177"/>
        <v>63.18</v>
      </c>
      <c r="I283" s="168">
        <f t="shared" si="123"/>
        <v>19.079999999999998</v>
      </c>
      <c r="J283" s="168">
        <f t="shared" si="178"/>
        <v>82.259999999999991</v>
      </c>
      <c r="K283" s="267"/>
      <c r="L283" s="168"/>
      <c r="M283" s="168"/>
      <c r="N283" s="168"/>
      <c r="O283" s="168"/>
      <c r="P283" s="168">
        <f t="shared" si="179"/>
        <v>82.259999999999991</v>
      </c>
      <c r="Q283" s="168">
        <f t="shared" si="170"/>
        <v>54.7</v>
      </c>
      <c r="R283" s="268">
        <f t="shared" si="176"/>
        <v>147.5</v>
      </c>
      <c r="S283" s="268">
        <f t="shared" si="171"/>
        <v>29.5</v>
      </c>
      <c r="T283" s="268">
        <f t="shared" si="172"/>
        <v>177</v>
      </c>
      <c r="U283" s="269">
        <v>147</v>
      </c>
      <c r="V283" s="336">
        <f t="shared" si="180"/>
        <v>20.408163265306129</v>
      </c>
      <c r="W283" s="271">
        <v>170</v>
      </c>
      <c r="X283" s="272">
        <f t="shared" si="181"/>
        <v>4.1176470588235361</v>
      </c>
      <c r="Y283" s="231">
        <v>152</v>
      </c>
      <c r="Z283" s="273">
        <v>1.042</v>
      </c>
      <c r="AA283" s="274">
        <f t="shared" si="173"/>
        <v>177.14</v>
      </c>
      <c r="AB283" s="275">
        <f t="shared" si="174"/>
        <v>164.35</v>
      </c>
      <c r="AC283" s="276">
        <f t="shared" si="175"/>
        <v>7.7799999999999994E-2</v>
      </c>
      <c r="AD283" s="277">
        <f t="shared" si="182"/>
        <v>12.786429999999999</v>
      </c>
      <c r="AF283" s="235">
        <v>157.16800000000001</v>
      </c>
      <c r="AG283" s="106">
        <v>170</v>
      </c>
      <c r="AH283" s="281">
        <f t="shared" si="183"/>
        <v>7</v>
      </c>
      <c r="AI283" s="282">
        <v>4.9200000000000001E-2</v>
      </c>
      <c r="AJ283" s="283">
        <f t="shared" si="184"/>
        <v>12.786429999999999</v>
      </c>
      <c r="AK283" s="284"/>
      <c r="AM283" s="222">
        <v>-2.87E-2</v>
      </c>
      <c r="AN283" s="285">
        <f t="shared" si="185"/>
        <v>1.0286999999999999</v>
      </c>
      <c r="AO283" s="285">
        <v>1.0640000000000001</v>
      </c>
      <c r="AQ283" s="286">
        <f t="shared" si="191"/>
        <v>180.88</v>
      </c>
      <c r="AS283" s="222">
        <v>1.034</v>
      </c>
      <c r="AT283" s="337">
        <v>-2.87E-2</v>
      </c>
      <c r="AU283" s="285">
        <f t="shared" si="186"/>
        <v>8.0000000000000071E-3</v>
      </c>
      <c r="AW283" s="288">
        <f t="shared" si="187"/>
        <v>0.1065</v>
      </c>
      <c r="AX283" s="106">
        <v>170</v>
      </c>
      <c r="AY283" s="127" t="b">
        <f t="shared" si="188"/>
        <v>1</v>
      </c>
      <c r="AZ283" s="289">
        <f t="shared" si="189"/>
        <v>-2.9080000000000004</v>
      </c>
      <c r="BC283">
        <f t="shared" si="190"/>
        <v>1.0409999999999999</v>
      </c>
    </row>
    <row r="284" spans="1:55" x14ac:dyDescent="0.3">
      <c r="A284" s="264" t="s">
        <v>510</v>
      </c>
      <c r="B284" s="264" t="s">
        <v>278</v>
      </c>
      <c r="C284" s="265" t="s">
        <v>99</v>
      </c>
      <c r="D284" s="168" t="s">
        <v>198</v>
      </c>
      <c r="E284" s="239" t="s">
        <v>162</v>
      </c>
      <c r="F284" s="168">
        <f>VLOOKUP(E284,'[6]условия, ФОТ'!$A$14:$I$32,9, FALSE)</f>
        <v>180.5</v>
      </c>
      <c r="G284" s="266">
        <v>0.65</v>
      </c>
      <c r="H284" s="168">
        <f t="shared" si="177"/>
        <v>117.33</v>
      </c>
      <c r="I284" s="168">
        <f t="shared" si="123"/>
        <v>35.43</v>
      </c>
      <c r="J284" s="168">
        <f t="shared" si="178"/>
        <v>152.76</v>
      </c>
      <c r="K284" s="267"/>
      <c r="L284" s="168"/>
      <c r="M284" s="168"/>
      <c r="N284" s="168"/>
      <c r="O284" s="168"/>
      <c r="P284" s="168">
        <f t="shared" si="179"/>
        <v>152.76</v>
      </c>
      <c r="Q284" s="168">
        <f t="shared" si="170"/>
        <v>101.59</v>
      </c>
      <c r="R284" s="268">
        <f t="shared" si="176"/>
        <v>274.17</v>
      </c>
      <c r="S284" s="268">
        <f t="shared" si="171"/>
        <v>54.83</v>
      </c>
      <c r="T284" s="268">
        <f t="shared" si="172"/>
        <v>329</v>
      </c>
      <c r="U284" s="269">
        <v>273</v>
      </c>
      <c r="V284" s="336">
        <f t="shared" si="180"/>
        <v>20.512820512820511</v>
      </c>
      <c r="W284" s="271">
        <v>316</v>
      </c>
      <c r="X284" s="272">
        <f t="shared" si="181"/>
        <v>4.1139240506329173</v>
      </c>
      <c r="Y284" s="231">
        <v>282</v>
      </c>
      <c r="Z284" s="273">
        <v>1.042</v>
      </c>
      <c r="AA284" s="274">
        <f t="shared" si="173"/>
        <v>329.27</v>
      </c>
      <c r="AB284" s="275">
        <f t="shared" si="174"/>
        <v>305.22000000000003</v>
      </c>
      <c r="AC284" s="276">
        <f t="shared" si="175"/>
        <v>7.8799999999999995E-2</v>
      </c>
      <c r="AD284" s="277">
        <f t="shared" si="182"/>
        <v>24.051335999999999</v>
      </c>
      <c r="AF284" s="235">
        <v>291.58800000000002</v>
      </c>
      <c r="AG284" s="106">
        <v>316</v>
      </c>
      <c r="AH284" s="281">
        <f t="shared" si="183"/>
        <v>13</v>
      </c>
      <c r="AI284" s="282">
        <v>0.05</v>
      </c>
      <c r="AJ284" s="283">
        <f t="shared" si="184"/>
        <v>24.051335999999999</v>
      </c>
      <c r="AK284" s="284"/>
      <c r="AM284" s="222">
        <v>-2.9700000000000001E-2</v>
      </c>
      <c r="AN284" s="285">
        <f t="shared" si="185"/>
        <v>1.0297000000000001</v>
      </c>
      <c r="AO284" s="285">
        <v>1.0649999999999999</v>
      </c>
      <c r="AQ284" s="286">
        <f t="shared" si="191"/>
        <v>336.54</v>
      </c>
      <c r="AS284" s="222">
        <v>1.034</v>
      </c>
      <c r="AT284" s="337">
        <v>-2.9700000000000001E-2</v>
      </c>
      <c r="AU284" s="285">
        <f t="shared" si="186"/>
        <v>8.0000000000000071E-3</v>
      </c>
      <c r="AW284" s="288">
        <f t="shared" si="187"/>
        <v>0.1085</v>
      </c>
      <c r="AX284" s="106">
        <v>316</v>
      </c>
      <c r="AY284" s="127" t="b">
        <f t="shared" si="188"/>
        <v>1</v>
      </c>
      <c r="AZ284" s="289">
        <f t="shared" si="189"/>
        <v>-2.9080000000000004</v>
      </c>
      <c r="BC284">
        <f t="shared" si="190"/>
        <v>1.0409999999999999</v>
      </c>
    </row>
    <row r="285" spans="1:55" x14ac:dyDescent="0.3">
      <c r="A285" s="264" t="s">
        <v>511</v>
      </c>
      <c r="B285" s="264" t="s">
        <v>279</v>
      </c>
      <c r="C285" s="265" t="s">
        <v>100</v>
      </c>
      <c r="D285" s="168" t="s">
        <v>198</v>
      </c>
      <c r="E285" s="239" t="s">
        <v>162</v>
      </c>
      <c r="F285" s="168">
        <f>VLOOKUP(E285,'[6]условия, ФОТ'!$A$14:$I$32,9, FALSE)</f>
        <v>180.5</v>
      </c>
      <c r="G285" s="266">
        <v>1</v>
      </c>
      <c r="H285" s="168">
        <f t="shared" si="177"/>
        <v>180.5</v>
      </c>
      <c r="I285" s="168">
        <f t="shared" si="123"/>
        <v>54.51</v>
      </c>
      <c r="J285" s="168">
        <f t="shared" si="178"/>
        <v>235.01</v>
      </c>
      <c r="K285" s="267"/>
      <c r="L285" s="168"/>
      <c r="M285" s="168"/>
      <c r="N285" s="168"/>
      <c r="O285" s="168"/>
      <c r="P285" s="168">
        <f t="shared" si="179"/>
        <v>235.01</v>
      </c>
      <c r="Q285" s="168">
        <f t="shared" si="170"/>
        <v>156.28</v>
      </c>
      <c r="R285" s="268">
        <f t="shared" si="176"/>
        <v>420.83</v>
      </c>
      <c r="S285" s="268">
        <f t="shared" si="171"/>
        <v>84.17</v>
      </c>
      <c r="T285" s="268">
        <f t="shared" si="172"/>
        <v>505</v>
      </c>
      <c r="U285" s="269">
        <v>420</v>
      </c>
      <c r="V285" s="336">
        <f t="shared" si="180"/>
        <v>20.238095238095227</v>
      </c>
      <c r="W285" s="271">
        <v>485</v>
      </c>
      <c r="X285" s="272">
        <f t="shared" si="181"/>
        <v>4.1237113402061993</v>
      </c>
      <c r="Y285" s="231">
        <v>434</v>
      </c>
      <c r="Z285" s="273">
        <v>1.042</v>
      </c>
      <c r="AA285" s="274">
        <f t="shared" si="173"/>
        <v>505.37</v>
      </c>
      <c r="AB285" s="275">
        <f t="shared" si="174"/>
        <v>469.55</v>
      </c>
      <c r="AC285" s="276">
        <f t="shared" si="175"/>
        <v>7.6300000000000007E-2</v>
      </c>
      <c r="AD285" s="277">
        <f t="shared" si="182"/>
        <v>35.826665000000006</v>
      </c>
      <c r="AF285" s="235">
        <v>448.75600000000003</v>
      </c>
      <c r="AG285" s="106">
        <v>485</v>
      </c>
      <c r="AH285" s="281">
        <f t="shared" si="183"/>
        <v>20</v>
      </c>
      <c r="AI285" s="282">
        <v>4.9500000000000002E-2</v>
      </c>
      <c r="AJ285" s="283">
        <f t="shared" si="184"/>
        <v>35.826665000000006</v>
      </c>
      <c r="AK285" s="284"/>
      <c r="AM285" s="222">
        <v>-2.9399999999999999E-2</v>
      </c>
      <c r="AN285" s="285">
        <f t="shared" si="185"/>
        <v>1.0294000000000001</v>
      </c>
      <c r="AO285" s="285">
        <v>1.0640000000000001</v>
      </c>
      <c r="AQ285" s="286">
        <f t="shared" si="191"/>
        <v>516.04</v>
      </c>
      <c r="AS285" s="222">
        <v>1.034</v>
      </c>
      <c r="AT285" s="337">
        <v>-2.9399999999999999E-2</v>
      </c>
      <c r="AU285" s="285">
        <f t="shared" si="186"/>
        <v>8.0000000000000071E-3</v>
      </c>
      <c r="AW285" s="288">
        <f t="shared" si="187"/>
        <v>0.1057</v>
      </c>
      <c r="AX285" s="106">
        <v>485</v>
      </c>
      <c r="AY285" s="127" t="b">
        <f t="shared" si="188"/>
        <v>1</v>
      </c>
      <c r="AZ285" s="289">
        <f t="shared" si="189"/>
        <v>-2.9180000000000001</v>
      </c>
      <c r="BC285">
        <f t="shared" si="190"/>
        <v>1.0409999999999999</v>
      </c>
    </row>
    <row r="286" spans="1:55" x14ac:dyDescent="0.3">
      <c r="A286" s="264" t="s">
        <v>512</v>
      </c>
      <c r="B286" s="264" t="s">
        <v>280</v>
      </c>
      <c r="C286" s="265" t="s">
        <v>101</v>
      </c>
      <c r="D286" s="168" t="s">
        <v>198</v>
      </c>
      <c r="E286" s="239" t="s">
        <v>162</v>
      </c>
      <c r="F286" s="168">
        <f>VLOOKUP(E286,'[6]условия, ФОТ'!$A$14:$I$32,9, FALSE)</f>
        <v>180.5</v>
      </c>
      <c r="G286" s="266">
        <v>0.66</v>
      </c>
      <c r="H286" s="168">
        <f t="shared" si="177"/>
        <v>119.13</v>
      </c>
      <c r="I286" s="168">
        <f t="shared" si="123"/>
        <v>35.979999999999997</v>
      </c>
      <c r="J286" s="168">
        <f t="shared" si="178"/>
        <v>155.10999999999999</v>
      </c>
      <c r="K286" s="267"/>
      <c r="L286" s="168"/>
      <c r="M286" s="168"/>
      <c r="N286" s="168"/>
      <c r="O286" s="168"/>
      <c r="P286" s="168">
        <f t="shared" si="179"/>
        <v>155.10999999999999</v>
      </c>
      <c r="Q286" s="168">
        <f t="shared" si="170"/>
        <v>103.15</v>
      </c>
      <c r="R286" s="268">
        <f t="shared" si="176"/>
        <v>277.5</v>
      </c>
      <c r="S286" s="268">
        <f t="shared" si="171"/>
        <v>55.5</v>
      </c>
      <c r="T286" s="268">
        <f t="shared" si="172"/>
        <v>333</v>
      </c>
      <c r="U286" s="269">
        <v>277</v>
      </c>
      <c r="V286" s="336">
        <f t="shared" si="180"/>
        <v>20.216606498194949</v>
      </c>
      <c r="W286" s="271">
        <v>320</v>
      </c>
      <c r="X286" s="272">
        <f t="shared" si="181"/>
        <v>4.0624999999999858</v>
      </c>
      <c r="Y286" s="231">
        <v>286</v>
      </c>
      <c r="Z286" s="273">
        <v>1.042</v>
      </c>
      <c r="AA286" s="274">
        <f t="shared" si="173"/>
        <v>333.44</v>
      </c>
      <c r="AB286" s="275">
        <f t="shared" si="174"/>
        <v>309.91000000000003</v>
      </c>
      <c r="AC286" s="276">
        <f t="shared" si="175"/>
        <v>7.5899999999999995E-2</v>
      </c>
      <c r="AD286" s="277">
        <f t="shared" si="182"/>
        <v>23.522169000000002</v>
      </c>
      <c r="AF286" s="235">
        <v>295.72399999999999</v>
      </c>
      <c r="AG286" s="106">
        <v>320</v>
      </c>
      <c r="AH286" s="281">
        <f t="shared" si="183"/>
        <v>13</v>
      </c>
      <c r="AI286" s="282">
        <v>4.9799999999999997E-2</v>
      </c>
      <c r="AJ286" s="283">
        <f t="shared" si="184"/>
        <v>23.522169000000002</v>
      </c>
      <c r="AK286" s="284"/>
      <c r="AM286" s="222">
        <v>-3.0800000000000001E-2</v>
      </c>
      <c r="AN286" s="285">
        <f t="shared" si="185"/>
        <v>1.0307999999999999</v>
      </c>
      <c r="AO286" s="285">
        <v>1.0660000000000001</v>
      </c>
      <c r="AQ286" s="286">
        <f t="shared" si="191"/>
        <v>341.12</v>
      </c>
      <c r="AS286" s="222">
        <v>1.034</v>
      </c>
      <c r="AT286" s="337">
        <v>-3.0800000000000001E-2</v>
      </c>
      <c r="AU286" s="285">
        <f t="shared" si="186"/>
        <v>8.0000000000000071E-3</v>
      </c>
      <c r="AW286" s="288">
        <f t="shared" si="187"/>
        <v>0.10669999999999999</v>
      </c>
      <c r="AX286" s="106">
        <v>320</v>
      </c>
      <c r="AY286" s="127" t="b">
        <f t="shared" si="188"/>
        <v>1</v>
      </c>
      <c r="AZ286" s="289">
        <f t="shared" si="189"/>
        <v>-2.8579999999999997</v>
      </c>
      <c r="BC286">
        <f t="shared" si="190"/>
        <v>1.0409999999999999</v>
      </c>
    </row>
    <row r="287" spans="1:55" x14ac:dyDescent="0.3">
      <c r="A287" s="264" t="s">
        <v>513</v>
      </c>
      <c r="B287" s="264" t="s">
        <v>27</v>
      </c>
      <c r="C287" s="265" t="s">
        <v>102</v>
      </c>
      <c r="D287" s="168" t="s">
        <v>198</v>
      </c>
      <c r="E287" s="239" t="s">
        <v>162</v>
      </c>
      <c r="F287" s="168">
        <f>VLOOKUP(E287,'[6]условия, ФОТ'!$A$14:$I$32,9, FALSE)</f>
        <v>180.5</v>
      </c>
      <c r="G287" s="266">
        <v>0.1</v>
      </c>
      <c r="H287" s="168">
        <f t="shared" si="177"/>
        <v>18.05</v>
      </c>
      <c r="I287" s="168">
        <f t="shared" si="123"/>
        <v>5.45</v>
      </c>
      <c r="J287" s="168">
        <f t="shared" si="178"/>
        <v>23.5</v>
      </c>
      <c r="K287" s="267"/>
      <c r="L287" s="168"/>
      <c r="M287" s="168"/>
      <c r="N287" s="168"/>
      <c r="O287" s="168"/>
      <c r="P287" s="168">
        <f t="shared" si="179"/>
        <v>23.5</v>
      </c>
      <c r="Q287" s="168">
        <f t="shared" si="170"/>
        <v>15.63</v>
      </c>
      <c r="R287" s="268">
        <f t="shared" si="176"/>
        <v>42.5</v>
      </c>
      <c r="S287" s="268">
        <f>ROUND(R287*$S$5,2)</f>
        <v>8.5</v>
      </c>
      <c r="T287" s="268">
        <f t="shared" si="172"/>
        <v>51</v>
      </c>
      <c r="U287" s="269">
        <v>42</v>
      </c>
      <c r="V287" s="336">
        <f t="shared" si="180"/>
        <v>21.428571428571416</v>
      </c>
      <c r="W287" s="271">
        <v>49</v>
      </c>
      <c r="X287" s="272">
        <f t="shared" si="181"/>
        <v>4.0816326530612344</v>
      </c>
      <c r="Y287" s="231">
        <v>43</v>
      </c>
      <c r="Z287" s="273">
        <v>1.042</v>
      </c>
      <c r="AA287" s="274">
        <f t="shared" si="173"/>
        <v>51.06</v>
      </c>
      <c r="AB287" s="275">
        <f t="shared" si="174"/>
        <v>46.96</v>
      </c>
      <c r="AC287" s="276">
        <f t="shared" si="175"/>
        <v>8.7300000000000003E-2</v>
      </c>
      <c r="AD287" s="277">
        <f t="shared" si="182"/>
        <v>4.0996079999999999</v>
      </c>
      <c r="AF287" s="235">
        <v>44.462000000000003</v>
      </c>
      <c r="AG287" s="106">
        <v>49</v>
      </c>
      <c r="AH287" s="281">
        <f t="shared" si="183"/>
        <v>2</v>
      </c>
      <c r="AI287" s="282">
        <v>4.9299999999999997E-2</v>
      </c>
      <c r="AJ287" s="283">
        <f t="shared" si="184"/>
        <v>4.0996079999999999</v>
      </c>
      <c r="AK287" s="284"/>
      <c r="AM287" s="222">
        <v>-3.8100000000000002E-2</v>
      </c>
      <c r="AN287" s="285">
        <f t="shared" si="185"/>
        <v>1.0381</v>
      </c>
      <c r="AO287" s="285">
        <v>1.073</v>
      </c>
      <c r="AQ287" s="286">
        <f t="shared" si="191"/>
        <v>52.58</v>
      </c>
      <c r="AS287" s="222">
        <v>1.034</v>
      </c>
      <c r="AT287" s="337">
        <v>-3.8100000000000002E-2</v>
      </c>
      <c r="AU287" s="285">
        <f t="shared" si="186"/>
        <v>8.0000000000000071E-3</v>
      </c>
      <c r="AW287" s="288">
        <f t="shared" si="187"/>
        <v>0.12540000000000001</v>
      </c>
      <c r="AX287" s="106">
        <v>49</v>
      </c>
      <c r="AY287" s="127" t="b">
        <f t="shared" si="188"/>
        <v>1</v>
      </c>
      <c r="AZ287" s="289">
        <f t="shared" si="189"/>
        <v>-2.8780000000000001</v>
      </c>
      <c r="BC287">
        <f t="shared" si="190"/>
        <v>1.0409999999999999</v>
      </c>
    </row>
    <row r="288" spans="1:55" x14ac:dyDescent="0.3">
      <c r="A288" s="264" t="s">
        <v>514</v>
      </c>
      <c r="B288" s="264" t="s">
        <v>27</v>
      </c>
      <c r="C288" s="265" t="s">
        <v>103</v>
      </c>
      <c r="D288" s="168" t="s">
        <v>198</v>
      </c>
      <c r="E288" s="239" t="s">
        <v>283</v>
      </c>
      <c r="F288" s="168">
        <f>VLOOKUP(E288,'[6]условия, ФОТ'!$A$14:$I$32,9, FALSE)</f>
        <v>180.5</v>
      </c>
      <c r="G288" s="266">
        <v>0.25</v>
      </c>
      <c r="H288" s="168">
        <f t="shared" si="177"/>
        <v>45.13</v>
      </c>
      <c r="I288" s="168">
        <f t="shared" si="123"/>
        <v>13.63</v>
      </c>
      <c r="J288" s="168">
        <f t="shared" si="178"/>
        <v>58.760000000000005</v>
      </c>
      <c r="K288" s="267"/>
      <c r="L288" s="168"/>
      <c r="M288" s="168"/>
      <c r="N288" s="168"/>
      <c r="O288" s="168"/>
      <c r="P288" s="168">
        <f t="shared" si="179"/>
        <v>58.760000000000005</v>
      </c>
      <c r="Q288" s="168">
        <f t="shared" si="170"/>
        <v>39.08</v>
      </c>
      <c r="R288" s="268">
        <f t="shared" si="176"/>
        <v>110</v>
      </c>
      <c r="S288" s="268">
        <f t="shared" si="171"/>
        <v>22</v>
      </c>
      <c r="T288" s="268">
        <f t="shared" si="172"/>
        <v>132</v>
      </c>
      <c r="U288" s="269">
        <v>119</v>
      </c>
      <c r="V288" s="336">
        <f t="shared" si="180"/>
        <v>10.924369747899163</v>
      </c>
      <c r="W288" s="271">
        <v>127</v>
      </c>
      <c r="X288" s="272">
        <f t="shared" si="181"/>
        <v>3.9370078740157339</v>
      </c>
      <c r="Y288" s="231">
        <v>123</v>
      </c>
      <c r="Z288" s="273">
        <v>1.042</v>
      </c>
      <c r="AA288" s="274">
        <f t="shared" si="173"/>
        <v>132.33000000000001</v>
      </c>
      <c r="AB288" s="275">
        <f t="shared" si="174"/>
        <v>117.41</v>
      </c>
      <c r="AC288" s="276">
        <f t="shared" si="175"/>
        <v>0.12709999999999999</v>
      </c>
      <c r="AD288" s="277">
        <f t="shared" si="182"/>
        <v>14.922810999999998</v>
      </c>
      <c r="AF288" s="235">
        <v>127.182</v>
      </c>
      <c r="AG288" s="106">
        <v>127</v>
      </c>
      <c r="AH288" s="281">
        <f t="shared" si="183"/>
        <v>5</v>
      </c>
      <c r="AI288" s="282">
        <v>0.1002</v>
      </c>
      <c r="AJ288" s="283">
        <f t="shared" si="184"/>
        <v>14.922810999999998</v>
      </c>
      <c r="AK288" s="284"/>
      <c r="AM288" s="222">
        <v>0.1002</v>
      </c>
      <c r="AN288" s="285">
        <f t="shared" si="185"/>
        <v>0.1002</v>
      </c>
      <c r="AO288" s="285">
        <v>0</v>
      </c>
      <c r="AQ288" s="286"/>
      <c r="AS288" s="222">
        <v>1.034</v>
      </c>
      <c r="AT288" s="337">
        <v>0.1002</v>
      </c>
      <c r="AU288" s="285">
        <f t="shared" si="186"/>
        <v>8.0000000000000071E-3</v>
      </c>
      <c r="AW288" s="288">
        <f t="shared" si="187"/>
        <v>2.6899999999999993E-2</v>
      </c>
      <c r="AX288" s="106">
        <v>127</v>
      </c>
      <c r="AY288" s="127" t="b">
        <f t="shared" si="188"/>
        <v>1</v>
      </c>
      <c r="AZ288" s="289">
        <f t="shared" si="189"/>
        <v>-2.7480000000000002</v>
      </c>
      <c r="BC288">
        <f t="shared" si="190"/>
        <v>1.0389999999999999</v>
      </c>
    </row>
    <row r="289" spans="1:55" x14ac:dyDescent="0.3">
      <c r="A289" s="264" t="s">
        <v>515</v>
      </c>
      <c r="B289" s="264" t="s">
        <v>27</v>
      </c>
      <c r="C289" s="265" t="s">
        <v>104</v>
      </c>
      <c r="D289" s="168" t="s">
        <v>198</v>
      </c>
      <c r="E289" s="239" t="s">
        <v>283</v>
      </c>
      <c r="F289" s="168">
        <f>VLOOKUP(E289,'[6]условия, ФОТ'!$A$14:$I$32,9, FALSE)</f>
        <v>180.5</v>
      </c>
      <c r="G289" s="266">
        <v>0.25</v>
      </c>
      <c r="H289" s="168">
        <f t="shared" si="177"/>
        <v>45.13</v>
      </c>
      <c r="I289" s="168">
        <f t="shared" si="123"/>
        <v>13.63</v>
      </c>
      <c r="J289" s="168">
        <f t="shared" si="178"/>
        <v>58.760000000000005</v>
      </c>
      <c r="K289" s="267"/>
      <c r="L289" s="168"/>
      <c r="M289" s="168"/>
      <c r="N289" s="168"/>
      <c r="O289" s="168"/>
      <c r="P289" s="168">
        <f t="shared" si="179"/>
        <v>58.760000000000005</v>
      </c>
      <c r="Q289" s="168">
        <f t="shared" si="170"/>
        <v>39.08</v>
      </c>
      <c r="R289" s="268">
        <f t="shared" si="176"/>
        <v>110</v>
      </c>
      <c r="S289" s="268">
        <f t="shared" si="171"/>
        <v>22</v>
      </c>
      <c r="T289" s="268">
        <f t="shared" si="172"/>
        <v>132</v>
      </c>
      <c r="U289" s="269">
        <v>119</v>
      </c>
      <c r="V289" s="336">
        <f t="shared" si="180"/>
        <v>10.924369747899163</v>
      </c>
      <c r="W289" s="271">
        <v>127</v>
      </c>
      <c r="X289" s="272">
        <f t="shared" si="181"/>
        <v>3.9370078740157339</v>
      </c>
      <c r="Y289" s="231">
        <v>123</v>
      </c>
      <c r="Z289" s="273">
        <v>1.042</v>
      </c>
      <c r="AA289" s="274">
        <f t="shared" si="173"/>
        <v>132.33000000000001</v>
      </c>
      <c r="AB289" s="275">
        <f t="shared" si="174"/>
        <v>117.41</v>
      </c>
      <c r="AC289" s="276">
        <f t="shared" si="175"/>
        <v>0.12709999999999999</v>
      </c>
      <c r="AD289" s="277">
        <f t="shared" si="182"/>
        <v>14.922810999999998</v>
      </c>
      <c r="AF289" s="235">
        <v>127.182</v>
      </c>
      <c r="AG289" s="106">
        <v>127</v>
      </c>
      <c r="AH289" s="281">
        <f t="shared" si="183"/>
        <v>5</v>
      </c>
      <c r="AI289" s="282">
        <v>0.1002</v>
      </c>
      <c r="AJ289" s="283">
        <f t="shared" si="184"/>
        <v>14.922810999999998</v>
      </c>
      <c r="AK289" s="284"/>
      <c r="AM289" s="222">
        <v>0.1002</v>
      </c>
      <c r="AN289" s="285">
        <f t="shared" si="185"/>
        <v>0.1002</v>
      </c>
      <c r="AO289" s="285">
        <v>0</v>
      </c>
      <c r="AQ289" s="286"/>
      <c r="AS289" s="222">
        <v>1.034</v>
      </c>
      <c r="AT289" s="337">
        <v>0.1002</v>
      </c>
      <c r="AU289" s="285">
        <f t="shared" si="186"/>
        <v>8.0000000000000071E-3</v>
      </c>
      <c r="AW289" s="288">
        <f t="shared" si="187"/>
        <v>2.6899999999999993E-2</v>
      </c>
      <c r="AX289" s="106">
        <v>127</v>
      </c>
      <c r="AY289" s="127" t="b">
        <f t="shared" si="188"/>
        <v>1</v>
      </c>
      <c r="AZ289" s="289">
        <f t="shared" si="189"/>
        <v>-2.7480000000000002</v>
      </c>
      <c r="BC289">
        <f t="shared" si="190"/>
        <v>1.0389999999999999</v>
      </c>
    </row>
    <row r="290" spans="1:55" ht="25.5" x14ac:dyDescent="0.3">
      <c r="A290" s="264" t="s">
        <v>516</v>
      </c>
      <c r="B290" s="264" t="s">
        <v>27</v>
      </c>
      <c r="C290" s="265" t="s">
        <v>105</v>
      </c>
      <c r="D290" s="168" t="s">
        <v>198</v>
      </c>
      <c r="E290" s="239" t="s">
        <v>283</v>
      </c>
      <c r="F290" s="168">
        <f>VLOOKUP(E290,'[6]условия, ФОТ'!$A$14:$I$32,9, FALSE)</f>
        <v>180.5</v>
      </c>
      <c r="G290" s="266">
        <v>0.33</v>
      </c>
      <c r="H290" s="168">
        <f t="shared" si="177"/>
        <v>59.57</v>
      </c>
      <c r="I290" s="168">
        <f t="shared" si="123"/>
        <v>17.989999999999998</v>
      </c>
      <c r="J290" s="168">
        <f t="shared" si="178"/>
        <v>77.56</v>
      </c>
      <c r="K290" s="267"/>
      <c r="L290" s="168"/>
      <c r="M290" s="168"/>
      <c r="N290" s="168"/>
      <c r="O290" s="168"/>
      <c r="P290" s="168">
        <f t="shared" si="179"/>
        <v>77.56</v>
      </c>
      <c r="Q290" s="168">
        <f t="shared" si="170"/>
        <v>51.58</v>
      </c>
      <c r="R290" s="268">
        <f t="shared" si="176"/>
        <v>145.83000000000001</v>
      </c>
      <c r="S290" s="268">
        <f t="shared" si="171"/>
        <v>29.17</v>
      </c>
      <c r="T290" s="268">
        <f t="shared" si="172"/>
        <v>175</v>
      </c>
      <c r="U290" s="269">
        <v>157</v>
      </c>
      <c r="V290" s="336">
        <f t="shared" si="180"/>
        <v>11.464968152866234</v>
      </c>
      <c r="W290" s="271">
        <v>168</v>
      </c>
      <c r="X290" s="272">
        <f t="shared" si="181"/>
        <v>4.1666666666666714</v>
      </c>
      <c r="Y290" s="231">
        <v>162</v>
      </c>
      <c r="Z290" s="273">
        <v>1.042</v>
      </c>
      <c r="AA290" s="274">
        <f t="shared" si="173"/>
        <v>175.06</v>
      </c>
      <c r="AB290" s="275">
        <f t="shared" si="174"/>
        <v>154.97</v>
      </c>
      <c r="AC290" s="276">
        <f t="shared" si="175"/>
        <v>0.12959999999999999</v>
      </c>
      <c r="AD290" s="277">
        <f t="shared" si="182"/>
        <v>20.084111999999998</v>
      </c>
      <c r="AF290" s="235">
        <v>167.50800000000001</v>
      </c>
      <c r="AG290" s="106">
        <v>168</v>
      </c>
      <c r="AH290" s="281">
        <f t="shared" si="183"/>
        <v>7</v>
      </c>
      <c r="AI290" s="282">
        <v>9.7900000000000001E-2</v>
      </c>
      <c r="AJ290" s="283">
        <f t="shared" si="184"/>
        <v>20.084111999999998</v>
      </c>
      <c r="AK290" s="284"/>
      <c r="AM290" s="222">
        <v>9.7900000000000001E-2</v>
      </c>
      <c r="AN290" s="285">
        <f t="shared" si="185"/>
        <v>9.7900000000000001E-2</v>
      </c>
      <c r="AO290" s="285">
        <v>0</v>
      </c>
      <c r="AQ290" s="286"/>
      <c r="AS290" s="222">
        <v>1.034</v>
      </c>
      <c r="AT290" s="337">
        <v>9.7900000000000001E-2</v>
      </c>
      <c r="AU290" s="285">
        <f t="shared" si="186"/>
        <v>8.0000000000000071E-3</v>
      </c>
      <c r="AW290" s="288">
        <f t="shared" si="187"/>
        <v>3.1699999999999992E-2</v>
      </c>
      <c r="AX290" s="106">
        <v>168</v>
      </c>
      <c r="AY290" s="127" t="b">
        <f t="shared" si="188"/>
        <v>1</v>
      </c>
      <c r="AZ290" s="289">
        <f t="shared" si="189"/>
        <v>-2.9580000000000002</v>
      </c>
      <c r="BC290">
        <f t="shared" si="190"/>
        <v>1.042</v>
      </c>
    </row>
    <row r="291" spans="1:55" ht="22.7" customHeight="1" x14ac:dyDescent="0.3">
      <c r="A291" s="264" t="s">
        <v>517</v>
      </c>
      <c r="B291" s="264" t="s">
        <v>27</v>
      </c>
      <c r="C291" s="265" t="s">
        <v>106</v>
      </c>
      <c r="D291" s="168" t="s">
        <v>198</v>
      </c>
      <c r="E291" s="239" t="s">
        <v>283</v>
      </c>
      <c r="F291" s="168">
        <f>VLOOKUP(E291,'[6]условия, ФОТ'!$A$14:$I$32,9, FALSE)</f>
        <v>180.5</v>
      </c>
      <c r="G291" s="266">
        <v>0.33</v>
      </c>
      <c r="H291" s="168">
        <f t="shared" si="177"/>
        <v>59.57</v>
      </c>
      <c r="I291" s="168">
        <f t="shared" si="123"/>
        <v>17.989999999999998</v>
      </c>
      <c r="J291" s="168">
        <f t="shared" si="178"/>
        <v>77.56</v>
      </c>
      <c r="K291" s="267"/>
      <c r="L291" s="168"/>
      <c r="M291" s="168"/>
      <c r="N291" s="168"/>
      <c r="O291" s="168"/>
      <c r="P291" s="168">
        <f t="shared" si="179"/>
        <v>77.56</v>
      </c>
      <c r="Q291" s="168">
        <f t="shared" si="170"/>
        <v>51.58</v>
      </c>
      <c r="R291" s="268">
        <f t="shared" si="176"/>
        <v>145.83000000000001</v>
      </c>
      <c r="S291" s="268">
        <f t="shared" si="171"/>
        <v>29.17</v>
      </c>
      <c r="T291" s="268">
        <f t="shared" si="172"/>
        <v>175</v>
      </c>
      <c r="U291" s="269">
        <v>157</v>
      </c>
      <c r="V291" s="336">
        <f t="shared" si="180"/>
        <v>11.464968152866234</v>
      </c>
      <c r="W291" s="271">
        <v>168</v>
      </c>
      <c r="X291" s="272">
        <f t="shared" si="181"/>
        <v>4.1666666666666714</v>
      </c>
      <c r="Y291" s="231">
        <v>162</v>
      </c>
      <c r="Z291" s="273">
        <v>1.042</v>
      </c>
      <c r="AA291" s="274">
        <f t="shared" si="173"/>
        <v>175.06</v>
      </c>
      <c r="AB291" s="275">
        <f t="shared" si="174"/>
        <v>154.97</v>
      </c>
      <c r="AC291" s="276">
        <f t="shared" si="175"/>
        <v>0.12959999999999999</v>
      </c>
      <c r="AD291" s="277">
        <f t="shared" si="182"/>
        <v>20.084111999999998</v>
      </c>
      <c r="AF291" s="235">
        <v>167.50800000000001</v>
      </c>
      <c r="AG291" s="106">
        <v>168</v>
      </c>
      <c r="AH291" s="281">
        <f t="shared" si="183"/>
        <v>7</v>
      </c>
      <c r="AI291" s="282">
        <v>9.7900000000000001E-2</v>
      </c>
      <c r="AJ291" s="283">
        <f t="shared" si="184"/>
        <v>20.084111999999998</v>
      </c>
      <c r="AK291" s="284"/>
      <c r="AM291" s="222">
        <v>9.7900000000000001E-2</v>
      </c>
      <c r="AN291" s="285">
        <f t="shared" si="185"/>
        <v>9.7900000000000001E-2</v>
      </c>
      <c r="AO291" s="285">
        <v>0</v>
      </c>
      <c r="AQ291" s="286"/>
      <c r="AS291" s="222">
        <v>1.034</v>
      </c>
      <c r="AT291" s="337">
        <v>9.7900000000000001E-2</v>
      </c>
      <c r="AU291" s="285">
        <f t="shared" si="186"/>
        <v>8.0000000000000071E-3</v>
      </c>
      <c r="AW291" s="288">
        <f t="shared" si="187"/>
        <v>3.1699999999999992E-2</v>
      </c>
      <c r="AX291" s="106">
        <v>168</v>
      </c>
      <c r="AY291" s="127" t="b">
        <f t="shared" si="188"/>
        <v>1</v>
      </c>
      <c r="AZ291" s="289">
        <f t="shared" si="189"/>
        <v>-2.9580000000000002</v>
      </c>
      <c r="BC291">
        <f t="shared" si="190"/>
        <v>1.042</v>
      </c>
    </row>
    <row r="292" spans="1:55" ht="31.7" customHeight="1" x14ac:dyDescent="0.3">
      <c r="A292" s="264" t="s">
        <v>518</v>
      </c>
      <c r="B292" s="264" t="s">
        <v>27</v>
      </c>
      <c r="C292" s="265" t="s">
        <v>107</v>
      </c>
      <c r="D292" s="168" t="s">
        <v>198</v>
      </c>
      <c r="E292" s="239" t="s">
        <v>283</v>
      </c>
      <c r="F292" s="168">
        <f>VLOOKUP(E292,'[6]условия, ФОТ'!$A$14:$I$32,9, FALSE)</f>
        <v>180.5</v>
      </c>
      <c r="G292" s="266">
        <v>0.33</v>
      </c>
      <c r="H292" s="168">
        <f t="shared" si="177"/>
        <v>59.57</v>
      </c>
      <c r="I292" s="168">
        <f t="shared" si="123"/>
        <v>17.989999999999998</v>
      </c>
      <c r="J292" s="168">
        <f t="shared" si="178"/>
        <v>77.56</v>
      </c>
      <c r="K292" s="267"/>
      <c r="L292" s="168"/>
      <c r="M292" s="168"/>
      <c r="N292" s="168"/>
      <c r="O292" s="168"/>
      <c r="P292" s="168">
        <f t="shared" si="179"/>
        <v>77.56</v>
      </c>
      <c r="Q292" s="168">
        <f t="shared" si="170"/>
        <v>51.58</v>
      </c>
      <c r="R292" s="268">
        <f t="shared" si="176"/>
        <v>145.83000000000001</v>
      </c>
      <c r="S292" s="268">
        <f t="shared" si="171"/>
        <v>29.17</v>
      </c>
      <c r="T292" s="268">
        <f t="shared" si="172"/>
        <v>175</v>
      </c>
      <c r="U292" s="269">
        <v>157</v>
      </c>
      <c r="V292" s="336">
        <f t="shared" si="180"/>
        <v>11.464968152866234</v>
      </c>
      <c r="W292" s="271">
        <v>168</v>
      </c>
      <c r="X292" s="272">
        <f t="shared" si="181"/>
        <v>4.1666666666666714</v>
      </c>
      <c r="Y292" s="231">
        <v>162</v>
      </c>
      <c r="Z292" s="273">
        <v>1.042</v>
      </c>
      <c r="AA292" s="274">
        <f t="shared" si="173"/>
        <v>175.06</v>
      </c>
      <c r="AB292" s="275">
        <f t="shared" si="174"/>
        <v>154.97</v>
      </c>
      <c r="AC292" s="276">
        <f t="shared" si="175"/>
        <v>0.12959999999999999</v>
      </c>
      <c r="AD292" s="277">
        <f t="shared" si="182"/>
        <v>20.084111999999998</v>
      </c>
      <c r="AF292" s="235">
        <v>167.50800000000001</v>
      </c>
      <c r="AG292" s="106">
        <v>168</v>
      </c>
      <c r="AH292" s="281">
        <f t="shared" si="183"/>
        <v>7</v>
      </c>
      <c r="AI292" s="282">
        <v>9.7900000000000001E-2</v>
      </c>
      <c r="AJ292" s="283">
        <f t="shared" si="184"/>
        <v>20.084111999999998</v>
      </c>
      <c r="AK292" s="284"/>
      <c r="AM292" s="222">
        <v>9.7900000000000001E-2</v>
      </c>
      <c r="AN292" s="285">
        <f t="shared" si="185"/>
        <v>9.7900000000000001E-2</v>
      </c>
      <c r="AO292" s="285">
        <v>0</v>
      </c>
      <c r="AQ292" s="286"/>
      <c r="AS292" s="222">
        <v>1.034</v>
      </c>
      <c r="AT292" s="337">
        <v>9.7900000000000001E-2</v>
      </c>
      <c r="AU292" s="285">
        <f t="shared" si="186"/>
        <v>8.0000000000000071E-3</v>
      </c>
      <c r="AW292" s="288">
        <f t="shared" si="187"/>
        <v>3.1699999999999992E-2</v>
      </c>
      <c r="AX292" s="106">
        <v>168</v>
      </c>
      <c r="AY292" s="127" t="b">
        <f t="shared" si="188"/>
        <v>1</v>
      </c>
      <c r="AZ292" s="289">
        <f t="shared" si="189"/>
        <v>-2.9580000000000002</v>
      </c>
      <c r="BC292">
        <f t="shared" si="190"/>
        <v>1.042</v>
      </c>
    </row>
    <row r="293" spans="1:55" ht="18" customHeight="1" x14ac:dyDescent="0.3">
      <c r="A293" s="264" t="s">
        <v>519</v>
      </c>
      <c r="B293" s="264" t="s">
        <v>27</v>
      </c>
      <c r="C293" s="265" t="s">
        <v>108</v>
      </c>
      <c r="D293" s="168" t="s">
        <v>198</v>
      </c>
      <c r="E293" s="239" t="s">
        <v>283</v>
      </c>
      <c r="F293" s="168">
        <f>VLOOKUP(E293,'[6]условия, ФОТ'!$A$14:$I$32,9, FALSE)</f>
        <v>180.5</v>
      </c>
      <c r="G293" s="266">
        <v>0.5</v>
      </c>
      <c r="H293" s="168">
        <f t="shared" si="177"/>
        <v>90.25</v>
      </c>
      <c r="I293" s="168">
        <f t="shared" si="123"/>
        <v>27.26</v>
      </c>
      <c r="J293" s="168">
        <f t="shared" si="178"/>
        <v>117.51</v>
      </c>
      <c r="K293" s="267"/>
      <c r="L293" s="168"/>
      <c r="M293" s="168"/>
      <c r="N293" s="168"/>
      <c r="O293" s="168"/>
      <c r="P293" s="168">
        <f t="shared" si="179"/>
        <v>117.51</v>
      </c>
      <c r="Q293" s="168">
        <f t="shared" si="170"/>
        <v>78.14</v>
      </c>
      <c r="R293" s="268">
        <f>ROUND(T293/1.2,2)</f>
        <v>220</v>
      </c>
      <c r="S293" s="268">
        <f>ROUND(R293*$S$5,2)</f>
        <v>44</v>
      </c>
      <c r="T293" s="268">
        <f t="shared" si="172"/>
        <v>264</v>
      </c>
      <c r="U293" s="269">
        <v>238</v>
      </c>
      <c r="V293" s="336">
        <f t="shared" si="180"/>
        <v>10.924369747899163</v>
      </c>
      <c r="W293" s="271">
        <v>253</v>
      </c>
      <c r="X293" s="272">
        <f t="shared" si="181"/>
        <v>4.3478260869565162</v>
      </c>
      <c r="Y293" s="231">
        <v>245</v>
      </c>
      <c r="Z293" s="273">
        <v>1.042</v>
      </c>
      <c r="AA293" s="274">
        <f t="shared" si="173"/>
        <v>263.63</v>
      </c>
      <c r="AB293" s="275">
        <f t="shared" si="174"/>
        <v>234.78</v>
      </c>
      <c r="AC293" s="276">
        <f t="shared" si="175"/>
        <v>0.1229</v>
      </c>
      <c r="AD293" s="277">
        <f t="shared" si="182"/>
        <v>28.854461999999998</v>
      </c>
      <c r="AF293" s="235">
        <v>253.33</v>
      </c>
      <c r="AG293" s="106">
        <v>253</v>
      </c>
      <c r="AH293" s="281">
        <f t="shared" si="183"/>
        <v>11</v>
      </c>
      <c r="AI293" s="282">
        <v>9.5799999999999996E-2</v>
      </c>
      <c r="AJ293" s="283">
        <f t="shared" si="184"/>
        <v>28.854461999999998</v>
      </c>
      <c r="AK293" s="284"/>
      <c r="AM293" s="222">
        <v>9.5799999999999996E-2</v>
      </c>
      <c r="AN293" s="285">
        <f t="shared" si="185"/>
        <v>9.5799999999999996E-2</v>
      </c>
      <c r="AO293" s="285">
        <v>0</v>
      </c>
      <c r="AQ293" s="286"/>
      <c r="AS293" s="222">
        <v>1.034</v>
      </c>
      <c r="AT293" s="337">
        <v>9.5799999999999996E-2</v>
      </c>
      <c r="AU293" s="285">
        <f t="shared" si="186"/>
        <v>8.0000000000000071E-3</v>
      </c>
      <c r="AW293" s="288">
        <f t="shared" si="187"/>
        <v>2.7099999999999999E-2</v>
      </c>
      <c r="AX293" s="106">
        <v>253</v>
      </c>
      <c r="AY293" s="127" t="b">
        <f t="shared" si="188"/>
        <v>1</v>
      </c>
      <c r="AZ293" s="289">
        <f t="shared" si="189"/>
        <v>-3.1280000000000001</v>
      </c>
      <c r="BC293">
        <f t="shared" si="190"/>
        <v>1.0429999999999999</v>
      </c>
    </row>
    <row r="294" spans="1:55" ht="18" customHeight="1" x14ac:dyDescent="0.3">
      <c r="A294" s="727" t="s">
        <v>281</v>
      </c>
      <c r="B294" s="728"/>
      <c r="C294" s="728"/>
      <c r="D294" s="728"/>
      <c r="E294" s="728"/>
      <c r="F294" s="728"/>
      <c r="G294" s="728"/>
      <c r="H294" s="728"/>
      <c r="I294" s="728"/>
      <c r="J294" s="728"/>
      <c r="K294" s="728"/>
      <c r="L294" s="728"/>
      <c r="M294" s="728"/>
      <c r="N294" s="728"/>
      <c r="O294" s="728"/>
      <c r="P294" s="728"/>
      <c r="Q294" s="728"/>
      <c r="R294" s="382"/>
      <c r="S294" s="382"/>
      <c r="T294" s="382"/>
      <c r="U294" s="383"/>
      <c r="V294" s="336"/>
      <c r="W294" s="271"/>
      <c r="X294" s="272"/>
      <c r="Z294" s="273"/>
      <c r="AA294" s="58"/>
      <c r="AB294" s="275"/>
      <c r="AC294" s="276"/>
      <c r="AD294" s="277"/>
      <c r="AG294" s="106"/>
      <c r="AH294" s="281"/>
      <c r="AI294" s="282"/>
      <c r="AJ294" s="283"/>
      <c r="AK294" s="284"/>
      <c r="AM294" s="222"/>
      <c r="AN294" s="285"/>
      <c r="AO294" s="285"/>
      <c r="AQ294" s="286"/>
      <c r="AS294" s="222"/>
      <c r="AT294" s="337"/>
      <c r="AU294" s="285"/>
      <c r="AW294" s="288"/>
      <c r="AX294" s="106"/>
      <c r="AZ294" s="289"/>
    </row>
    <row r="295" spans="1:55" ht="30.75" customHeight="1" x14ac:dyDescent="0.3">
      <c r="A295" s="264" t="s">
        <v>520</v>
      </c>
      <c r="B295" s="264" t="s">
        <v>282</v>
      </c>
      <c r="C295" s="265" t="s">
        <v>109</v>
      </c>
      <c r="D295" s="168" t="s">
        <v>26</v>
      </c>
      <c r="E295" s="239" t="s">
        <v>161</v>
      </c>
      <c r="F295" s="168">
        <f>VLOOKUP(E295,'[6]условия, ФОТ'!$A$14:$I$32,9, FALSE)</f>
        <v>180.5</v>
      </c>
      <c r="G295" s="266">
        <v>0.9</v>
      </c>
      <c r="H295" s="168">
        <f>ROUND(F295*G295,2)</f>
        <v>162.44999999999999</v>
      </c>
      <c r="I295" s="168">
        <f t="shared" si="123"/>
        <v>49.06</v>
      </c>
      <c r="J295" s="168">
        <f t="shared" si="178"/>
        <v>211.51</v>
      </c>
      <c r="K295" s="267"/>
      <c r="L295" s="168"/>
      <c r="M295" s="168"/>
      <c r="N295" s="168"/>
      <c r="O295" s="168">
        <f>SUM(O296:O298)</f>
        <v>4.3500000000000005</v>
      </c>
      <c r="P295" s="168">
        <f>J295+O295</f>
        <v>215.85999999999999</v>
      </c>
      <c r="Q295" s="168">
        <f t="shared" si="170"/>
        <v>143.55000000000001</v>
      </c>
      <c r="R295" s="268">
        <f>ROUND(T295/1.2,2)</f>
        <v>387.5</v>
      </c>
      <c r="S295" s="268">
        <f t="shared" si="171"/>
        <v>77.5</v>
      </c>
      <c r="T295" s="268">
        <f>ROUND((P295+Q295)*(1+AC295)*1.2,0)</f>
        <v>465</v>
      </c>
      <c r="U295" s="269">
        <v>345</v>
      </c>
      <c r="V295" s="336">
        <f t="shared" si="180"/>
        <v>34.782608695652186</v>
      </c>
      <c r="W295" s="271">
        <v>446</v>
      </c>
      <c r="X295" s="272">
        <f t="shared" si="181"/>
        <v>4.2600896860986524</v>
      </c>
      <c r="Y295" s="231">
        <v>356</v>
      </c>
      <c r="Z295" s="273">
        <v>1.042</v>
      </c>
      <c r="AA295" s="274">
        <f>ROUND(W295*Z295,2)</f>
        <v>464.73</v>
      </c>
      <c r="AB295" s="275">
        <f>ROUND((P295+Q295)*1.2,2)</f>
        <v>431.29</v>
      </c>
      <c r="AC295" s="276">
        <f>ROUND((AA295/AB295)*100%-100%,4)</f>
        <v>7.7499999999999999E-2</v>
      </c>
      <c r="AD295" s="277">
        <f t="shared" si="182"/>
        <v>33.424975000000003</v>
      </c>
      <c r="AF295" s="235">
        <v>368.10399999999998</v>
      </c>
      <c r="AG295" s="106">
        <v>446</v>
      </c>
      <c r="AH295" s="281">
        <f t="shared" si="183"/>
        <v>19</v>
      </c>
      <c r="AI295" s="282">
        <v>4.9399999999999999E-2</v>
      </c>
      <c r="AJ295" s="283">
        <f t="shared" si="184"/>
        <v>33.424975000000003</v>
      </c>
      <c r="AK295" s="284"/>
      <c r="AM295" s="222">
        <v>-0.1333</v>
      </c>
      <c r="AN295" s="285">
        <f t="shared" si="185"/>
        <v>1.1333</v>
      </c>
      <c r="AO295" s="285">
        <v>1.1719999999999999</v>
      </c>
      <c r="AQ295" s="286">
        <f t="shared" si="191"/>
        <v>522.71</v>
      </c>
      <c r="AS295" s="222">
        <v>1.034</v>
      </c>
      <c r="AT295" s="337">
        <v>-0.1333</v>
      </c>
      <c r="AU295" s="285">
        <f t="shared" si="186"/>
        <v>8.0000000000000071E-3</v>
      </c>
      <c r="AW295" s="288">
        <f t="shared" si="187"/>
        <v>0.21079999999999999</v>
      </c>
      <c r="AX295" s="106">
        <v>446</v>
      </c>
      <c r="AY295" s="127" t="b">
        <f t="shared" si="188"/>
        <v>1</v>
      </c>
      <c r="AZ295" s="289">
        <f t="shared" si="189"/>
        <v>-3.048</v>
      </c>
      <c r="BC295">
        <f t="shared" si="190"/>
        <v>1.0429999999999999</v>
      </c>
    </row>
    <row r="296" spans="1:55" ht="26.25" customHeight="1" outlineLevel="1" x14ac:dyDescent="0.3">
      <c r="A296" s="264"/>
      <c r="B296" s="264"/>
      <c r="C296" s="265"/>
      <c r="D296" s="168"/>
      <c r="E296" s="239"/>
      <c r="F296" s="168"/>
      <c r="G296" s="266"/>
      <c r="H296" s="168"/>
      <c r="I296" s="168"/>
      <c r="J296" s="295" t="s">
        <v>366</v>
      </c>
      <c r="K296" s="121" t="s">
        <v>335</v>
      </c>
      <c r="L296" s="266" t="str">
        <f>VLOOKUP(K296,[6]материалы!$A$5:$G$31,5, FALSE)</f>
        <v>кг</v>
      </c>
      <c r="M296" s="168">
        <f>VLOOKUP(K296,[6]материалы!$A$5:$G$34,7, FALSE)</f>
        <v>720.83</v>
      </c>
      <c r="N296" s="168">
        <v>5.0000000000000001E-3</v>
      </c>
      <c r="O296" s="168">
        <f>ROUND(M296*N296,2)</f>
        <v>3.6</v>
      </c>
      <c r="P296" s="168"/>
      <c r="Q296" s="168"/>
      <c r="R296" s="268"/>
      <c r="S296" s="268"/>
      <c r="T296" s="268"/>
      <c r="U296" s="269"/>
      <c r="V296" s="336"/>
      <c r="W296" s="271"/>
      <c r="X296" s="272"/>
      <c r="Z296" s="273"/>
      <c r="AA296" s="58"/>
      <c r="AB296" s="275"/>
      <c r="AC296" s="276"/>
      <c r="AD296" s="277"/>
      <c r="AG296" s="106"/>
      <c r="AH296" s="281"/>
      <c r="AI296" s="282"/>
      <c r="AJ296" s="283"/>
      <c r="AK296" s="284"/>
      <c r="AM296" s="222"/>
      <c r="AN296" s="285"/>
      <c r="AO296" s="285"/>
      <c r="AQ296" s="286"/>
      <c r="AS296" s="222"/>
      <c r="AT296" s="337"/>
      <c r="AU296" s="285"/>
      <c r="AW296" s="288"/>
      <c r="AX296" s="106"/>
      <c r="AZ296" s="289"/>
    </row>
    <row r="297" spans="1:55" outlineLevel="1" x14ac:dyDescent="0.3">
      <c r="A297" s="264"/>
      <c r="B297" s="264"/>
      <c r="C297" s="265"/>
      <c r="D297" s="168"/>
      <c r="E297" s="239"/>
      <c r="F297" s="168"/>
      <c r="G297" s="266"/>
      <c r="H297" s="168"/>
      <c r="I297" s="168"/>
      <c r="J297" s="168"/>
      <c r="K297" s="296" t="s">
        <v>329</v>
      </c>
      <c r="L297" s="266" t="str">
        <f>VLOOKUP(K297,[6]материалы!$A$5:$G$31,5, FALSE)</f>
        <v>кг</v>
      </c>
      <c r="M297" s="168">
        <f>VLOOKUP(K297,[6]материалы!$A$5:$G$34,7, FALSE)</f>
        <v>79.17</v>
      </c>
      <c r="N297" s="301">
        <v>1E-3</v>
      </c>
      <c r="O297" s="168">
        <f>ROUND(M297*N297,2)</f>
        <v>0.08</v>
      </c>
      <c r="P297" s="168"/>
      <c r="Q297" s="168"/>
      <c r="R297" s="268"/>
      <c r="S297" s="268"/>
      <c r="T297" s="268"/>
      <c r="U297" s="269"/>
      <c r="V297" s="336"/>
      <c r="W297" s="271"/>
      <c r="X297" s="272"/>
      <c r="Z297" s="273"/>
      <c r="AA297" s="58"/>
      <c r="AB297" s="275"/>
      <c r="AC297" s="276"/>
      <c r="AD297" s="277"/>
      <c r="AG297" s="106"/>
      <c r="AH297" s="281"/>
      <c r="AI297" s="282"/>
      <c r="AJ297" s="283"/>
      <c r="AK297" s="284"/>
      <c r="AM297" s="222"/>
      <c r="AN297" s="285"/>
      <c r="AO297" s="285"/>
      <c r="AQ297" s="286"/>
      <c r="AS297" s="222"/>
      <c r="AT297" s="337"/>
      <c r="AU297" s="285"/>
      <c r="AW297" s="288"/>
      <c r="AX297" s="106"/>
      <c r="AZ297" s="289"/>
    </row>
    <row r="298" spans="1:55" outlineLevel="1" x14ac:dyDescent="0.3">
      <c r="A298" s="264"/>
      <c r="B298" s="264"/>
      <c r="C298" s="265"/>
      <c r="D298" s="168"/>
      <c r="E298" s="239"/>
      <c r="F298" s="168"/>
      <c r="G298" s="266"/>
      <c r="H298" s="168"/>
      <c r="I298" s="168"/>
      <c r="J298" s="168"/>
      <c r="K298" s="296" t="s">
        <v>330</v>
      </c>
      <c r="L298" s="266" t="str">
        <f>VLOOKUP(K298,[6]материалы!$A$5:$G$31,5, FALSE)</f>
        <v>кг</v>
      </c>
      <c r="M298" s="168">
        <f>VLOOKUP(K298,[6]материалы!$A$5:$G$34,7, FALSE)</f>
        <v>66.67</v>
      </c>
      <c r="N298" s="266">
        <v>0.01</v>
      </c>
      <c r="O298" s="168">
        <f>ROUND(M298*N298,2)</f>
        <v>0.67</v>
      </c>
      <c r="P298" s="168"/>
      <c r="Q298" s="168"/>
      <c r="R298" s="268"/>
      <c r="S298" s="268"/>
      <c r="T298" s="268"/>
      <c r="U298" s="269"/>
      <c r="V298" s="336"/>
      <c r="W298" s="271"/>
      <c r="X298" s="272"/>
      <c r="Z298" s="273"/>
      <c r="AA298" s="58"/>
      <c r="AB298" s="275"/>
      <c r="AC298" s="276"/>
      <c r="AD298" s="277"/>
      <c r="AG298" s="106"/>
      <c r="AH298" s="281"/>
      <c r="AI298" s="282"/>
      <c r="AJ298" s="283"/>
      <c r="AK298" s="284"/>
      <c r="AM298" s="222"/>
      <c r="AN298" s="285"/>
      <c r="AO298" s="285"/>
      <c r="AQ298" s="286"/>
      <c r="AS298" s="222"/>
      <c r="AT298" s="337"/>
      <c r="AU298" s="285"/>
      <c r="AW298" s="288"/>
      <c r="AX298" s="106"/>
      <c r="AZ298" s="289"/>
    </row>
    <row r="299" spans="1:55" s="223" customFormat="1" ht="41.25" customHeight="1" outlineLevel="1" x14ac:dyDescent="0.3">
      <c r="A299" s="264" t="s">
        <v>687</v>
      </c>
      <c r="B299" s="264" t="s">
        <v>282</v>
      </c>
      <c r="C299" s="265" t="s">
        <v>688</v>
      </c>
      <c r="D299" s="168" t="s">
        <v>26</v>
      </c>
      <c r="E299" s="239" t="s">
        <v>161</v>
      </c>
      <c r="F299" s="168">
        <f>VLOOKUP(E299,'[6]условия, ФОТ'!$A$14:$I$32,9, FALSE)</f>
        <v>180.5</v>
      </c>
      <c r="G299" s="266">
        <v>0.9</v>
      </c>
      <c r="H299" s="168">
        <f>ROUND(F299*G299,2)</f>
        <v>162.44999999999999</v>
      </c>
      <c r="I299" s="168">
        <f t="shared" ref="I299" si="192">ROUND(H299*$I$5,2)</f>
        <v>49.06</v>
      </c>
      <c r="J299" s="168">
        <f t="shared" ref="J299" si="193">H299+I299</f>
        <v>211.51</v>
      </c>
      <c r="K299" s="267"/>
      <c r="L299" s="168"/>
      <c r="M299" s="168"/>
      <c r="N299" s="168"/>
      <c r="O299" s="168">
        <f>SUM(O300:O303)</f>
        <v>171.01999999999998</v>
      </c>
      <c r="P299" s="168">
        <f>J299+O299</f>
        <v>382.53</v>
      </c>
      <c r="Q299" s="168">
        <f t="shared" ref="Q299" si="194">ROUND(P299*$Q$5,2)</f>
        <v>254.38</v>
      </c>
      <c r="R299" s="268">
        <f>ROUND(T299/1.2,2)</f>
        <v>663.33</v>
      </c>
      <c r="S299" s="268">
        <f t="shared" ref="S299" si="195">ROUND(R299*$S$5,2)</f>
        <v>132.66999999999999</v>
      </c>
      <c r="T299" s="268">
        <f>ROUND((P299+Q299)*(1+AC299)*1.2,0)</f>
        <v>796</v>
      </c>
      <c r="U299" s="385"/>
      <c r="V299" s="336"/>
      <c r="W299" s="350">
        <v>638</v>
      </c>
      <c r="X299" s="272">
        <f t="shared" si="181"/>
        <v>24.764890282131674</v>
      </c>
      <c r="Y299" s="231"/>
      <c r="Z299" s="273">
        <v>1.248</v>
      </c>
      <c r="AA299" s="274">
        <f>ROUND(W299*Z299,2)</f>
        <v>796.22</v>
      </c>
      <c r="AB299" s="275">
        <f>ROUND((P299+Q299)*1.2,2)</f>
        <v>764.29</v>
      </c>
      <c r="AC299" s="365">
        <f>ROUND((AA299/AB299)*100%-100%,4)</f>
        <v>4.1799999999999997E-2</v>
      </c>
      <c r="AD299" s="277">
        <f t="shared" si="182"/>
        <v>31.947321999999996</v>
      </c>
      <c r="AE299" s="386">
        <v>-0.13020000000000001</v>
      </c>
      <c r="AF299" s="356">
        <v>601.78800000000001</v>
      </c>
      <c r="AG299" s="357">
        <v>638</v>
      </c>
      <c r="AH299" s="281">
        <f t="shared" si="183"/>
        <v>158</v>
      </c>
      <c r="AI299" s="282">
        <v>4.9099999999999998E-2</v>
      </c>
      <c r="AJ299" s="283">
        <f t="shared" si="184"/>
        <v>31.947321999999996</v>
      </c>
      <c r="AK299" s="284"/>
      <c r="AM299" s="361">
        <v>-1.0200000000000001E-2</v>
      </c>
      <c r="AN299" s="285">
        <f t="shared" si="185"/>
        <v>1.0102</v>
      </c>
      <c r="AO299" s="285">
        <v>1.0449999999999999</v>
      </c>
      <c r="AQ299" s="286">
        <f t="shared" si="191"/>
        <v>666.71</v>
      </c>
      <c r="AR299" s="237"/>
      <c r="AS299" s="361">
        <v>1.034</v>
      </c>
      <c r="AT299" s="18">
        <v>-1.0200000000000001E-2</v>
      </c>
      <c r="AU299" s="285">
        <f t="shared" si="186"/>
        <v>0.21399999999999997</v>
      </c>
      <c r="AW299" s="288">
        <f t="shared" si="187"/>
        <v>5.1999999999999998E-2</v>
      </c>
      <c r="AX299" s="357">
        <v>638</v>
      </c>
      <c r="AY299" s="127" t="b">
        <f t="shared" si="188"/>
        <v>1</v>
      </c>
      <c r="AZ299" s="289">
        <f t="shared" si="189"/>
        <v>-18.602</v>
      </c>
      <c r="BA299"/>
      <c r="BB299"/>
      <c r="BC299">
        <f t="shared" si="190"/>
        <v>1.248</v>
      </c>
    </row>
    <row r="300" spans="1:55" s="223" customFormat="1" ht="36" customHeight="1" outlineLevel="1" x14ac:dyDescent="0.3">
      <c r="A300" s="264"/>
      <c r="B300" s="264"/>
      <c r="C300" s="265"/>
      <c r="D300" s="168"/>
      <c r="E300" s="239"/>
      <c r="F300" s="168"/>
      <c r="G300" s="266"/>
      <c r="H300" s="168"/>
      <c r="I300" s="168"/>
      <c r="J300" s="295" t="s">
        <v>366</v>
      </c>
      <c r="K300" s="265" t="s">
        <v>689</v>
      </c>
      <c r="L300" s="168" t="s">
        <v>690</v>
      </c>
      <c r="M300" s="168">
        <f>VLOOKUP(K300,[6]материалы!$A$5:$G$34,7, FALSE)</f>
        <v>166.67</v>
      </c>
      <c r="N300" s="168">
        <v>1</v>
      </c>
      <c r="O300" s="168">
        <f>ROUND(M300*N300,2)</f>
        <v>166.67</v>
      </c>
      <c r="P300" s="168"/>
      <c r="Q300" s="168"/>
      <c r="R300" s="268"/>
      <c r="S300" s="268"/>
      <c r="T300" s="268"/>
      <c r="U300" s="385"/>
      <c r="V300" s="336"/>
      <c r="W300" s="350"/>
      <c r="X300" s="351"/>
      <c r="Y300" s="231"/>
      <c r="Z300" s="273"/>
      <c r="AA300" s="58"/>
      <c r="AB300" s="275"/>
      <c r="AC300" s="276"/>
      <c r="AD300" s="277"/>
      <c r="AE300" s="355"/>
      <c r="AF300" s="356"/>
      <c r="AG300" s="357"/>
      <c r="AH300" s="281"/>
      <c r="AI300" s="282"/>
      <c r="AJ300" s="283"/>
      <c r="AK300" s="284"/>
      <c r="AM300" s="361"/>
      <c r="AN300" s="285"/>
      <c r="AO300" s="285"/>
      <c r="AQ300" s="286"/>
      <c r="AR300" s="237"/>
      <c r="AS300" s="361"/>
      <c r="AT300" s="18"/>
      <c r="AU300" s="285"/>
      <c r="AW300" s="288"/>
      <c r="AX300" s="357"/>
      <c r="AY300" s="127"/>
      <c r="AZ300" s="289"/>
      <c r="BA300"/>
      <c r="BB300"/>
      <c r="BC300"/>
    </row>
    <row r="301" spans="1:55" s="223" customFormat="1" ht="30" customHeight="1" outlineLevel="1" x14ac:dyDescent="0.3">
      <c r="A301" s="264"/>
      <c r="B301" s="264"/>
      <c r="C301" s="265"/>
      <c r="D301" s="168"/>
      <c r="E301" s="239"/>
      <c r="F301" s="168"/>
      <c r="G301" s="266"/>
      <c r="H301" s="168"/>
      <c r="I301" s="168"/>
      <c r="J301" s="295"/>
      <c r="K301" s="121" t="s">
        <v>335</v>
      </c>
      <c r="L301" s="266" t="str">
        <f>VLOOKUP(K301,[4]материалы!$A$5:$G$31,5, FALSE)</f>
        <v>кг</v>
      </c>
      <c r="M301" s="168">
        <f>VLOOKUP(K301,[6]материалы!$A$5:$G$34,7, FALSE)</f>
        <v>720.83</v>
      </c>
      <c r="N301" s="168">
        <v>5.0000000000000001E-3</v>
      </c>
      <c r="O301" s="168">
        <f>ROUND(M301*N301,2)</f>
        <v>3.6</v>
      </c>
      <c r="P301" s="168"/>
      <c r="Q301" s="168"/>
      <c r="R301" s="268"/>
      <c r="S301" s="268"/>
      <c r="T301" s="268"/>
      <c r="U301" s="385"/>
      <c r="V301" s="336"/>
      <c r="W301" s="350"/>
      <c r="X301" s="351"/>
      <c r="Y301" s="231"/>
      <c r="Z301" s="273"/>
      <c r="AA301" s="58"/>
      <c r="AB301" s="275"/>
      <c r="AC301" s="276"/>
      <c r="AD301" s="277"/>
      <c r="AE301" s="355"/>
      <c r="AF301" s="356"/>
      <c r="AG301" s="357"/>
      <c r="AH301" s="281"/>
      <c r="AI301" s="282"/>
      <c r="AJ301" s="283"/>
      <c r="AK301" s="284"/>
      <c r="AM301" s="361"/>
      <c r="AN301" s="285"/>
      <c r="AO301" s="285"/>
      <c r="AQ301" s="286"/>
      <c r="AR301" s="237"/>
      <c r="AS301" s="361"/>
      <c r="AT301" s="18"/>
      <c r="AU301" s="285"/>
      <c r="AW301" s="288"/>
      <c r="AX301" s="357"/>
      <c r="AY301" s="127"/>
      <c r="AZ301" s="289"/>
      <c r="BA301"/>
      <c r="BB301"/>
      <c r="BC301"/>
    </row>
    <row r="302" spans="1:55" s="223" customFormat="1" ht="21.75" customHeight="1" outlineLevel="1" x14ac:dyDescent="0.3">
      <c r="A302" s="264"/>
      <c r="B302" s="264"/>
      <c r="C302" s="265"/>
      <c r="D302" s="168"/>
      <c r="E302" s="239"/>
      <c r="F302" s="168"/>
      <c r="G302" s="266"/>
      <c r="H302" s="168"/>
      <c r="I302" s="168"/>
      <c r="J302" s="168"/>
      <c r="K302" s="296" t="s">
        <v>329</v>
      </c>
      <c r="L302" s="266" t="str">
        <f>VLOOKUP(K302,[4]материалы!$A$5:$G$31,5, FALSE)</f>
        <v>кг</v>
      </c>
      <c r="M302" s="168">
        <f>VLOOKUP(K302,[6]материалы!$A$5:$G$34,7, FALSE)</f>
        <v>79.17</v>
      </c>
      <c r="N302" s="301">
        <v>1E-3</v>
      </c>
      <c r="O302" s="168">
        <f>ROUND(M302*N302,2)</f>
        <v>0.08</v>
      </c>
      <c r="P302" s="168"/>
      <c r="Q302" s="168"/>
      <c r="R302" s="268"/>
      <c r="S302" s="268"/>
      <c r="T302" s="268"/>
      <c r="U302" s="385"/>
      <c r="V302" s="336"/>
      <c r="W302" s="350"/>
      <c r="X302" s="351"/>
      <c r="Y302" s="231"/>
      <c r="Z302" s="273"/>
      <c r="AA302" s="58"/>
      <c r="AB302" s="275"/>
      <c r="AC302" s="276"/>
      <c r="AD302" s="277"/>
      <c r="AE302" s="355"/>
      <c r="AF302" s="356"/>
      <c r="AG302" s="357"/>
      <c r="AH302" s="281"/>
      <c r="AI302" s="282"/>
      <c r="AJ302" s="283"/>
      <c r="AK302" s="284"/>
      <c r="AM302" s="361"/>
      <c r="AN302" s="285"/>
      <c r="AO302" s="285"/>
      <c r="AQ302" s="286"/>
      <c r="AR302" s="237"/>
      <c r="AS302" s="361"/>
      <c r="AT302" s="18"/>
      <c r="AU302" s="285"/>
      <c r="AW302" s="288"/>
      <c r="AX302" s="357"/>
      <c r="AY302" s="127"/>
      <c r="AZ302" s="289"/>
      <c r="BA302"/>
      <c r="BB302"/>
      <c r="BC302"/>
    </row>
    <row r="303" spans="1:55" s="223" customFormat="1" ht="18" customHeight="1" outlineLevel="1" x14ac:dyDescent="0.3">
      <c r="A303" s="264"/>
      <c r="B303" s="264"/>
      <c r="C303" s="265"/>
      <c r="D303" s="168"/>
      <c r="E303" s="239"/>
      <c r="F303" s="168"/>
      <c r="G303" s="266"/>
      <c r="H303" s="168"/>
      <c r="I303" s="168"/>
      <c r="J303" s="168"/>
      <c r="K303" s="296" t="s">
        <v>330</v>
      </c>
      <c r="L303" s="266" t="str">
        <f>VLOOKUP(K303,[4]материалы!$A$5:$G$31,5, FALSE)</f>
        <v>кг</v>
      </c>
      <c r="M303" s="168">
        <f>VLOOKUP(K303,[6]материалы!$A$5:$G$34,7, FALSE)</f>
        <v>66.67</v>
      </c>
      <c r="N303" s="266">
        <v>0.01</v>
      </c>
      <c r="O303" s="168">
        <f>ROUND(M303*N303,2)</f>
        <v>0.67</v>
      </c>
      <c r="P303" s="168"/>
      <c r="Q303" s="168"/>
      <c r="R303" s="268"/>
      <c r="S303" s="268"/>
      <c r="T303" s="268"/>
      <c r="U303" s="385"/>
      <c r="V303" s="336"/>
      <c r="W303" s="350"/>
      <c r="X303" s="351"/>
      <c r="Y303" s="231"/>
      <c r="Z303" s="273"/>
      <c r="AA303" s="58"/>
      <c r="AB303" s="275"/>
      <c r="AC303" s="276"/>
      <c r="AD303" s="277"/>
      <c r="AE303" s="355"/>
      <c r="AF303" s="356"/>
      <c r="AG303" s="357"/>
      <c r="AH303" s="281"/>
      <c r="AI303" s="282"/>
      <c r="AJ303" s="283"/>
      <c r="AK303" s="284"/>
      <c r="AM303" s="361"/>
      <c r="AN303" s="285"/>
      <c r="AO303" s="285"/>
      <c r="AQ303" s="286"/>
      <c r="AR303" s="237"/>
      <c r="AS303" s="361"/>
      <c r="AT303" s="18"/>
      <c r="AU303" s="285"/>
      <c r="AW303" s="288"/>
      <c r="AX303" s="357"/>
      <c r="AY303" s="127"/>
      <c r="AZ303" s="289"/>
      <c r="BA303"/>
      <c r="BB303"/>
      <c r="BC303"/>
    </row>
    <row r="304" spans="1:55" s="308" customFormat="1" ht="19.5" customHeight="1" x14ac:dyDescent="0.25">
      <c r="A304" s="647" t="s">
        <v>521</v>
      </c>
      <c r="B304" s="647" t="s">
        <v>284</v>
      </c>
      <c r="C304" s="660" t="s">
        <v>373</v>
      </c>
      <c r="D304" s="661" t="s">
        <v>285</v>
      </c>
      <c r="E304" s="239" t="s">
        <v>161</v>
      </c>
      <c r="F304" s="168">
        <f>VLOOKUP(E304,'[6]условия, ФОТ'!$A$14:$I$32,9, FALSE)</f>
        <v>180.5</v>
      </c>
      <c r="G304" s="688">
        <v>2.84</v>
      </c>
      <c r="H304" s="688">
        <f>ROUND((F304+F305)/2*G304,2)</f>
        <v>531.28</v>
      </c>
      <c r="I304" s="688">
        <f t="shared" si="123"/>
        <v>160.44999999999999</v>
      </c>
      <c r="J304" s="688">
        <f t="shared" si="178"/>
        <v>691.73</v>
      </c>
      <c r="K304" s="669"/>
      <c r="L304" s="661"/>
      <c r="M304" s="661"/>
      <c r="N304" s="661"/>
      <c r="O304" s="661">
        <f>SUM(O306:O311)</f>
        <v>206.42</v>
      </c>
      <c r="P304" s="688">
        <f>J304+O304</f>
        <v>898.15</v>
      </c>
      <c r="Q304" s="688">
        <f t="shared" si="170"/>
        <v>597.27</v>
      </c>
      <c r="R304" s="665">
        <f>ROUND(T304/1.2,2)</f>
        <v>1572.5</v>
      </c>
      <c r="S304" s="665">
        <f t="shared" si="171"/>
        <v>314.5</v>
      </c>
      <c r="T304" s="665">
        <f>ROUND((P304+Q304)*(1+AC304)*1.2,0)</f>
        <v>1887</v>
      </c>
      <c r="U304" s="705">
        <v>1697</v>
      </c>
      <c r="V304" s="845">
        <f t="shared" si="180"/>
        <v>11.196228638774301</v>
      </c>
      <c r="W304" s="689">
        <v>1811</v>
      </c>
      <c r="X304" s="691">
        <f t="shared" si="181"/>
        <v>4.1965764770844913</v>
      </c>
      <c r="Y304" s="302">
        <v>1751</v>
      </c>
      <c r="Z304" s="837">
        <v>1.042</v>
      </c>
      <c r="AA304" s="839">
        <f>ROUND(W304*Z304,2)</f>
        <v>1887.06</v>
      </c>
      <c r="AB304" s="840">
        <f>ROUND((P304+Q304)*1.2,2)</f>
        <v>1794.5</v>
      </c>
      <c r="AC304" s="843">
        <f>ROUND((AA304/AB304)*100%-100%,4)</f>
        <v>5.16E-2</v>
      </c>
      <c r="AD304" s="693">
        <f t="shared" si="182"/>
        <v>92.596199999999996</v>
      </c>
      <c r="AE304" s="318"/>
      <c r="AF304" s="303">
        <v>1810.5340000000001</v>
      </c>
      <c r="AG304" s="702">
        <v>1811</v>
      </c>
      <c r="AH304" s="833">
        <f t="shared" si="183"/>
        <v>76</v>
      </c>
      <c r="AI304" s="834">
        <v>8.8099999999999998E-2</v>
      </c>
      <c r="AJ304" s="819">
        <f t="shared" si="184"/>
        <v>92.596199999999996</v>
      </c>
      <c r="AK304" s="304"/>
      <c r="AM304" s="722">
        <v>8.8099999999999998E-2</v>
      </c>
      <c r="AN304" s="698">
        <f t="shared" si="185"/>
        <v>8.8099999999999998E-2</v>
      </c>
      <c r="AO304" s="698">
        <v>0</v>
      </c>
      <c r="AQ304" s="696"/>
      <c r="AR304" s="346"/>
      <c r="AS304" s="722">
        <v>1.034</v>
      </c>
      <c r="AT304" s="724">
        <v>8.8099999999999998E-2</v>
      </c>
      <c r="AU304" s="698">
        <f t="shared" si="186"/>
        <v>8.0000000000000071E-3</v>
      </c>
      <c r="AW304" s="700">
        <f t="shared" si="187"/>
        <v>-3.6499999999999998E-2</v>
      </c>
      <c r="AX304" s="702">
        <v>1811</v>
      </c>
      <c r="AY304" s="695" t="b">
        <f t="shared" si="188"/>
        <v>1</v>
      </c>
      <c r="AZ304" s="307">
        <f t="shared" si="189"/>
        <v>-2.9880000000000004</v>
      </c>
      <c r="BC304" s="308">
        <f t="shared" si="190"/>
        <v>1.042</v>
      </c>
    </row>
    <row r="305" spans="1:55" s="308" customFormat="1" ht="20.25" customHeight="1" x14ac:dyDescent="0.25">
      <c r="A305" s="647"/>
      <c r="B305" s="647"/>
      <c r="C305" s="660"/>
      <c r="D305" s="661"/>
      <c r="E305" s="239" t="s">
        <v>166</v>
      </c>
      <c r="F305" s="168">
        <f>VLOOKUP(E305,'[6]условия, ФОТ'!$A$14:$I$32,9, FALSE)</f>
        <v>193.64</v>
      </c>
      <c r="G305" s="688"/>
      <c r="H305" s="688"/>
      <c r="I305" s="688"/>
      <c r="J305" s="688"/>
      <c r="K305" s="669"/>
      <c r="L305" s="661"/>
      <c r="M305" s="661"/>
      <c r="N305" s="661"/>
      <c r="O305" s="661"/>
      <c r="P305" s="688"/>
      <c r="Q305" s="688"/>
      <c r="R305" s="665"/>
      <c r="S305" s="665"/>
      <c r="T305" s="665">
        <f>ROUND((P305+Q305)*(1+$R$5)*1.18,0)</f>
        <v>0</v>
      </c>
      <c r="U305" s="830"/>
      <c r="V305" s="845"/>
      <c r="W305" s="690"/>
      <c r="X305" s="691"/>
      <c r="Y305" s="302"/>
      <c r="Z305" s="838"/>
      <c r="AA305" s="839"/>
      <c r="AB305" s="840"/>
      <c r="AC305" s="844"/>
      <c r="AD305" s="694"/>
      <c r="AE305" s="318"/>
      <c r="AF305" s="303"/>
      <c r="AG305" s="702"/>
      <c r="AH305" s="833"/>
      <c r="AI305" s="835"/>
      <c r="AJ305" s="820"/>
      <c r="AK305" s="304"/>
      <c r="AM305" s="723"/>
      <c r="AN305" s="699"/>
      <c r="AO305" s="699"/>
      <c r="AQ305" s="697"/>
      <c r="AR305" s="346"/>
      <c r="AS305" s="723"/>
      <c r="AT305" s="725"/>
      <c r="AU305" s="699"/>
      <c r="AW305" s="701"/>
      <c r="AX305" s="702"/>
      <c r="AY305" s="695"/>
      <c r="AZ305" s="307"/>
    </row>
    <row r="306" spans="1:55" s="308" customFormat="1" ht="15.75" customHeight="1" outlineLevel="1" x14ac:dyDescent="0.3">
      <c r="A306" s="264"/>
      <c r="B306" s="264"/>
      <c r="C306" s="265"/>
      <c r="D306" s="168"/>
      <c r="E306" s="239"/>
      <c r="F306" s="168"/>
      <c r="G306" s="266"/>
      <c r="H306" s="266"/>
      <c r="I306" s="266"/>
      <c r="J306" s="295" t="s">
        <v>366</v>
      </c>
      <c r="K306" s="387" t="s">
        <v>323</v>
      </c>
      <c r="L306" s="266" t="str">
        <f>VLOOKUP(K306,[6]материалы!$A$5:$G$31,5, FALSE)</f>
        <v>м3</v>
      </c>
      <c r="M306" s="168">
        <f>VLOOKUP(K306,[6]материалы!$A$5:$G$34,7, FALSE)</f>
        <v>486.11</v>
      </c>
      <c r="N306" s="168">
        <v>0.17499999999999999</v>
      </c>
      <c r="O306" s="168">
        <f>ROUND(M306*N306,2)</f>
        <v>85.07</v>
      </c>
      <c r="P306" s="266"/>
      <c r="Q306" s="266"/>
      <c r="R306" s="268"/>
      <c r="S306" s="268"/>
      <c r="T306" s="268"/>
      <c r="U306" s="309"/>
      <c r="V306" s="388"/>
      <c r="W306" s="311"/>
      <c r="X306" s="312"/>
      <c r="Y306" s="302"/>
      <c r="Z306" s="313"/>
      <c r="AA306" s="314"/>
      <c r="AB306" s="315"/>
      <c r="AC306" s="316"/>
      <c r="AD306" s="317"/>
      <c r="AE306" s="318"/>
      <c r="AF306" s="303"/>
      <c r="AG306" s="319"/>
      <c r="AH306" s="320"/>
      <c r="AI306" s="321"/>
      <c r="AJ306" s="283"/>
      <c r="AK306" s="304"/>
      <c r="AM306" s="347"/>
      <c r="AN306" s="322"/>
      <c r="AO306" s="322"/>
      <c r="AQ306" s="323"/>
      <c r="AR306" s="346"/>
      <c r="AS306" s="347"/>
      <c r="AT306" s="348"/>
      <c r="AU306" s="322"/>
      <c r="AW306" s="324"/>
      <c r="AX306" s="319"/>
      <c r="AY306" s="325"/>
      <c r="AZ306" s="307"/>
    </row>
    <row r="307" spans="1:55" s="308" customFormat="1" ht="15.75" customHeight="1" outlineLevel="1" x14ac:dyDescent="0.3">
      <c r="A307" s="264"/>
      <c r="B307" s="264"/>
      <c r="C307" s="265"/>
      <c r="D307" s="168"/>
      <c r="E307" s="239"/>
      <c r="F307" s="168"/>
      <c r="G307" s="266"/>
      <c r="H307" s="266"/>
      <c r="I307" s="266"/>
      <c r="J307" s="266"/>
      <c r="K307" s="387" t="s">
        <v>324</v>
      </c>
      <c r="L307" s="266" t="str">
        <f>VLOOKUP(K307,[6]материалы!$A$5:$G$31,5, FALSE)</f>
        <v>м3</v>
      </c>
      <c r="M307" s="168">
        <f>VLOOKUP(K307,[6]материалы!$A$5:$G$34,7, FALSE)</f>
        <v>152.78</v>
      </c>
      <c r="N307" s="168">
        <v>0.05</v>
      </c>
      <c r="O307" s="168">
        <f t="shared" ref="O307:O308" si="196">ROUND(M307*N307,2)</f>
        <v>7.64</v>
      </c>
      <c r="P307" s="266"/>
      <c r="Q307" s="266"/>
      <c r="R307" s="268"/>
      <c r="S307" s="268"/>
      <c r="T307" s="268"/>
      <c r="U307" s="309"/>
      <c r="V307" s="388"/>
      <c r="W307" s="311"/>
      <c r="X307" s="312"/>
      <c r="Y307" s="302"/>
      <c r="Z307" s="313"/>
      <c r="AA307" s="314"/>
      <c r="AB307" s="315"/>
      <c r="AC307" s="316"/>
      <c r="AD307" s="317"/>
      <c r="AE307" s="318"/>
      <c r="AF307" s="303"/>
      <c r="AG307" s="319"/>
      <c r="AH307" s="320"/>
      <c r="AI307" s="321"/>
      <c r="AJ307" s="283"/>
      <c r="AK307" s="304"/>
      <c r="AM307" s="347"/>
      <c r="AN307" s="322"/>
      <c r="AO307" s="322"/>
      <c r="AQ307" s="323"/>
      <c r="AR307" s="346"/>
      <c r="AS307" s="347"/>
      <c r="AT307" s="348"/>
      <c r="AU307" s="322"/>
      <c r="AW307" s="324"/>
      <c r="AX307" s="319"/>
      <c r="AY307" s="325"/>
      <c r="AZ307" s="307"/>
    </row>
    <row r="308" spans="1:55" s="308" customFormat="1" ht="43.5" customHeight="1" outlineLevel="1" x14ac:dyDescent="0.3">
      <c r="A308" s="264"/>
      <c r="B308" s="264"/>
      <c r="C308" s="265"/>
      <c r="D308" s="168"/>
      <c r="E308" s="239"/>
      <c r="F308" s="168"/>
      <c r="G308" s="266"/>
      <c r="H308" s="266"/>
      <c r="I308" s="266"/>
      <c r="J308" s="266"/>
      <c r="K308" s="121" t="s">
        <v>341</v>
      </c>
      <c r="L308" s="266" t="str">
        <f>VLOOKUP(K308,[6]материалы!$A$5:$G$31,5, FALSE)</f>
        <v>кг</v>
      </c>
      <c r="M308" s="168">
        <f>VLOOKUP(K308,[6]материалы!$A$5:$G$34,7, FALSE)</f>
        <v>125</v>
      </c>
      <c r="N308" s="168">
        <v>1.7000000000000001E-2</v>
      </c>
      <c r="O308" s="168">
        <f t="shared" si="196"/>
        <v>2.13</v>
      </c>
      <c r="P308" s="266"/>
      <c r="Q308" s="266"/>
      <c r="R308" s="268"/>
      <c r="S308" s="268"/>
      <c r="T308" s="268"/>
      <c r="U308" s="309"/>
      <c r="V308" s="388"/>
      <c r="W308" s="311"/>
      <c r="X308" s="312"/>
      <c r="Y308" s="302"/>
      <c r="Z308" s="313"/>
      <c r="AA308" s="314"/>
      <c r="AB308" s="315"/>
      <c r="AC308" s="316"/>
      <c r="AD308" s="317"/>
      <c r="AE308" s="318"/>
      <c r="AF308" s="303"/>
      <c r="AG308" s="319"/>
      <c r="AH308" s="320"/>
      <c r="AI308" s="321"/>
      <c r="AJ308" s="283"/>
      <c r="AK308" s="304"/>
      <c r="AM308" s="347"/>
      <c r="AN308" s="322"/>
      <c r="AO308" s="322"/>
      <c r="AQ308" s="323"/>
      <c r="AR308" s="346"/>
      <c r="AS308" s="347"/>
      <c r="AT308" s="348"/>
      <c r="AU308" s="322"/>
      <c r="AW308" s="324"/>
      <c r="AX308" s="319"/>
      <c r="AY308" s="325"/>
      <c r="AZ308" s="307"/>
    </row>
    <row r="309" spans="1:55" s="308" customFormat="1" outlineLevel="1" x14ac:dyDescent="0.3">
      <c r="A309" s="264"/>
      <c r="B309" s="264"/>
      <c r="C309" s="265"/>
      <c r="D309" s="168"/>
      <c r="E309" s="239"/>
      <c r="F309" s="168"/>
      <c r="G309" s="266"/>
      <c r="H309" s="266"/>
      <c r="I309" s="266"/>
      <c r="J309" s="266"/>
      <c r="K309" s="296" t="s">
        <v>329</v>
      </c>
      <c r="L309" s="266" t="str">
        <f>VLOOKUP(K309,[6]материалы!$A$5:$G$31,5, FALSE)</f>
        <v>кг</v>
      </c>
      <c r="M309" s="168">
        <f>VLOOKUP(K309,[6]материалы!$A$5:$G$34,7, FALSE)</f>
        <v>79.17</v>
      </c>
      <c r="N309" s="301">
        <v>1E-3</v>
      </c>
      <c r="O309" s="168">
        <f>ROUND(M309*N309,2)</f>
        <v>0.08</v>
      </c>
      <c r="P309" s="266"/>
      <c r="Q309" s="266"/>
      <c r="R309" s="268"/>
      <c r="S309" s="268"/>
      <c r="T309" s="268"/>
      <c r="U309" s="309"/>
      <c r="V309" s="388"/>
      <c r="W309" s="311"/>
      <c r="X309" s="312"/>
      <c r="Y309" s="302"/>
      <c r="Z309" s="313"/>
      <c r="AA309" s="314"/>
      <c r="AB309" s="315"/>
      <c r="AC309" s="316"/>
      <c r="AD309" s="317"/>
      <c r="AE309" s="318"/>
      <c r="AF309" s="303"/>
      <c r="AG309" s="319"/>
      <c r="AH309" s="320"/>
      <c r="AI309" s="321"/>
      <c r="AJ309" s="283"/>
      <c r="AK309" s="304"/>
      <c r="AM309" s="347"/>
      <c r="AN309" s="322"/>
      <c r="AO309" s="322"/>
      <c r="AQ309" s="323"/>
      <c r="AR309" s="346"/>
      <c r="AS309" s="347"/>
      <c r="AT309" s="348"/>
      <c r="AU309" s="322"/>
      <c r="AW309" s="324"/>
      <c r="AX309" s="319"/>
      <c r="AY309" s="325"/>
      <c r="AZ309" s="307"/>
    </row>
    <row r="310" spans="1:55" s="308" customFormat="1" outlineLevel="1" x14ac:dyDescent="0.3">
      <c r="A310" s="264"/>
      <c r="B310" s="264"/>
      <c r="C310" s="265"/>
      <c r="D310" s="168"/>
      <c r="E310" s="239"/>
      <c r="F310" s="168"/>
      <c r="G310" s="266"/>
      <c r="H310" s="266"/>
      <c r="I310" s="266"/>
      <c r="J310" s="266"/>
      <c r="K310" s="296" t="s">
        <v>330</v>
      </c>
      <c r="L310" s="266" t="str">
        <f>VLOOKUP(K310,[6]материалы!$A$5:$G$31,5, FALSE)</f>
        <v>кг</v>
      </c>
      <c r="M310" s="168">
        <f>VLOOKUP(K310,[6]материалы!$A$5:$G$34,7, FALSE)</f>
        <v>66.67</v>
      </c>
      <c r="N310" s="266">
        <v>0.01</v>
      </c>
      <c r="O310" s="168">
        <f>ROUND(M310*N310,2)</f>
        <v>0.67</v>
      </c>
      <c r="P310" s="266"/>
      <c r="Q310" s="266"/>
      <c r="R310" s="268"/>
      <c r="S310" s="268"/>
      <c r="T310" s="268"/>
      <c r="U310" s="309"/>
      <c r="V310" s="388"/>
      <c r="W310" s="311"/>
      <c r="X310" s="312"/>
      <c r="Y310" s="302"/>
      <c r="Z310" s="313"/>
      <c r="AA310" s="314"/>
      <c r="AB310" s="315"/>
      <c r="AC310" s="316"/>
      <c r="AD310" s="317"/>
      <c r="AE310" s="318"/>
      <c r="AF310" s="303"/>
      <c r="AG310" s="319"/>
      <c r="AH310" s="320"/>
      <c r="AI310" s="321"/>
      <c r="AJ310" s="283"/>
      <c r="AK310" s="304"/>
      <c r="AM310" s="347"/>
      <c r="AN310" s="322"/>
      <c r="AO310" s="322"/>
      <c r="AQ310" s="323"/>
      <c r="AR310" s="346"/>
      <c r="AS310" s="347"/>
      <c r="AT310" s="348"/>
      <c r="AU310" s="322"/>
      <c r="AW310" s="324"/>
      <c r="AX310" s="319"/>
      <c r="AY310" s="325"/>
      <c r="AZ310" s="307"/>
    </row>
    <row r="311" spans="1:55" s="308" customFormat="1" ht="25.5" outlineLevel="1" x14ac:dyDescent="0.3">
      <c r="A311" s="264"/>
      <c r="B311" s="264"/>
      <c r="C311" s="265"/>
      <c r="D311" s="168"/>
      <c r="E311" s="239"/>
      <c r="F311" s="168"/>
      <c r="G311" s="266"/>
      <c r="H311" s="266"/>
      <c r="I311" s="266"/>
      <c r="J311" s="266"/>
      <c r="K311" s="296" t="s">
        <v>369</v>
      </c>
      <c r="L311" s="266" t="str">
        <f>VLOOKUP(K311,[6]материалы!$A$5:$G$31,5, FALSE)</f>
        <v>м</v>
      </c>
      <c r="M311" s="168">
        <f>VLOOKUP(K311,[6]материалы!$A$5:$G$34,7, FALSE)</f>
        <v>110.83</v>
      </c>
      <c r="N311" s="266">
        <v>1</v>
      </c>
      <c r="O311" s="168">
        <f t="shared" ref="O311" si="197">ROUND(M311*N311,2)</f>
        <v>110.83</v>
      </c>
      <c r="P311" s="266"/>
      <c r="Q311" s="266"/>
      <c r="R311" s="268"/>
      <c r="S311" s="268"/>
      <c r="T311" s="268"/>
      <c r="U311" s="309"/>
      <c r="V311" s="388"/>
      <c r="W311" s="311"/>
      <c r="X311" s="312"/>
      <c r="Y311" s="302"/>
      <c r="Z311" s="313"/>
      <c r="AA311" s="314"/>
      <c r="AB311" s="315"/>
      <c r="AC311" s="316"/>
      <c r="AD311" s="317"/>
      <c r="AE311" s="318"/>
      <c r="AF311" s="303"/>
      <c r="AG311" s="319"/>
      <c r="AH311" s="320"/>
      <c r="AI311" s="321"/>
      <c r="AJ311" s="283"/>
      <c r="AK311" s="304"/>
      <c r="AM311" s="347"/>
      <c r="AN311" s="322"/>
      <c r="AO311" s="322"/>
      <c r="AQ311" s="323"/>
      <c r="AR311" s="346"/>
      <c r="AS311" s="347"/>
      <c r="AT311" s="348"/>
      <c r="AU311" s="322"/>
      <c r="AW311" s="324"/>
      <c r="AX311" s="319"/>
      <c r="AY311" s="325"/>
      <c r="AZ311" s="307"/>
    </row>
    <row r="312" spans="1:55" ht="21" customHeight="1" x14ac:dyDescent="0.25">
      <c r="A312" s="647" t="s">
        <v>522</v>
      </c>
      <c r="B312" s="647" t="s">
        <v>284</v>
      </c>
      <c r="C312" s="660" t="s">
        <v>574</v>
      </c>
      <c r="D312" s="661" t="s">
        <v>285</v>
      </c>
      <c r="E312" s="239" t="s">
        <v>161</v>
      </c>
      <c r="F312" s="168">
        <f>VLOOKUP(E312,'[6]условия, ФОТ'!$A$14:$I$32,9, FALSE)</f>
        <v>180.5</v>
      </c>
      <c r="G312" s="688">
        <v>3.38</v>
      </c>
      <c r="H312" s="688">
        <f>ROUND((F312+F313)/2*G312,2)</f>
        <v>632.29999999999995</v>
      </c>
      <c r="I312" s="661">
        <f t="shared" si="123"/>
        <v>190.95</v>
      </c>
      <c r="J312" s="661">
        <f t="shared" si="178"/>
        <v>823.25</v>
      </c>
      <c r="K312" s="669"/>
      <c r="L312" s="661"/>
      <c r="M312" s="661"/>
      <c r="N312" s="661"/>
      <c r="O312" s="661">
        <f>SUM(O314:O319)</f>
        <v>336.87</v>
      </c>
      <c r="P312" s="688">
        <f t="shared" si="179"/>
        <v>1160.1199999999999</v>
      </c>
      <c r="Q312" s="688">
        <f t="shared" si="170"/>
        <v>771.48</v>
      </c>
      <c r="R312" s="665">
        <f>ROUND(T312/1.2,2)</f>
        <v>2013.33</v>
      </c>
      <c r="S312" s="665">
        <f t="shared" si="171"/>
        <v>402.67</v>
      </c>
      <c r="T312" s="665">
        <f>ROUND((P312+Q312)*(1+AC312)*1.2,0)</f>
        <v>2416</v>
      </c>
      <c r="U312" s="666">
        <v>2059</v>
      </c>
      <c r="V312" s="842">
        <f t="shared" si="180"/>
        <v>17.338513841670704</v>
      </c>
      <c r="W312" s="749">
        <v>2196</v>
      </c>
      <c r="X312" s="679">
        <f t="shared" si="181"/>
        <v>10.01821493624773</v>
      </c>
      <c r="Y312" s="231">
        <v>2124</v>
      </c>
      <c r="Z312" s="823">
        <v>1.1000000000000001</v>
      </c>
      <c r="AA312" s="825">
        <f>ROUND(W312*Z312,2)</f>
        <v>2415.6</v>
      </c>
      <c r="AB312" s="846">
        <f>ROUND((P312+Q312)*1.2,2)</f>
        <v>2317.92</v>
      </c>
      <c r="AC312" s="848">
        <f>ROUND((AA312/AB312)*100%-100%,4)</f>
        <v>4.2099999999999999E-2</v>
      </c>
      <c r="AD312" s="681">
        <f t="shared" si="182"/>
        <v>97.584432000000007</v>
      </c>
      <c r="AE312" s="735">
        <v>-1.2800000000000001E-2</v>
      </c>
      <c r="AF312" s="235">
        <v>2196.2159999999999</v>
      </c>
      <c r="AG312" s="674">
        <v>2196</v>
      </c>
      <c r="AH312" s="816">
        <f t="shared" si="183"/>
        <v>220</v>
      </c>
      <c r="AI312" s="817">
        <v>9.1200000000000003E-2</v>
      </c>
      <c r="AJ312" s="819">
        <f t="shared" si="184"/>
        <v>97.584432000000007</v>
      </c>
      <c r="AK312" s="284"/>
      <c r="AM312" s="715">
        <v>9.1200000000000003E-2</v>
      </c>
      <c r="AN312" s="670">
        <f t="shared" si="185"/>
        <v>9.1200000000000003E-2</v>
      </c>
      <c r="AO312" s="670">
        <v>0</v>
      </c>
      <c r="AQ312" s="286"/>
      <c r="AS312" s="715">
        <v>1.034</v>
      </c>
      <c r="AT312" s="717">
        <v>9.1200000000000003E-2</v>
      </c>
      <c r="AU312" s="670">
        <f t="shared" si="186"/>
        <v>6.6000000000000059E-2</v>
      </c>
      <c r="AW312" s="672">
        <f t="shared" si="187"/>
        <v>-4.9100000000000005E-2</v>
      </c>
      <c r="AX312" s="674">
        <v>2196</v>
      </c>
      <c r="AY312" s="675" t="b">
        <f t="shared" si="188"/>
        <v>1</v>
      </c>
      <c r="AZ312" s="289">
        <f t="shared" si="189"/>
        <v>-8.01</v>
      </c>
      <c r="BC312">
        <f t="shared" si="190"/>
        <v>1.1000000000000001</v>
      </c>
    </row>
    <row r="313" spans="1:55" ht="19.5" customHeight="1" x14ac:dyDescent="0.25">
      <c r="A313" s="647"/>
      <c r="B313" s="647"/>
      <c r="C313" s="660"/>
      <c r="D313" s="661"/>
      <c r="E313" s="239" t="s">
        <v>166</v>
      </c>
      <c r="F313" s="168">
        <f>VLOOKUP(E313,'[6]условия, ФОТ'!$A$14:$I$32,9, FALSE)</f>
        <v>193.64</v>
      </c>
      <c r="G313" s="688"/>
      <c r="H313" s="688"/>
      <c r="I313" s="661"/>
      <c r="J313" s="661"/>
      <c r="K313" s="669"/>
      <c r="L313" s="661"/>
      <c r="M313" s="661"/>
      <c r="N313" s="661"/>
      <c r="O313" s="661"/>
      <c r="P313" s="688"/>
      <c r="Q313" s="688"/>
      <c r="R313" s="665"/>
      <c r="S313" s="665"/>
      <c r="T313" s="665">
        <f>ROUND((P313+Q313)*(1+$R$5)*1.18,0)</f>
        <v>0</v>
      </c>
      <c r="U313" s="827"/>
      <c r="V313" s="842"/>
      <c r="W313" s="750"/>
      <c r="X313" s="679"/>
      <c r="Z313" s="824"/>
      <c r="AA313" s="825"/>
      <c r="AB313" s="847"/>
      <c r="AC313" s="849"/>
      <c r="AD313" s="682"/>
      <c r="AE313" s="736"/>
      <c r="AG313" s="674"/>
      <c r="AH313" s="816"/>
      <c r="AI313" s="818"/>
      <c r="AJ313" s="820"/>
      <c r="AK313" s="284"/>
      <c r="AM313" s="716"/>
      <c r="AN313" s="671"/>
      <c r="AO313" s="671"/>
      <c r="AQ313" s="286"/>
      <c r="AS313" s="716"/>
      <c r="AT313" s="718"/>
      <c r="AU313" s="671"/>
      <c r="AW313" s="673"/>
      <c r="AX313" s="674"/>
      <c r="AY313" s="675"/>
      <c r="AZ313" s="289"/>
    </row>
    <row r="314" spans="1:55" ht="17.25" customHeight="1" outlineLevel="1" x14ac:dyDescent="0.3">
      <c r="A314" s="264"/>
      <c r="B314" s="264"/>
      <c r="C314" s="265"/>
      <c r="D314" s="168"/>
      <c r="E314" s="239"/>
      <c r="F314" s="168"/>
      <c r="G314" s="266"/>
      <c r="H314" s="266"/>
      <c r="I314" s="168"/>
      <c r="J314" s="295" t="s">
        <v>366</v>
      </c>
      <c r="K314" s="387" t="s">
        <v>323</v>
      </c>
      <c r="L314" s="266" t="str">
        <f>VLOOKUP(K314,[6]материалы!$A$5:$G$31,5, FALSE)</f>
        <v>м3</v>
      </c>
      <c r="M314" s="168">
        <f>VLOOKUP(K314,[6]материалы!$A$5:$G$34,7, FALSE)</f>
        <v>486.11</v>
      </c>
      <c r="N314" s="168">
        <v>0.17499999999999999</v>
      </c>
      <c r="O314" s="168">
        <f>ROUND(M314*N314,2)</f>
        <v>85.07</v>
      </c>
      <c r="P314" s="266"/>
      <c r="Q314" s="266"/>
      <c r="R314" s="268"/>
      <c r="S314" s="268"/>
      <c r="T314" s="268"/>
      <c r="U314" s="269"/>
      <c r="V314" s="339"/>
      <c r="W314" s="271"/>
      <c r="X314" s="272"/>
      <c r="Z314" s="273"/>
      <c r="AA314" s="58"/>
      <c r="AB314" s="275"/>
      <c r="AC314" s="276"/>
      <c r="AD314" s="277"/>
      <c r="AG314" s="106"/>
      <c r="AH314" s="281"/>
      <c r="AI314" s="282"/>
      <c r="AJ314" s="283"/>
      <c r="AK314" s="284"/>
      <c r="AM314" s="222"/>
      <c r="AN314" s="285"/>
      <c r="AO314" s="285"/>
      <c r="AQ314" s="286"/>
      <c r="AS314" s="222"/>
      <c r="AT314" s="337"/>
      <c r="AU314" s="285"/>
      <c r="AW314" s="288"/>
      <c r="AX314" s="106"/>
      <c r="AZ314" s="289"/>
    </row>
    <row r="315" spans="1:55" ht="17.25" customHeight="1" outlineLevel="1" x14ac:dyDescent="0.3">
      <c r="A315" s="264"/>
      <c r="B315" s="264"/>
      <c r="C315" s="265"/>
      <c r="D315" s="168"/>
      <c r="E315" s="239"/>
      <c r="F315" s="168"/>
      <c r="G315" s="266"/>
      <c r="H315" s="266"/>
      <c r="I315" s="168"/>
      <c r="J315" s="168"/>
      <c r="K315" s="387" t="s">
        <v>324</v>
      </c>
      <c r="L315" s="266" t="str">
        <f>VLOOKUP(K315,[6]материалы!$A$5:$G$31,5, FALSE)</f>
        <v>м3</v>
      </c>
      <c r="M315" s="168">
        <f>VLOOKUP(K315,[6]материалы!$A$5:$G$34,7, FALSE)</f>
        <v>152.78</v>
      </c>
      <c r="N315" s="168">
        <v>0.05</v>
      </c>
      <c r="O315" s="168">
        <f t="shared" ref="O315:O316" si="198">ROUND(M315*N315,2)</f>
        <v>7.64</v>
      </c>
      <c r="P315" s="266"/>
      <c r="Q315" s="266"/>
      <c r="R315" s="268"/>
      <c r="S315" s="268"/>
      <c r="T315" s="268"/>
      <c r="U315" s="269"/>
      <c r="V315" s="339"/>
      <c r="W315" s="271"/>
      <c r="X315" s="272"/>
      <c r="Z315" s="273"/>
      <c r="AA315" s="58"/>
      <c r="AB315" s="275"/>
      <c r="AC315" s="276"/>
      <c r="AD315" s="277"/>
      <c r="AG315" s="106"/>
      <c r="AH315" s="281"/>
      <c r="AI315" s="282"/>
      <c r="AJ315" s="283"/>
      <c r="AK315" s="284"/>
      <c r="AM315" s="222"/>
      <c r="AN315" s="285"/>
      <c r="AO315" s="285"/>
      <c r="AQ315" s="286"/>
      <c r="AS315" s="222"/>
      <c r="AT315" s="337"/>
      <c r="AU315" s="285"/>
      <c r="AW315" s="288"/>
      <c r="AX315" s="106"/>
      <c r="AZ315" s="289"/>
    </row>
    <row r="316" spans="1:55" ht="39" customHeight="1" outlineLevel="1" x14ac:dyDescent="0.3">
      <c r="A316" s="264"/>
      <c r="B316" s="264"/>
      <c r="C316" s="265"/>
      <c r="D316" s="168"/>
      <c r="E316" s="239"/>
      <c r="F316" s="168"/>
      <c r="G316" s="266"/>
      <c r="H316" s="266"/>
      <c r="I316" s="168"/>
      <c r="J316" s="168"/>
      <c r="K316" s="121" t="s">
        <v>341</v>
      </c>
      <c r="L316" s="266" t="str">
        <f>VLOOKUP(K316,[6]материалы!$A$5:$G$31,5, FALSE)</f>
        <v>кг</v>
      </c>
      <c r="M316" s="168">
        <f>VLOOKUP(K316,[6]материалы!$A$5:$G$34,7, FALSE)</f>
        <v>125</v>
      </c>
      <c r="N316" s="168">
        <v>1.7000000000000001E-2</v>
      </c>
      <c r="O316" s="168">
        <f t="shared" si="198"/>
        <v>2.13</v>
      </c>
      <c r="P316" s="266"/>
      <c r="Q316" s="266"/>
      <c r="R316" s="268"/>
      <c r="S316" s="268"/>
      <c r="T316" s="268"/>
      <c r="U316" s="269"/>
      <c r="V316" s="339"/>
      <c r="W316" s="271"/>
      <c r="X316" s="272"/>
      <c r="Z316" s="273"/>
      <c r="AA316" s="58"/>
      <c r="AB316" s="275"/>
      <c r="AC316" s="276"/>
      <c r="AD316" s="277"/>
      <c r="AG316" s="106"/>
      <c r="AH316" s="281"/>
      <c r="AI316" s="282"/>
      <c r="AJ316" s="283"/>
      <c r="AK316" s="284"/>
      <c r="AM316" s="222"/>
      <c r="AN316" s="285"/>
      <c r="AO316" s="285"/>
      <c r="AQ316" s="286"/>
      <c r="AS316" s="222"/>
      <c r="AT316" s="337"/>
      <c r="AU316" s="285"/>
      <c r="AW316" s="288"/>
      <c r="AX316" s="106"/>
      <c r="AZ316" s="289"/>
    </row>
    <row r="317" spans="1:55" outlineLevel="1" x14ac:dyDescent="0.3">
      <c r="A317" s="264"/>
      <c r="B317" s="264"/>
      <c r="C317" s="265"/>
      <c r="D317" s="168"/>
      <c r="E317" s="239"/>
      <c r="F317" s="168"/>
      <c r="G317" s="266"/>
      <c r="H317" s="266"/>
      <c r="I317" s="168"/>
      <c r="J317" s="168"/>
      <c r="K317" s="296" t="s">
        <v>329</v>
      </c>
      <c r="L317" s="266" t="str">
        <f>VLOOKUP(K317,[6]материалы!$A$5:$G$31,5, FALSE)</f>
        <v>кг</v>
      </c>
      <c r="M317" s="168">
        <f>VLOOKUP(K317,[6]материалы!$A$5:$G$34,7, FALSE)</f>
        <v>79.17</v>
      </c>
      <c r="N317" s="301">
        <v>1E-3</v>
      </c>
      <c r="O317" s="168">
        <f>ROUND(M317*N317,2)</f>
        <v>0.08</v>
      </c>
      <c r="P317" s="266"/>
      <c r="Q317" s="266"/>
      <c r="R317" s="268"/>
      <c r="S317" s="268"/>
      <c r="T317" s="268"/>
      <c r="U317" s="269"/>
      <c r="V317" s="339"/>
      <c r="W317" s="271"/>
      <c r="X317" s="272"/>
      <c r="Z317" s="273"/>
      <c r="AA317" s="58"/>
      <c r="AB317" s="275"/>
      <c r="AC317" s="276"/>
      <c r="AD317" s="277"/>
      <c r="AG317" s="106"/>
      <c r="AH317" s="281"/>
      <c r="AI317" s="282"/>
      <c r="AJ317" s="283"/>
      <c r="AK317" s="284"/>
      <c r="AM317" s="222"/>
      <c r="AN317" s="285"/>
      <c r="AO317" s="285"/>
      <c r="AQ317" s="286"/>
      <c r="AS317" s="222"/>
      <c r="AT317" s="337"/>
      <c r="AU317" s="285"/>
      <c r="AW317" s="288"/>
      <c r="AX317" s="106"/>
      <c r="AZ317" s="289"/>
    </row>
    <row r="318" spans="1:55" outlineLevel="1" x14ac:dyDescent="0.3">
      <c r="A318" s="264"/>
      <c r="B318" s="264"/>
      <c r="C318" s="265"/>
      <c r="D318" s="168"/>
      <c r="E318" s="239"/>
      <c r="F318" s="168"/>
      <c r="G318" s="266"/>
      <c r="H318" s="266"/>
      <c r="I318" s="168"/>
      <c r="J318" s="168"/>
      <c r="K318" s="296" t="s">
        <v>330</v>
      </c>
      <c r="L318" s="266" t="str">
        <f>VLOOKUP(K318,[6]материалы!$A$5:$G$31,5, FALSE)</f>
        <v>кг</v>
      </c>
      <c r="M318" s="168">
        <f>VLOOKUP(K318,[6]материалы!$A$5:$G$34,7, FALSE)</f>
        <v>66.67</v>
      </c>
      <c r="N318" s="266">
        <v>0.01</v>
      </c>
      <c r="O318" s="168">
        <f>ROUND(M318*N318,2)</f>
        <v>0.67</v>
      </c>
      <c r="P318" s="266"/>
      <c r="Q318" s="266"/>
      <c r="R318" s="268"/>
      <c r="S318" s="268"/>
      <c r="T318" s="268"/>
      <c r="U318" s="269"/>
      <c r="V318" s="339"/>
      <c r="W318" s="271"/>
      <c r="X318" s="272"/>
      <c r="Z318" s="273"/>
      <c r="AA318" s="58"/>
      <c r="AB318" s="275"/>
      <c r="AC318" s="276"/>
      <c r="AD318" s="277"/>
      <c r="AG318" s="106"/>
      <c r="AH318" s="281"/>
      <c r="AI318" s="282"/>
      <c r="AJ318" s="283"/>
      <c r="AK318" s="284"/>
      <c r="AM318" s="222"/>
      <c r="AN318" s="285"/>
      <c r="AO318" s="285"/>
      <c r="AQ318" s="286"/>
      <c r="AS318" s="222"/>
      <c r="AT318" s="337"/>
      <c r="AU318" s="285"/>
      <c r="AW318" s="288"/>
      <c r="AX318" s="106"/>
      <c r="AZ318" s="289"/>
    </row>
    <row r="319" spans="1:55" ht="25.5" outlineLevel="1" x14ac:dyDescent="0.3">
      <c r="A319" s="264"/>
      <c r="B319" s="264"/>
      <c r="C319" s="265"/>
      <c r="D319" s="168"/>
      <c r="E319" s="239"/>
      <c r="F319" s="168"/>
      <c r="G319" s="266"/>
      <c r="H319" s="266"/>
      <c r="I319" s="168"/>
      <c r="J319" s="168"/>
      <c r="K319" s="296" t="s">
        <v>374</v>
      </c>
      <c r="L319" s="266" t="str">
        <f>VLOOKUP(K319,[6]материалы!$A$5:$G$31,5, FALSE)</f>
        <v>м</v>
      </c>
      <c r="M319" s="168">
        <f>VLOOKUP(K319,[6]материалы!$A$5:$G$34,7, FALSE)</f>
        <v>241.28</v>
      </c>
      <c r="N319" s="266">
        <v>1</v>
      </c>
      <c r="O319" s="168">
        <f>ROUND(M319*N319,2)</f>
        <v>241.28</v>
      </c>
      <c r="P319" s="266"/>
      <c r="Q319" s="266"/>
      <c r="R319" s="268"/>
      <c r="S319" s="268"/>
      <c r="T319" s="268"/>
      <c r="U319" s="269"/>
      <c r="V319" s="339"/>
      <c r="W319" s="271"/>
      <c r="X319" s="272"/>
      <c r="Z319" s="273"/>
      <c r="AA319" s="58"/>
      <c r="AB319" s="275"/>
      <c r="AC319" s="276"/>
      <c r="AD319" s="277"/>
      <c r="AG319" s="106"/>
      <c r="AH319" s="281"/>
      <c r="AI319" s="282"/>
      <c r="AJ319" s="283"/>
      <c r="AK319" s="284"/>
      <c r="AM319" s="222"/>
      <c r="AN319" s="285"/>
      <c r="AO319" s="285"/>
      <c r="AQ319" s="286"/>
      <c r="AS319" s="222"/>
      <c r="AT319" s="337"/>
      <c r="AU319" s="285"/>
      <c r="AW319" s="288"/>
      <c r="AX319" s="106"/>
      <c r="AZ319" s="289"/>
    </row>
    <row r="320" spans="1:55" s="308" customFormat="1" ht="17.25" customHeight="1" x14ac:dyDescent="0.25">
      <c r="A320" s="647" t="s">
        <v>523</v>
      </c>
      <c r="B320" s="647" t="s">
        <v>286</v>
      </c>
      <c r="C320" s="660" t="s">
        <v>375</v>
      </c>
      <c r="D320" s="661" t="s">
        <v>28</v>
      </c>
      <c r="E320" s="239" t="s">
        <v>161</v>
      </c>
      <c r="F320" s="168">
        <f>VLOOKUP(E320,'[6]условия, ФОТ'!$A$14:$I$32,9, FALSE)</f>
        <v>180.5</v>
      </c>
      <c r="G320" s="661">
        <v>0.86</v>
      </c>
      <c r="H320" s="688">
        <f>ROUND((F320+F321)/2*G320,2)</f>
        <v>160.88</v>
      </c>
      <c r="I320" s="661">
        <f t="shared" si="123"/>
        <v>48.59</v>
      </c>
      <c r="J320" s="661">
        <f t="shared" si="178"/>
        <v>209.47</v>
      </c>
      <c r="K320" s="669"/>
      <c r="L320" s="661"/>
      <c r="M320" s="661"/>
      <c r="N320" s="661"/>
      <c r="O320" s="661">
        <f>O322</f>
        <v>110.83</v>
      </c>
      <c r="P320" s="688">
        <f t="shared" si="179"/>
        <v>320.3</v>
      </c>
      <c r="Q320" s="688">
        <f t="shared" si="170"/>
        <v>213</v>
      </c>
      <c r="R320" s="665">
        <f>ROUND(T320/1.2,2)</f>
        <v>555.83000000000004</v>
      </c>
      <c r="S320" s="665">
        <f t="shared" si="171"/>
        <v>111.17</v>
      </c>
      <c r="T320" s="665">
        <f>ROUND((P320+Q320)*(1+AC320)*1.2,0)</f>
        <v>667</v>
      </c>
      <c r="U320" s="705">
        <v>539</v>
      </c>
      <c r="V320" s="845">
        <f t="shared" si="180"/>
        <v>23.747680890538021</v>
      </c>
      <c r="W320" s="689">
        <v>575</v>
      </c>
      <c r="X320" s="691">
        <f t="shared" si="181"/>
        <v>15.999999999999986</v>
      </c>
      <c r="Y320" s="302">
        <v>556</v>
      </c>
      <c r="Z320" s="837">
        <v>1.1599999999999999</v>
      </c>
      <c r="AA320" s="839">
        <f>ROUND(W320*Z320,2)</f>
        <v>667</v>
      </c>
      <c r="AB320" s="840">
        <f>ROUND((P320+Q320)*1.2,2)</f>
        <v>639.96</v>
      </c>
      <c r="AC320" s="831">
        <f>ROUND((AA320/AB320)*100%-100%,4)</f>
        <v>4.2299999999999997E-2</v>
      </c>
      <c r="AD320" s="693">
        <f t="shared" si="182"/>
        <v>27.070308000000001</v>
      </c>
      <c r="AE320" s="703">
        <v>-6.3799999999999996E-2</v>
      </c>
      <c r="AF320" s="303">
        <v>574.904</v>
      </c>
      <c r="AG320" s="702">
        <v>575</v>
      </c>
      <c r="AH320" s="833">
        <f t="shared" si="183"/>
        <v>92</v>
      </c>
      <c r="AI320" s="834">
        <v>9.6199999999999994E-2</v>
      </c>
      <c r="AJ320" s="819">
        <f t="shared" si="184"/>
        <v>27.070308000000001</v>
      </c>
      <c r="AK320" s="304"/>
      <c r="AM320" s="722">
        <v>9.6199999999999994E-2</v>
      </c>
      <c r="AN320" s="698">
        <f t="shared" si="185"/>
        <v>9.6199999999999994E-2</v>
      </c>
      <c r="AO320" s="698">
        <v>0</v>
      </c>
      <c r="AQ320" s="323"/>
      <c r="AR320" s="346"/>
      <c r="AS320" s="722">
        <v>1.034</v>
      </c>
      <c r="AT320" s="724">
        <v>9.6199999999999994E-2</v>
      </c>
      <c r="AU320" s="698">
        <f t="shared" si="186"/>
        <v>0.12599999999999989</v>
      </c>
      <c r="AW320" s="700">
        <f t="shared" si="187"/>
        <v>-5.3899999999999997E-2</v>
      </c>
      <c r="AX320" s="702">
        <v>575</v>
      </c>
      <c r="AY320" s="695" t="b">
        <f t="shared" si="188"/>
        <v>1</v>
      </c>
      <c r="AZ320" s="307">
        <f t="shared" si="189"/>
        <v>-12.629999999999999</v>
      </c>
      <c r="BC320" s="308">
        <f t="shared" si="190"/>
        <v>1.1599999999999999</v>
      </c>
    </row>
    <row r="321" spans="1:55" s="308" customFormat="1" ht="13.5" customHeight="1" x14ac:dyDescent="0.25">
      <c r="A321" s="647"/>
      <c r="B321" s="647"/>
      <c r="C321" s="660"/>
      <c r="D321" s="661"/>
      <c r="E321" s="239" t="s">
        <v>166</v>
      </c>
      <c r="F321" s="168">
        <f>VLOOKUP(E321,'[6]условия, ФОТ'!$A$14:$I$32,9, FALSE)</f>
        <v>193.64</v>
      </c>
      <c r="G321" s="661"/>
      <c r="H321" s="688"/>
      <c r="I321" s="661"/>
      <c r="J321" s="661"/>
      <c r="K321" s="669"/>
      <c r="L321" s="661"/>
      <c r="M321" s="661"/>
      <c r="N321" s="661"/>
      <c r="O321" s="661"/>
      <c r="P321" s="688"/>
      <c r="Q321" s="688"/>
      <c r="R321" s="665"/>
      <c r="S321" s="665"/>
      <c r="T321" s="665">
        <f>ROUND((P321+Q321)*(1+$R$5)*1.18,0)</f>
        <v>0</v>
      </c>
      <c r="U321" s="830"/>
      <c r="V321" s="845"/>
      <c r="W321" s="690"/>
      <c r="X321" s="691"/>
      <c r="Y321" s="302"/>
      <c r="Z321" s="838"/>
      <c r="AA321" s="839"/>
      <c r="AB321" s="840"/>
      <c r="AC321" s="832"/>
      <c r="AD321" s="694"/>
      <c r="AE321" s="704"/>
      <c r="AF321" s="303"/>
      <c r="AG321" s="702"/>
      <c r="AH321" s="833"/>
      <c r="AI321" s="835"/>
      <c r="AJ321" s="820"/>
      <c r="AK321" s="304"/>
      <c r="AM321" s="723"/>
      <c r="AN321" s="699"/>
      <c r="AO321" s="699"/>
      <c r="AQ321" s="323"/>
      <c r="AR321" s="346"/>
      <c r="AS321" s="723"/>
      <c r="AT321" s="725"/>
      <c r="AU321" s="699"/>
      <c r="AW321" s="701"/>
      <c r="AX321" s="702"/>
      <c r="AY321" s="695"/>
      <c r="AZ321" s="307"/>
    </row>
    <row r="322" spans="1:55" s="308" customFormat="1" ht="24" customHeight="1" outlineLevel="1" x14ac:dyDescent="0.3">
      <c r="A322" s="264"/>
      <c r="B322" s="264"/>
      <c r="C322" s="265"/>
      <c r="D322" s="168"/>
      <c r="E322" s="239"/>
      <c r="F322" s="168"/>
      <c r="G322" s="168"/>
      <c r="H322" s="266"/>
      <c r="I322" s="168"/>
      <c r="J322" s="295" t="s">
        <v>366</v>
      </c>
      <c r="K322" s="296" t="s">
        <v>369</v>
      </c>
      <c r="L322" s="266" t="str">
        <f>VLOOKUP(K322,[6]материалы!$A$5:$G$31,5, FALSE)</f>
        <v>м</v>
      </c>
      <c r="M322" s="168">
        <f>VLOOKUP(K322,[6]материалы!$A$5:$G$34,7, FALSE)</f>
        <v>110.83</v>
      </c>
      <c r="N322" s="266">
        <v>1</v>
      </c>
      <c r="O322" s="168">
        <f t="shared" ref="O322" si="199">ROUND(M322*N322,2)</f>
        <v>110.83</v>
      </c>
      <c r="P322" s="266"/>
      <c r="Q322" s="266"/>
      <c r="R322" s="268"/>
      <c r="S322" s="268"/>
      <c r="T322" s="268"/>
      <c r="U322" s="309"/>
      <c r="V322" s="388"/>
      <c r="W322" s="311"/>
      <c r="X322" s="312"/>
      <c r="Y322" s="302"/>
      <c r="Z322" s="313"/>
      <c r="AA322" s="314"/>
      <c r="AB322" s="315"/>
      <c r="AC322" s="389"/>
      <c r="AD322" s="317"/>
      <c r="AE322" s="318"/>
      <c r="AF322" s="303"/>
      <c r="AG322" s="319"/>
      <c r="AH322" s="320"/>
      <c r="AI322" s="321"/>
      <c r="AJ322" s="283"/>
      <c r="AK322" s="304"/>
      <c r="AM322" s="347"/>
      <c r="AN322" s="322"/>
      <c r="AO322" s="322"/>
      <c r="AQ322" s="323"/>
      <c r="AR322" s="346"/>
      <c r="AS322" s="347"/>
      <c r="AT322" s="348"/>
      <c r="AU322" s="322"/>
      <c r="AW322" s="324"/>
      <c r="AX322" s="319"/>
      <c r="AY322" s="325"/>
      <c r="AZ322" s="307"/>
    </row>
    <row r="323" spans="1:55" ht="16.5" customHeight="1" x14ac:dyDescent="0.25">
      <c r="A323" s="647" t="s">
        <v>524</v>
      </c>
      <c r="B323" s="647" t="s">
        <v>286</v>
      </c>
      <c r="C323" s="660" t="s">
        <v>376</v>
      </c>
      <c r="D323" s="661" t="s">
        <v>28</v>
      </c>
      <c r="E323" s="239" t="s">
        <v>161</v>
      </c>
      <c r="F323" s="168">
        <f>VLOOKUP(E323,'[6]условия, ФОТ'!$A$14:$I$32,9, FALSE)</f>
        <v>180.5</v>
      </c>
      <c r="G323" s="661">
        <v>1.02</v>
      </c>
      <c r="H323" s="688">
        <f>ROUND((F323+F324)/2*G323,2)</f>
        <v>190.81</v>
      </c>
      <c r="I323" s="661">
        <f t="shared" si="123"/>
        <v>57.62</v>
      </c>
      <c r="J323" s="661">
        <f t="shared" si="178"/>
        <v>248.43</v>
      </c>
      <c r="K323" s="669"/>
      <c r="L323" s="661"/>
      <c r="M323" s="661"/>
      <c r="N323" s="661"/>
      <c r="O323" s="661">
        <f>O325</f>
        <v>241.28</v>
      </c>
      <c r="P323" s="688">
        <f t="shared" si="179"/>
        <v>489.71000000000004</v>
      </c>
      <c r="Q323" s="688">
        <f>ROUND(P323*$Q$5,2)</f>
        <v>325.66000000000003</v>
      </c>
      <c r="R323" s="665">
        <f>ROUND(T323/1.2,2)</f>
        <v>850</v>
      </c>
      <c r="S323" s="665">
        <f t="shared" si="171"/>
        <v>170</v>
      </c>
      <c r="T323" s="665">
        <f>ROUND((P323+Q323)*(1+AC323)*1.2,0)</f>
        <v>1020</v>
      </c>
      <c r="U323" s="666">
        <v>712</v>
      </c>
      <c r="V323" s="842">
        <f t="shared" si="180"/>
        <v>43.258426966292149</v>
      </c>
      <c r="W323" s="749">
        <v>760</v>
      </c>
      <c r="X323" s="679">
        <f t="shared" si="181"/>
        <v>34.21052631578948</v>
      </c>
      <c r="Y323" s="231">
        <v>735</v>
      </c>
      <c r="Z323" s="823">
        <v>1.3420000000000001</v>
      </c>
      <c r="AA323" s="825">
        <f>ROUND(W323*Z323,2)</f>
        <v>1019.92</v>
      </c>
      <c r="AB323" s="826">
        <f>ROUND((P323+Q323)*1.2,2)</f>
        <v>978.44</v>
      </c>
      <c r="AC323" s="848">
        <f>ROUND((AA323/AB323)*100%-100%,4)</f>
        <v>4.24E-2</v>
      </c>
      <c r="AD323" s="681">
        <f t="shared" si="182"/>
        <v>41.485856000000005</v>
      </c>
      <c r="AE323" s="735">
        <v>-0.19059999999999999</v>
      </c>
      <c r="AF323" s="235">
        <v>759.99</v>
      </c>
      <c r="AG323" s="674">
        <v>760</v>
      </c>
      <c r="AH323" s="816">
        <f t="shared" si="183"/>
        <v>260</v>
      </c>
      <c r="AI323" s="817">
        <v>0.11210000000000001</v>
      </c>
      <c r="AJ323" s="819">
        <f t="shared" si="184"/>
        <v>41.485856000000005</v>
      </c>
      <c r="AK323" s="284"/>
      <c r="AM323" s="715">
        <v>0.11210000000000001</v>
      </c>
      <c r="AN323" s="670">
        <f t="shared" si="185"/>
        <v>0.11210000000000001</v>
      </c>
      <c r="AO323" s="670">
        <v>0</v>
      </c>
      <c r="AQ323" s="286"/>
      <c r="AS323" s="715">
        <v>1.034</v>
      </c>
      <c r="AT323" s="717">
        <v>0.11210000000000001</v>
      </c>
      <c r="AU323" s="670">
        <f t="shared" si="186"/>
        <v>0.30800000000000005</v>
      </c>
      <c r="AW323" s="672">
        <f t="shared" si="187"/>
        <v>-6.9700000000000012E-2</v>
      </c>
      <c r="AX323" s="674">
        <v>760</v>
      </c>
      <c r="AY323" s="675" t="b">
        <f t="shared" si="188"/>
        <v>1</v>
      </c>
      <c r="AZ323" s="289">
        <f t="shared" si="189"/>
        <v>-24.148</v>
      </c>
      <c r="BC323">
        <f t="shared" si="190"/>
        <v>1.3420000000000001</v>
      </c>
    </row>
    <row r="324" spans="1:55" ht="13.5" customHeight="1" x14ac:dyDescent="0.25">
      <c r="A324" s="647"/>
      <c r="B324" s="647"/>
      <c r="C324" s="660"/>
      <c r="D324" s="661"/>
      <c r="E324" s="239" t="s">
        <v>166</v>
      </c>
      <c r="F324" s="168">
        <f>VLOOKUP(E324,'[6]условия, ФОТ'!$A$14:$I$32,9, FALSE)</f>
        <v>193.64</v>
      </c>
      <c r="G324" s="661"/>
      <c r="H324" s="688"/>
      <c r="I324" s="661"/>
      <c r="J324" s="661"/>
      <c r="K324" s="669"/>
      <c r="L324" s="661"/>
      <c r="M324" s="661"/>
      <c r="N324" s="661"/>
      <c r="O324" s="661"/>
      <c r="P324" s="688"/>
      <c r="Q324" s="688"/>
      <c r="R324" s="665"/>
      <c r="S324" s="665"/>
      <c r="T324" s="665">
        <f>ROUND((P324+Q324)*(1+$R$5)*1.18,0)</f>
        <v>0</v>
      </c>
      <c r="U324" s="827"/>
      <c r="V324" s="842"/>
      <c r="W324" s="750"/>
      <c r="X324" s="679"/>
      <c r="Z324" s="824"/>
      <c r="AA324" s="825"/>
      <c r="AB324" s="826"/>
      <c r="AC324" s="849"/>
      <c r="AD324" s="682"/>
      <c r="AE324" s="736"/>
      <c r="AG324" s="674"/>
      <c r="AH324" s="816"/>
      <c r="AI324" s="818"/>
      <c r="AJ324" s="820"/>
      <c r="AK324" s="284"/>
      <c r="AM324" s="716"/>
      <c r="AN324" s="671"/>
      <c r="AO324" s="671"/>
      <c r="AQ324" s="286"/>
      <c r="AS324" s="716"/>
      <c r="AT324" s="718"/>
      <c r="AU324" s="671"/>
      <c r="AW324" s="673"/>
      <c r="AX324" s="674"/>
      <c r="AY324" s="675"/>
      <c r="AZ324" s="289"/>
    </row>
    <row r="325" spans="1:55" ht="27" customHeight="1" outlineLevel="1" x14ac:dyDescent="0.3">
      <c r="A325" s="264"/>
      <c r="B325" s="264"/>
      <c r="C325" s="265"/>
      <c r="D325" s="168"/>
      <c r="E325" s="239"/>
      <c r="F325" s="168"/>
      <c r="G325" s="168"/>
      <c r="H325" s="266"/>
      <c r="I325" s="168"/>
      <c r="J325" s="295" t="s">
        <v>366</v>
      </c>
      <c r="K325" s="296" t="s">
        <v>374</v>
      </c>
      <c r="L325" s="266" t="str">
        <f>VLOOKUP(K325,[6]материалы!$A$5:$G$31,5, FALSE)</f>
        <v>м</v>
      </c>
      <c r="M325" s="168">
        <f>VLOOKUP(K325,[6]материалы!$A$5:$G$34,7, FALSE)</f>
        <v>241.28</v>
      </c>
      <c r="N325" s="266">
        <v>1</v>
      </c>
      <c r="O325" s="168">
        <f>ROUND(M325*N325,2)</f>
        <v>241.28</v>
      </c>
      <c r="P325" s="266"/>
      <c r="Q325" s="266"/>
      <c r="R325" s="268"/>
      <c r="S325" s="268"/>
      <c r="T325" s="268"/>
      <c r="U325" s="269"/>
      <c r="V325" s="339"/>
      <c r="W325" s="271"/>
      <c r="X325" s="272"/>
      <c r="Z325" s="273"/>
      <c r="AA325" s="58"/>
      <c r="AB325" s="275"/>
      <c r="AC325" s="276"/>
      <c r="AD325" s="277"/>
      <c r="AG325" s="106"/>
      <c r="AH325" s="281"/>
      <c r="AI325" s="282"/>
      <c r="AJ325" s="283"/>
      <c r="AK325" s="284"/>
      <c r="AM325" s="222"/>
      <c r="AN325" s="285"/>
      <c r="AO325" s="285"/>
      <c r="AQ325" s="286"/>
      <c r="AS325" s="222"/>
      <c r="AT325" s="337"/>
      <c r="AU325" s="285"/>
      <c r="AW325" s="288"/>
      <c r="AX325" s="106"/>
      <c r="AZ325" s="289"/>
    </row>
    <row r="326" spans="1:55" ht="25.5" customHeight="1" x14ac:dyDescent="0.3">
      <c r="A326" s="264" t="s">
        <v>525</v>
      </c>
      <c r="B326" s="264" t="s">
        <v>287</v>
      </c>
      <c r="C326" s="265" t="s">
        <v>378</v>
      </c>
      <c r="D326" s="168" t="s">
        <v>288</v>
      </c>
      <c r="E326" s="239" t="s">
        <v>161</v>
      </c>
      <c r="F326" s="168">
        <f>VLOOKUP(E326,'[6]условия, ФОТ'!$A$14:$I$32,9, FALSE)</f>
        <v>180.5</v>
      </c>
      <c r="G326" s="168">
        <v>0.94</v>
      </c>
      <c r="H326" s="168">
        <f t="shared" si="177"/>
        <v>169.67</v>
      </c>
      <c r="I326" s="168">
        <f t="shared" si="123"/>
        <v>51.24</v>
      </c>
      <c r="J326" s="168">
        <f t="shared" si="178"/>
        <v>220.91</v>
      </c>
      <c r="K326" s="267"/>
      <c r="L326" s="168"/>
      <c r="M326" s="168"/>
      <c r="N326" s="168"/>
      <c r="O326" s="168">
        <f>SUM(O327:O330)</f>
        <v>46.02</v>
      </c>
      <c r="P326" s="168">
        <f>J326+O326</f>
        <v>266.93</v>
      </c>
      <c r="Q326" s="168">
        <f t="shared" si="170"/>
        <v>177.51</v>
      </c>
      <c r="R326" s="268">
        <f>ROUND(T326/1.2,2)</f>
        <v>465.83</v>
      </c>
      <c r="S326" s="268">
        <f t="shared" si="171"/>
        <v>93.17</v>
      </c>
      <c r="T326" s="268">
        <f>ROUND((P326+Q326)*(1+AC326)*1.2,0)</f>
        <v>559</v>
      </c>
      <c r="U326" s="269">
        <v>440</v>
      </c>
      <c r="V326" s="336">
        <f t="shared" si="180"/>
        <v>27.045454545454547</v>
      </c>
      <c r="W326" s="271">
        <v>536</v>
      </c>
      <c r="X326" s="272">
        <f t="shared" si="181"/>
        <v>4.2910447761194064</v>
      </c>
      <c r="Y326" s="231">
        <v>454</v>
      </c>
      <c r="Z326" s="273">
        <v>1.042</v>
      </c>
      <c r="AA326" s="274">
        <f>ROUND(W326*Z326,2)</f>
        <v>558.51</v>
      </c>
      <c r="AB326" s="275">
        <f>ROUND((P326+Q326)*1.2,2)</f>
        <v>533.33000000000004</v>
      </c>
      <c r="AC326" s="276">
        <f>ROUND((AA326/AB326)*100%-100%,4)</f>
        <v>4.7199999999999999E-2</v>
      </c>
      <c r="AD326" s="277">
        <f t="shared" si="182"/>
        <v>25.173176000000002</v>
      </c>
      <c r="AF326" s="235">
        <v>469.43600000000004</v>
      </c>
      <c r="AG326" s="106">
        <v>536</v>
      </c>
      <c r="AH326" s="281">
        <f t="shared" si="183"/>
        <v>23</v>
      </c>
      <c r="AI326" s="282">
        <v>4.9299999999999997E-2</v>
      </c>
      <c r="AJ326" s="283">
        <f t="shared" si="184"/>
        <v>25.173176000000002</v>
      </c>
      <c r="AK326" s="284"/>
      <c r="AM326" s="222">
        <v>-8.0500000000000002E-2</v>
      </c>
      <c r="AN326" s="285">
        <f t="shared" si="185"/>
        <v>1.0805</v>
      </c>
      <c r="AO326" s="285">
        <v>1.117</v>
      </c>
      <c r="AQ326" s="286">
        <f t="shared" si="191"/>
        <v>598.71</v>
      </c>
      <c r="AS326" s="222">
        <v>1.034</v>
      </c>
      <c r="AT326" s="337">
        <v>-8.0500000000000002E-2</v>
      </c>
      <c r="AU326" s="285">
        <f t="shared" si="186"/>
        <v>8.0000000000000071E-3</v>
      </c>
      <c r="AW326" s="288">
        <f t="shared" si="187"/>
        <v>0.12770000000000001</v>
      </c>
      <c r="AX326" s="106">
        <v>536</v>
      </c>
      <c r="AY326" s="127" t="b">
        <f t="shared" si="188"/>
        <v>1</v>
      </c>
      <c r="AZ326" s="289">
        <f t="shared" si="189"/>
        <v>-3.0680000000000005</v>
      </c>
      <c r="BC326">
        <f t="shared" si="190"/>
        <v>1.0429999999999999</v>
      </c>
    </row>
    <row r="327" spans="1:55" ht="25.5" outlineLevel="1" x14ac:dyDescent="0.3">
      <c r="A327" s="264"/>
      <c r="B327" s="264"/>
      <c r="C327" s="265"/>
      <c r="D327" s="168"/>
      <c r="E327" s="239"/>
      <c r="F327" s="168"/>
      <c r="G327" s="168"/>
      <c r="H327" s="168"/>
      <c r="I327" s="168"/>
      <c r="J327" s="295" t="s">
        <v>366</v>
      </c>
      <c r="K327" s="121" t="s">
        <v>335</v>
      </c>
      <c r="L327" s="266" t="str">
        <f>VLOOKUP(K327,[6]материалы!$A$5:$G$31,5, FALSE)</f>
        <v>кг</v>
      </c>
      <c r="M327" s="168">
        <f>VLOOKUP(K327,[6]материалы!$A$5:$G$34,7, FALSE)</f>
        <v>720.83</v>
      </c>
      <c r="N327" s="168">
        <v>5.0000000000000001E-3</v>
      </c>
      <c r="O327" s="168">
        <f>ROUND(M327*N327,2)</f>
        <v>3.6</v>
      </c>
      <c r="P327" s="168"/>
      <c r="Q327" s="168"/>
      <c r="R327" s="268"/>
      <c r="S327" s="268"/>
      <c r="T327" s="268"/>
      <c r="U327" s="269"/>
      <c r="V327" s="336"/>
      <c r="W327" s="271"/>
      <c r="X327" s="272"/>
      <c r="Z327" s="273"/>
      <c r="AA327" s="58"/>
      <c r="AB327" s="275"/>
      <c r="AC327" s="276"/>
      <c r="AD327" s="277"/>
      <c r="AG327" s="106"/>
      <c r="AH327" s="281"/>
      <c r="AI327" s="282"/>
      <c r="AJ327" s="283"/>
      <c r="AK327" s="284"/>
      <c r="AM327" s="222"/>
      <c r="AN327" s="285"/>
      <c r="AO327" s="285"/>
      <c r="AQ327" s="286"/>
      <c r="AS327" s="222"/>
      <c r="AT327" s="337"/>
      <c r="AU327" s="285"/>
      <c r="AW327" s="288"/>
      <c r="AX327" s="106"/>
      <c r="AZ327" s="289"/>
    </row>
    <row r="328" spans="1:55" outlineLevel="1" x14ac:dyDescent="0.3">
      <c r="A328" s="264"/>
      <c r="B328" s="264"/>
      <c r="C328" s="265"/>
      <c r="D328" s="168"/>
      <c r="E328" s="239"/>
      <c r="F328" s="168"/>
      <c r="G328" s="168"/>
      <c r="H328" s="168"/>
      <c r="I328" s="168"/>
      <c r="J328" s="168"/>
      <c r="K328" s="296" t="s">
        <v>329</v>
      </c>
      <c r="L328" s="266" t="str">
        <f>VLOOKUP(K328,[6]материалы!$A$5:$G$31,5, FALSE)</f>
        <v>кг</v>
      </c>
      <c r="M328" s="168">
        <f>VLOOKUP(K328,[6]материалы!$A$5:$G$34,7, FALSE)</f>
        <v>79.17</v>
      </c>
      <c r="N328" s="301">
        <v>1E-3</v>
      </c>
      <c r="O328" s="168">
        <f>ROUND(M328*N328,2)</f>
        <v>0.08</v>
      </c>
      <c r="P328" s="168"/>
      <c r="Q328" s="168"/>
      <c r="R328" s="268"/>
      <c r="S328" s="268"/>
      <c r="T328" s="268"/>
      <c r="U328" s="269"/>
      <c r="V328" s="336"/>
      <c r="W328" s="271"/>
      <c r="X328" s="272"/>
      <c r="Z328" s="273"/>
      <c r="AA328" s="58"/>
      <c r="AB328" s="275"/>
      <c r="AC328" s="276"/>
      <c r="AD328" s="277"/>
      <c r="AG328" s="106"/>
      <c r="AH328" s="281"/>
      <c r="AI328" s="282"/>
      <c r="AJ328" s="283"/>
      <c r="AK328" s="284"/>
      <c r="AM328" s="222"/>
      <c r="AN328" s="285"/>
      <c r="AO328" s="285"/>
      <c r="AQ328" s="286"/>
      <c r="AS328" s="222"/>
      <c r="AT328" s="337"/>
      <c r="AU328" s="285"/>
      <c r="AW328" s="288"/>
      <c r="AX328" s="106"/>
      <c r="AZ328" s="289"/>
    </row>
    <row r="329" spans="1:55" outlineLevel="1" x14ac:dyDescent="0.3">
      <c r="A329" s="264"/>
      <c r="B329" s="264"/>
      <c r="C329" s="265"/>
      <c r="D329" s="168"/>
      <c r="E329" s="239"/>
      <c r="F329" s="168"/>
      <c r="G329" s="168"/>
      <c r="H329" s="168"/>
      <c r="I329" s="168"/>
      <c r="J329" s="168"/>
      <c r="K329" s="296" t="s">
        <v>330</v>
      </c>
      <c r="L329" s="266" t="str">
        <f>VLOOKUP(K329,[6]материалы!$A$5:$G$31,5, FALSE)</f>
        <v>кг</v>
      </c>
      <c r="M329" s="168">
        <f>VLOOKUP(K329,[6]материалы!$A$5:$G$34,7, FALSE)</f>
        <v>66.67</v>
      </c>
      <c r="N329" s="266">
        <v>0.01</v>
      </c>
      <c r="O329" s="168">
        <f>ROUND(M329*N329,2)</f>
        <v>0.67</v>
      </c>
      <c r="P329" s="168"/>
      <c r="Q329" s="168"/>
      <c r="R329" s="268"/>
      <c r="S329" s="268"/>
      <c r="T329" s="268"/>
      <c r="U329" s="269"/>
      <c r="V329" s="336"/>
      <c r="W329" s="271"/>
      <c r="X329" s="272"/>
      <c r="Z329" s="273"/>
      <c r="AA329" s="58"/>
      <c r="AB329" s="275"/>
      <c r="AC329" s="276"/>
      <c r="AD329" s="277"/>
      <c r="AG329" s="106"/>
      <c r="AH329" s="281"/>
      <c r="AI329" s="282"/>
      <c r="AJ329" s="283"/>
      <c r="AK329" s="284"/>
      <c r="AM329" s="222"/>
      <c r="AN329" s="285"/>
      <c r="AO329" s="285"/>
      <c r="AQ329" s="286"/>
      <c r="AS329" s="222"/>
      <c r="AT329" s="337"/>
      <c r="AU329" s="285"/>
      <c r="AW329" s="288"/>
      <c r="AX329" s="106"/>
      <c r="AZ329" s="289"/>
    </row>
    <row r="330" spans="1:55" outlineLevel="1" x14ac:dyDescent="0.3">
      <c r="A330" s="264"/>
      <c r="B330" s="264"/>
      <c r="C330" s="265"/>
      <c r="D330" s="168"/>
      <c r="E330" s="239"/>
      <c r="F330" s="168"/>
      <c r="G330" s="168"/>
      <c r="H330" s="168"/>
      <c r="I330" s="168"/>
      <c r="J330" s="168"/>
      <c r="K330" s="296" t="s">
        <v>377</v>
      </c>
      <c r="L330" s="266" t="str">
        <f>VLOOKUP(K330,[6]материалы!$A$5:$G$31,5, FALSE)</f>
        <v>шт.</v>
      </c>
      <c r="M330" s="168">
        <f>VLOOKUP(K330,[6]материалы!$A$5:$G$34,7, FALSE)</f>
        <v>41.67</v>
      </c>
      <c r="N330" s="266">
        <v>1</v>
      </c>
      <c r="O330" s="168">
        <f>ROUND(M330*N330,2)</f>
        <v>41.67</v>
      </c>
      <c r="P330" s="168"/>
      <c r="Q330" s="168"/>
      <c r="R330" s="268"/>
      <c r="S330" s="268"/>
      <c r="T330" s="268"/>
      <c r="U330" s="269"/>
      <c r="V330" s="336"/>
      <c r="W330" s="271"/>
      <c r="X330" s="272"/>
      <c r="Z330" s="273"/>
      <c r="AA330" s="58"/>
      <c r="AB330" s="275"/>
      <c r="AC330" s="276"/>
      <c r="AD330" s="277"/>
      <c r="AG330" s="106"/>
      <c r="AH330" s="281"/>
      <c r="AI330" s="282"/>
      <c r="AJ330" s="283"/>
      <c r="AK330" s="284"/>
      <c r="AM330" s="222"/>
      <c r="AN330" s="285"/>
      <c r="AO330" s="285"/>
      <c r="AQ330" s="286"/>
      <c r="AS330" s="222"/>
      <c r="AT330" s="337"/>
      <c r="AU330" s="285"/>
      <c r="AW330" s="288"/>
      <c r="AX330" s="106"/>
      <c r="AZ330" s="289"/>
    </row>
    <row r="331" spans="1:55" ht="40.5" customHeight="1" x14ac:dyDescent="0.3">
      <c r="A331" s="264" t="s">
        <v>526</v>
      </c>
      <c r="B331" s="264" t="s">
        <v>289</v>
      </c>
      <c r="C331" s="265" t="s">
        <v>110</v>
      </c>
      <c r="D331" s="168" t="s">
        <v>290</v>
      </c>
      <c r="E331" s="239" t="s">
        <v>161</v>
      </c>
      <c r="F331" s="168">
        <f>VLOOKUP(E331,'[6]условия, ФОТ'!$A$14:$I$32,9, FALSE)</f>
        <v>180.5</v>
      </c>
      <c r="G331" s="168">
        <v>0.65</v>
      </c>
      <c r="H331" s="168">
        <f t="shared" si="177"/>
        <v>117.33</v>
      </c>
      <c r="I331" s="168">
        <f t="shared" ref="I331:I334" si="200">ROUND(H331*$I$5,2)</f>
        <v>35.43</v>
      </c>
      <c r="J331" s="168">
        <f t="shared" si="178"/>
        <v>152.76</v>
      </c>
      <c r="K331" s="267"/>
      <c r="L331" s="168"/>
      <c r="M331" s="168"/>
      <c r="N331" s="168"/>
      <c r="O331" s="168"/>
      <c r="P331" s="168">
        <f t="shared" si="179"/>
        <v>152.76</v>
      </c>
      <c r="Q331" s="168">
        <f t="shared" si="170"/>
        <v>101.59</v>
      </c>
      <c r="R331" s="268">
        <f>ROUND(T331/1.2,2)</f>
        <v>273.33</v>
      </c>
      <c r="S331" s="268">
        <f>ROUND(R331*$S$5,2)</f>
        <v>54.67</v>
      </c>
      <c r="T331" s="268">
        <f>ROUND((P331+Q331)*(1+AC331)*1.2,0)</f>
        <v>328</v>
      </c>
      <c r="U331" s="269">
        <v>242</v>
      </c>
      <c r="V331" s="336">
        <f t="shared" si="180"/>
        <v>35.537190082644628</v>
      </c>
      <c r="W331" s="271">
        <v>315</v>
      </c>
      <c r="X331" s="272">
        <f t="shared" si="181"/>
        <v>4.1269841269841407</v>
      </c>
      <c r="Y331" s="231">
        <v>249</v>
      </c>
      <c r="Z331" s="273">
        <v>1.042</v>
      </c>
      <c r="AA331" s="274">
        <f>ROUND(W331*Z331,2)</f>
        <v>328.23</v>
      </c>
      <c r="AB331" s="275">
        <f>ROUND((P331+Q331)*1.2,2)</f>
        <v>305.22000000000003</v>
      </c>
      <c r="AC331" s="276">
        <f>ROUND((AA331/AB331)*100%-100%,4)</f>
        <v>7.5399999999999995E-2</v>
      </c>
      <c r="AD331" s="277">
        <f t="shared" ref="AD331:AD364" si="201">AB331*AC331</f>
        <v>23.013588000000002</v>
      </c>
      <c r="AF331" s="235">
        <v>257.46600000000001</v>
      </c>
      <c r="AG331" s="106">
        <v>315</v>
      </c>
      <c r="AH331" s="281">
        <f t="shared" ref="AH331:AH364" si="202">T331-AG331</f>
        <v>13</v>
      </c>
      <c r="AI331" s="282">
        <v>4.9799999999999997E-2</v>
      </c>
      <c r="AJ331" s="283">
        <f t="shared" ref="AJ331:AJ364" si="203">AB331*AC331</f>
        <v>23.013588000000002</v>
      </c>
      <c r="AK331" s="284"/>
      <c r="AM331" s="222">
        <v>-0.14330000000000001</v>
      </c>
      <c r="AN331" s="285">
        <f t="shared" ref="AN331:AN364" si="204">IF(AM331&lt;0,-AM331+1,AM331)</f>
        <v>1.1433</v>
      </c>
      <c r="AO331" s="285">
        <v>1.1819999999999999</v>
      </c>
      <c r="AQ331" s="286">
        <f t="shared" si="191"/>
        <v>372.33</v>
      </c>
      <c r="AS331" s="222">
        <v>1.034</v>
      </c>
      <c r="AT331" s="337">
        <v>-0.14330000000000001</v>
      </c>
      <c r="AU331" s="285">
        <f t="shared" ref="AU331:AU364" si="205">Z331-AS331</f>
        <v>8.0000000000000071E-3</v>
      </c>
      <c r="AW331" s="288">
        <f t="shared" ref="AW331:AW364" si="206">AC331-AT331</f>
        <v>0.21870000000000001</v>
      </c>
      <c r="AX331" s="106">
        <v>315</v>
      </c>
      <c r="AY331" s="127" t="b">
        <f t="shared" ref="AY331:AY364" si="207">W331=AX331</f>
        <v>1</v>
      </c>
      <c r="AZ331" s="289">
        <f t="shared" ref="AZ331:AZ364" si="208">ROUND(W331/T331*100-100,2)+Z331</f>
        <v>-2.9180000000000001</v>
      </c>
      <c r="BC331">
        <f t="shared" ref="BC331:BC364" si="209">ROUND(T331/W331,3)</f>
        <v>1.0409999999999999</v>
      </c>
    </row>
    <row r="332" spans="1:55" ht="27.75" customHeight="1" x14ac:dyDescent="0.3">
      <c r="A332" s="264" t="s">
        <v>527</v>
      </c>
      <c r="B332" s="264" t="s">
        <v>291</v>
      </c>
      <c r="C332" s="265" t="s">
        <v>111</v>
      </c>
      <c r="D332" s="168" t="s">
        <v>220</v>
      </c>
      <c r="E332" s="239" t="s">
        <v>161</v>
      </c>
      <c r="F332" s="168">
        <f>VLOOKUP(E332,'[6]условия, ФОТ'!$A$14:$I$32,9, FALSE)</f>
        <v>180.5</v>
      </c>
      <c r="G332" s="168">
        <v>0.39</v>
      </c>
      <c r="H332" s="168">
        <f t="shared" si="177"/>
        <v>70.400000000000006</v>
      </c>
      <c r="I332" s="168">
        <f t="shared" si="200"/>
        <v>21.26</v>
      </c>
      <c r="J332" s="168">
        <f t="shared" si="178"/>
        <v>91.660000000000011</v>
      </c>
      <c r="K332" s="267"/>
      <c r="L332" s="168"/>
      <c r="M332" s="168"/>
      <c r="N332" s="168"/>
      <c r="O332" s="168">
        <f>O333</f>
        <v>3.6</v>
      </c>
      <c r="P332" s="168">
        <f t="shared" si="179"/>
        <v>95.26</v>
      </c>
      <c r="Q332" s="168">
        <f t="shared" si="170"/>
        <v>63.35</v>
      </c>
      <c r="R332" s="268">
        <f>ROUND(T332/1.2,2)</f>
        <v>170.83</v>
      </c>
      <c r="S332" s="268">
        <f t="shared" si="171"/>
        <v>34.17</v>
      </c>
      <c r="T332" s="268">
        <f>ROUND((P332+Q332)*(1+AC332)*1.2,0)</f>
        <v>205</v>
      </c>
      <c r="U332" s="269">
        <v>154</v>
      </c>
      <c r="V332" s="336">
        <f t="shared" si="180"/>
        <v>33.116883116883116</v>
      </c>
      <c r="W332" s="271">
        <v>197</v>
      </c>
      <c r="X332" s="272">
        <f t="shared" si="181"/>
        <v>4.0609137055837436</v>
      </c>
      <c r="Y332" s="231">
        <v>159</v>
      </c>
      <c r="Z332" s="273">
        <v>1.042</v>
      </c>
      <c r="AA332" s="274">
        <f>ROUND(W332*Z332,2)</f>
        <v>205.27</v>
      </c>
      <c r="AB332" s="275">
        <f>ROUND((P332+Q332)*1.2,2)</f>
        <v>190.33</v>
      </c>
      <c r="AC332" s="276">
        <f>ROUND((AA332/AB332)*100%-100%,4)</f>
        <v>7.85E-2</v>
      </c>
      <c r="AD332" s="277">
        <f t="shared" si="201"/>
        <v>14.940905000000001</v>
      </c>
      <c r="AF332" s="235">
        <v>164.40600000000001</v>
      </c>
      <c r="AG332" s="106">
        <v>197</v>
      </c>
      <c r="AH332" s="281">
        <f t="shared" si="202"/>
        <v>8</v>
      </c>
      <c r="AI332" s="282">
        <v>4.9200000000000001E-2</v>
      </c>
      <c r="AJ332" s="283">
        <f t="shared" si="203"/>
        <v>14.940905000000001</v>
      </c>
      <c r="AK332" s="284"/>
      <c r="AM332" s="222">
        <v>-0.12509999999999999</v>
      </c>
      <c r="AN332" s="285">
        <f t="shared" si="204"/>
        <v>1.1251</v>
      </c>
      <c r="AO332" s="285">
        <v>1.163</v>
      </c>
      <c r="AQ332" s="286">
        <f t="shared" si="191"/>
        <v>229.11</v>
      </c>
      <c r="AS332" s="222">
        <v>1.034</v>
      </c>
      <c r="AT332" s="337">
        <v>-0.12509999999999999</v>
      </c>
      <c r="AU332" s="285">
        <f t="shared" si="205"/>
        <v>8.0000000000000071E-3</v>
      </c>
      <c r="AW332" s="288">
        <f t="shared" si="206"/>
        <v>0.2036</v>
      </c>
      <c r="AX332" s="106">
        <v>197</v>
      </c>
      <c r="AY332" s="127" t="b">
        <f t="shared" si="207"/>
        <v>1</v>
      </c>
      <c r="AZ332" s="289">
        <f t="shared" si="208"/>
        <v>-2.8579999999999997</v>
      </c>
      <c r="BC332">
        <f t="shared" si="209"/>
        <v>1.0409999999999999</v>
      </c>
    </row>
    <row r="333" spans="1:55" ht="25.5" outlineLevel="1" x14ac:dyDescent="0.3">
      <c r="A333" s="264"/>
      <c r="B333" s="264"/>
      <c r="C333" s="265"/>
      <c r="D333" s="168"/>
      <c r="E333" s="239"/>
      <c r="F333" s="168"/>
      <c r="G333" s="168"/>
      <c r="H333" s="168"/>
      <c r="I333" s="168"/>
      <c r="J333" s="295" t="s">
        <v>366</v>
      </c>
      <c r="K333" s="121" t="s">
        <v>335</v>
      </c>
      <c r="L333" s="266" t="str">
        <f>VLOOKUP(K333,[6]материалы!$A$5:$G$31,5, FALSE)</f>
        <v>кг</v>
      </c>
      <c r="M333" s="168">
        <f>VLOOKUP(K333,[6]материалы!$A$5:$G$34,7, FALSE)</f>
        <v>720.83</v>
      </c>
      <c r="N333" s="168">
        <v>5.0000000000000001E-3</v>
      </c>
      <c r="O333" s="168">
        <f>ROUND(M333*N333,2)</f>
        <v>3.6</v>
      </c>
      <c r="P333" s="168"/>
      <c r="Q333" s="168"/>
      <c r="R333" s="268"/>
      <c r="S333" s="268"/>
      <c r="T333" s="268"/>
      <c r="U333" s="269"/>
      <c r="V333" s="336"/>
      <c r="W333" s="271"/>
      <c r="X333" s="272"/>
      <c r="Z333" s="273"/>
      <c r="AA333" s="58"/>
      <c r="AB333" s="275"/>
      <c r="AC333" s="276"/>
      <c r="AD333" s="277"/>
      <c r="AG333" s="106"/>
      <c r="AH333" s="281"/>
      <c r="AI333" s="282"/>
      <c r="AJ333" s="283"/>
      <c r="AK333" s="284"/>
      <c r="AM333" s="222"/>
      <c r="AN333" s="285"/>
      <c r="AO333" s="285"/>
      <c r="AQ333" s="286"/>
      <c r="AS333" s="222"/>
      <c r="AT333" s="337"/>
      <c r="AU333" s="285"/>
      <c r="AW333" s="288"/>
      <c r="AX333" s="106"/>
      <c r="AZ333" s="289"/>
    </row>
    <row r="334" spans="1:55" ht="27" customHeight="1" x14ac:dyDescent="0.3">
      <c r="A334" s="264" t="s">
        <v>528</v>
      </c>
      <c r="B334" s="264" t="s">
        <v>292</v>
      </c>
      <c r="C334" s="265" t="s">
        <v>112</v>
      </c>
      <c r="D334" s="168" t="s">
        <v>220</v>
      </c>
      <c r="E334" s="239" t="s">
        <v>161</v>
      </c>
      <c r="F334" s="168">
        <f>VLOOKUP(E334,'[6]условия, ФОТ'!$A$14:$I$32,9, FALSE)</f>
        <v>180.5</v>
      </c>
      <c r="G334" s="168">
        <v>0.52</v>
      </c>
      <c r="H334" s="168">
        <f t="shared" si="177"/>
        <v>93.86</v>
      </c>
      <c r="I334" s="168">
        <f t="shared" si="200"/>
        <v>28.35</v>
      </c>
      <c r="J334" s="168">
        <f t="shared" si="178"/>
        <v>122.21000000000001</v>
      </c>
      <c r="K334" s="267"/>
      <c r="L334" s="168"/>
      <c r="M334" s="168"/>
      <c r="N334" s="168"/>
      <c r="O334" s="168">
        <f>O335</f>
        <v>3.6</v>
      </c>
      <c r="P334" s="168">
        <f t="shared" si="179"/>
        <v>125.81</v>
      </c>
      <c r="Q334" s="168">
        <f t="shared" si="170"/>
        <v>83.66</v>
      </c>
      <c r="R334" s="268">
        <f>ROUND(T334/1.2,2)</f>
        <v>225.83</v>
      </c>
      <c r="S334" s="268">
        <f t="shared" si="171"/>
        <v>45.17</v>
      </c>
      <c r="T334" s="268">
        <f>ROUND((P334+Q334)*(1+AC334)*1.2,0)</f>
        <v>271</v>
      </c>
      <c r="U334" s="269">
        <v>202</v>
      </c>
      <c r="V334" s="336">
        <f>T334/U334*100-100</f>
        <v>34.158415841584173</v>
      </c>
      <c r="W334" s="271">
        <v>260</v>
      </c>
      <c r="X334" s="272">
        <f t="shared" si="181"/>
        <v>4.2307692307692406</v>
      </c>
      <c r="Y334" s="231">
        <v>209</v>
      </c>
      <c r="Z334" s="273">
        <v>1.042</v>
      </c>
      <c r="AA334" s="274">
        <f>ROUND(W334*Z334,2)</f>
        <v>270.92</v>
      </c>
      <c r="AB334" s="275">
        <f>ROUND((P334+Q334)*1.2,2)</f>
        <v>251.36</v>
      </c>
      <c r="AC334" s="276">
        <f>ROUND((AA334/AB334)*100%-100%,4)</f>
        <v>7.7799999999999994E-2</v>
      </c>
      <c r="AD334" s="277">
        <f t="shared" si="201"/>
        <v>19.555807999999999</v>
      </c>
      <c r="AF334" s="235">
        <v>216.10599999999999</v>
      </c>
      <c r="AG334" s="106">
        <v>260</v>
      </c>
      <c r="AH334" s="281">
        <f t="shared" si="202"/>
        <v>11</v>
      </c>
      <c r="AI334" s="282">
        <v>0.05</v>
      </c>
      <c r="AJ334" s="283">
        <f t="shared" si="203"/>
        <v>19.555807999999999</v>
      </c>
      <c r="AK334" s="284"/>
      <c r="AM334" s="222">
        <v>-0.12870000000000001</v>
      </c>
      <c r="AN334" s="285">
        <f t="shared" si="204"/>
        <v>1.1287</v>
      </c>
      <c r="AO334" s="285">
        <v>1.167</v>
      </c>
      <c r="AQ334" s="286">
        <f t="shared" si="191"/>
        <v>303.42</v>
      </c>
      <c r="AS334" s="222">
        <v>1.034</v>
      </c>
      <c r="AT334" s="337">
        <v>-0.12870000000000001</v>
      </c>
      <c r="AU334" s="285">
        <f t="shared" si="205"/>
        <v>8.0000000000000071E-3</v>
      </c>
      <c r="AW334" s="288">
        <f t="shared" si="206"/>
        <v>0.20650000000000002</v>
      </c>
      <c r="AX334" s="106">
        <v>260</v>
      </c>
      <c r="AY334" s="127" t="b">
        <f t="shared" si="207"/>
        <v>1</v>
      </c>
      <c r="AZ334" s="289">
        <f t="shared" si="208"/>
        <v>-3.0179999999999998</v>
      </c>
      <c r="BC334">
        <f t="shared" si="209"/>
        <v>1.042</v>
      </c>
    </row>
    <row r="335" spans="1:55" ht="22.5" customHeight="1" outlineLevel="1" x14ac:dyDescent="0.3">
      <c r="A335" s="264"/>
      <c r="B335" s="264"/>
      <c r="C335" s="265"/>
      <c r="D335" s="168"/>
      <c r="E335" s="239"/>
      <c r="F335" s="168"/>
      <c r="G335" s="168"/>
      <c r="H335" s="168"/>
      <c r="I335" s="168"/>
      <c r="J335" s="295" t="s">
        <v>366</v>
      </c>
      <c r="K335" s="121" t="s">
        <v>335</v>
      </c>
      <c r="L335" s="266" t="str">
        <f>VLOOKUP(K335,[6]материалы!$A$5:$G$31,5, FALSE)</f>
        <v>кг</v>
      </c>
      <c r="M335" s="168">
        <f>VLOOKUP(K335,[6]материалы!$A$5:$G$34,7, FALSE)</f>
        <v>720.83</v>
      </c>
      <c r="N335" s="168">
        <v>5.0000000000000001E-3</v>
      </c>
      <c r="O335" s="168">
        <f>ROUND(M335*N335,2)</f>
        <v>3.6</v>
      </c>
      <c r="P335" s="168"/>
      <c r="Q335" s="168"/>
      <c r="R335" s="268"/>
      <c r="S335" s="268"/>
      <c r="T335" s="268"/>
      <c r="U335" s="269"/>
      <c r="V335" s="336"/>
      <c r="W335" s="271"/>
      <c r="X335" s="272"/>
      <c r="Z335" s="273"/>
      <c r="AA335" s="58"/>
      <c r="AB335" s="275"/>
      <c r="AC335" s="276"/>
      <c r="AD335" s="277"/>
      <c r="AG335" s="106"/>
      <c r="AH335" s="281"/>
      <c r="AI335" s="282"/>
      <c r="AJ335" s="283"/>
      <c r="AK335" s="284"/>
      <c r="AM335" s="222"/>
      <c r="AN335" s="285"/>
      <c r="AO335" s="285"/>
      <c r="AQ335" s="286"/>
      <c r="AS335" s="222"/>
      <c r="AT335" s="337"/>
      <c r="AU335" s="285"/>
      <c r="AW335" s="288"/>
      <c r="AX335" s="106"/>
      <c r="AZ335" s="289"/>
    </row>
    <row r="336" spans="1:55" ht="30" customHeight="1" x14ac:dyDescent="0.3">
      <c r="A336" s="264" t="s">
        <v>529</v>
      </c>
      <c r="B336" s="264" t="s">
        <v>359</v>
      </c>
      <c r="C336" s="265" t="s">
        <v>358</v>
      </c>
      <c r="D336" s="168" t="s">
        <v>18</v>
      </c>
      <c r="E336" s="239" t="s">
        <v>161</v>
      </c>
      <c r="F336" s="168">
        <f>VLOOKUP(E336,'[6]условия, ФОТ'!$A$14:$I$32,9, FALSE)</f>
        <v>180.5</v>
      </c>
      <c r="G336" s="168">
        <v>0.32</v>
      </c>
      <c r="H336" s="168">
        <f t="shared" ref="H336" si="210">ROUND(F336*G336,2)</f>
        <v>57.76</v>
      </c>
      <c r="I336" s="168">
        <f t="shared" ref="I336" si="211">ROUND(H336*$I$5,2)</f>
        <v>17.440000000000001</v>
      </c>
      <c r="J336" s="168">
        <f t="shared" ref="J336" si="212">H336+I336</f>
        <v>75.2</v>
      </c>
      <c r="K336" s="265"/>
      <c r="L336" s="266"/>
      <c r="M336" s="168"/>
      <c r="N336" s="168"/>
      <c r="O336" s="168"/>
      <c r="P336" s="168">
        <f t="shared" ref="P336" si="213">J336+O336</f>
        <v>75.2</v>
      </c>
      <c r="Q336" s="168">
        <f t="shared" ref="Q336" si="214">ROUND(P336*$Q$5,2)</f>
        <v>50.01</v>
      </c>
      <c r="R336" s="268">
        <f>ROUND(T336/1.2,2)</f>
        <v>135</v>
      </c>
      <c r="S336" s="268">
        <f t="shared" ref="S336" si="215">ROUND(R336*$S$5,2)</f>
        <v>27</v>
      </c>
      <c r="T336" s="268">
        <f>ROUND((P336+Q336)*(1+AC336)*1.2,0)</f>
        <v>162</v>
      </c>
      <c r="U336" s="269">
        <v>119</v>
      </c>
      <c r="V336" s="336">
        <f>T336/U336*100-100</f>
        <v>36.134453781512605</v>
      </c>
      <c r="W336" s="271">
        <v>155</v>
      </c>
      <c r="X336" s="272">
        <f t="shared" ref="X336:X364" si="216">T336/W336*100-100</f>
        <v>4.5161290322580641</v>
      </c>
      <c r="Y336" s="231">
        <v>123</v>
      </c>
      <c r="Z336" s="273">
        <v>1.042</v>
      </c>
      <c r="AA336" s="274">
        <f>ROUND(W336*Z336,2)</f>
        <v>161.51</v>
      </c>
      <c r="AB336" s="275">
        <f>ROUND((P336+Q336)*1.2,2)</f>
        <v>150.25</v>
      </c>
      <c r="AC336" s="276">
        <f>ROUND((AA336/AB336)*100%-100%,4)</f>
        <v>7.4899999999999994E-2</v>
      </c>
      <c r="AD336" s="277">
        <f t="shared" si="201"/>
        <v>11.253724999999999</v>
      </c>
      <c r="AF336" s="235">
        <v>127.182</v>
      </c>
      <c r="AG336" s="106">
        <v>155</v>
      </c>
      <c r="AH336" s="281">
        <f t="shared" si="202"/>
        <v>7</v>
      </c>
      <c r="AI336" s="282">
        <v>4.99E-2</v>
      </c>
      <c r="AJ336" s="283">
        <f t="shared" si="203"/>
        <v>11.253724999999999</v>
      </c>
      <c r="AK336" s="284"/>
      <c r="AM336" s="222">
        <v>-0.1404</v>
      </c>
      <c r="AN336" s="285">
        <f t="shared" si="204"/>
        <v>1.1404000000000001</v>
      </c>
      <c r="AO336" s="285">
        <v>1.179</v>
      </c>
      <c r="AQ336" s="286">
        <f t="shared" si="191"/>
        <v>182.75</v>
      </c>
      <c r="AS336" s="222">
        <v>1.034</v>
      </c>
      <c r="AT336" s="337">
        <v>-0.1404</v>
      </c>
      <c r="AU336" s="285">
        <f t="shared" si="205"/>
        <v>8.0000000000000071E-3</v>
      </c>
      <c r="AW336" s="288">
        <f t="shared" si="206"/>
        <v>0.21529999999999999</v>
      </c>
      <c r="AX336" s="106">
        <v>155</v>
      </c>
      <c r="AY336" s="127" t="b">
        <f t="shared" si="207"/>
        <v>1</v>
      </c>
      <c r="AZ336" s="289">
        <f t="shared" si="208"/>
        <v>-3.2780000000000005</v>
      </c>
      <c r="BC336">
        <f t="shared" si="209"/>
        <v>1.0449999999999999</v>
      </c>
    </row>
    <row r="337" spans="1:55" ht="63" customHeight="1" x14ac:dyDescent="0.3">
      <c r="A337" s="168" t="s">
        <v>530</v>
      </c>
      <c r="B337" s="264" t="s">
        <v>293</v>
      </c>
      <c r="C337" s="265" t="s">
        <v>113</v>
      </c>
      <c r="D337" s="168" t="s">
        <v>220</v>
      </c>
      <c r="E337" s="239" t="s">
        <v>161</v>
      </c>
      <c r="F337" s="168">
        <f>VLOOKUP(E337,'[6]условия, ФОТ'!$A$14:$I$32,9, FALSE)</f>
        <v>180.5</v>
      </c>
      <c r="G337" s="168">
        <v>0.2</v>
      </c>
      <c r="H337" s="168">
        <f>ROUND(F337*G337,2)</f>
        <v>36.1</v>
      </c>
      <c r="I337" s="168">
        <f>ROUND(H337*$I$5,2)</f>
        <v>10.9</v>
      </c>
      <c r="J337" s="168">
        <f>H337+I337</f>
        <v>47</v>
      </c>
      <c r="K337" s="267"/>
      <c r="L337" s="168"/>
      <c r="M337" s="168"/>
      <c r="N337" s="168"/>
      <c r="O337" s="168"/>
      <c r="P337" s="168">
        <f>J337+O337</f>
        <v>47</v>
      </c>
      <c r="Q337" s="168">
        <f>ROUND(P337*$Q$5,2)</f>
        <v>31.26</v>
      </c>
      <c r="R337" s="268">
        <f>ROUND(T337/1.2,2)</f>
        <v>84.17</v>
      </c>
      <c r="S337" s="268">
        <f>ROUND(R337*$S$5,2)</f>
        <v>16.829999999999998</v>
      </c>
      <c r="T337" s="268">
        <f>ROUND((P337+Q337)*(1+AC337)*1.2,0)</f>
        <v>101</v>
      </c>
      <c r="U337" s="269">
        <v>74</v>
      </c>
      <c r="V337" s="336">
        <f>T337/U337*100-100</f>
        <v>36.486486486486484</v>
      </c>
      <c r="W337" s="271">
        <v>97</v>
      </c>
      <c r="X337" s="272">
        <f t="shared" si="216"/>
        <v>4.1237113402061993</v>
      </c>
      <c r="Y337" s="231">
        <v>77</v>
      </c>
      <c r="Z337" s="273">
        <v>1.042</v>
      </c>
      <c r="AA337" s="274">
        <f>ROUND(W337*Z337,2)</f>
        <v>101.07</v>
      </c>
      <c r="AB337" s="275">
        <f>ROUND((P337+Q337)*1.2,2)</f>
        <v>93.91</v>
      </c>
      <c r="AC337" s="276">
        <f>ROUND((AA337/AB337)*100%-100%,4)</f>
        <v>7.6200000000000004E-2</v>
      </c>
      <c r="AD337" s="277">
        <f t="shared" si="201"/>
        <v>7.1559420000000005</v>
      </c>
      <c r="AF337" s="235">
        <v>79.618000000000009</v>
      </c>
      <c r="AG337" s="106">
        <v>97</v>
      </c>
      <c r="AH337" s="281">
        <f t="shared" si="202"/>
        <v>4</v>
      </c>
      <c r="AI337" s="282">
        <v>0.05</v>
      </c>
      <c r="AJ337" s="283">
        <f t="shared" si="203"/>
        <v>7.1559420000000005</v>
      </c>
      <c r="AK337" s="284"/>
      <c r="AM337" s="222">
        <v>-0.1391</v>
      </c>
      <c r="AN337" s="285">
        <f t="shared" si="204"/>
        <v>1.1391</v>
      </c>
      <c r="AO337" s="285">
        <v>1.1779999999999999</v>
      </c>
      <c r="AQ337" s="286">
        <f t="shared" si="191"/>
        <v>114.27</v>
      </c>
      <c r="AS337" s="222">
        <v>1.034</v>
      </c>
      <c r="AT337" s="337">
        <v>-0.1391</v>
      </c>
      <c r="AU337" s="285">
        <f t="shared" si="205"/>
        <v>8.0000000000000071E-3</v>
      </c>
      <c r="AW337" s="288">
        <f t="shared" si="206"/>
        <v>0.21529999999999999</v>
      </c>
      <c r="AX337" s="106">
        <v>97</v>
      </c>
      <c r="AY337" s="127" t="b">
        <f t="shared" si="207"/>
        <v>1</v>
      </c>
      <c r="AZ337" s="289">
        <f t="shared" si="208"/>
        <v>-2.9180000000000001</v>
      </c>
      <c r="BC337">
        <f t="shared" si="209"/>
        <v>1.0409999999999999</v>
      </c>
    </row>
    <row r="338" spans="1:55" s="86" customFormat="1" ht="18.75" customHeight="1" x14ac:dyDescent="0.3">
      <c r="A338" s="651" t="s">
        <v>410</v>
      </c>
      <c r="B338" s="652"/>
      <c r="C338" s="652"/>
      <c r="D338" s="652"/>
      <c r="E338" s="652"/>
      <c r="F338" s="652"/>
      <c r="G338" s="652"/>
      <c r="H338" s="652"/>
      <c r="I338" s="652"/>
      <c r="J338" s="652"/>
      <c r="K338" s="652"/>
      <c r="L338" s="652"/>
      <c r="M338" s="652"/>
      <c r="N338" s="652"/>
      <c r="O338" s="652"/>
      <c r="P338" s="652"/>
      <c r="Q338" s="652"/>
      <c r="R338" s="390"/>
      <c r="S338" s="390"/>
      <c r="T338" s="391"/>
      <c r="U338" s="269"/>
      <c r="V338" s="261"/>
      <c r="W338" s="271"/>
      <c r="X338" s="272"/>
      <c r="Y338" s="231"/>
      <c r="Z338" s="273"/>
      <c r="AA338" s="58"/>
      <c r="AB338" s="275"/>
      <c r="AC338" s="276"/>
      <c r="AD338" s="277"/>
      <c r="AE338" s="278"/>
      <c r="AF338" s="235"/>
      <c r="AG338" s="106"/>
      <c r="AH338" s="281"/>
      <c r="AI338" s="282"/>
      <c r="AJ338" s="283"/>
      <c r="AK338" s="284"/>
      <c r="AM338" s="292"/>
      <c r="AN338" s="285"/>
      <c r="AO338" s="285"/>
      <c r="AQ338" s="286"/>
      <c r="AR338" s="293"/>
      <c r="AS338" s="292"/>
      <c r="AT338" s="294"/>
      <c r="AU338" s="285"/>
      <c r="AW338" s="288"/>
      <c r="AX338" s="106"/>
      <c r="AY338" s="127"/>
      <c r="AZ338" s="289"/>
      <c r="BA338"/>
      <c r="BB338"/>
      <c r="BC338"/>
    </row>
    <row r="339" spans="1:55" x14ac:dyDescent="0.3">
      <c r="A339" s="264" t="s">
        <v>531</v>
      </c>
      <c r="B339" s="264" t="s">
        <v>298</v>
      </c>
      <c r="C339" s="265" t="s">
        <v>299</v>
      </c>
      <c r="D339" s="168" t="s">
        <v>198</v>
      </c>
      <c r="E339" s="239" t="s">
        <v>162</v>
      </c>
      <c r="F339" s="168">
        <f>VLOOKUP(E339,'[6]условия, ФОТ'!$A$14:$I$32,9, FALSE)</f>
        <v>180.5</v>
      </c>
      <c r="G339" s="168">
        <v>0.5</v>
      </c>
      <c r="H339" s="168">
        <f t="shared" ref="H339:H343" si="217">ROUND(F339*G339,2)</f>
        <v>90.25</v>
      </c>
      <c r="I339" s="168">
        <f t="shared" ref="I339:I364" si="218">ROUND(H339*$I$5,2)</f>
        <v>27.26</v>
      </c>
      <c r="J339" s="168">
        <f t="shared" ref="J339:J343" si="219">H339+I339</f>
        <v>117.51</v>
      </c>
      <c r="K339" s="267"/>
      <c r="L339" s="168"/>
      <c r="M339" s="168"/>
      <c r="N339" s="168"/>
      <c r="O339" s="168"/>
      <c r="P339" s="168">
        <f t="shared" ref="P339:P343" si="220">J339+O339</f>
        <v>117.51</v>
      </c>
      <c r="Q339" s="168">
        <f t="shared" ref="Q339:Q364" si="221">ROUND(P339*$Q$5,2)</f>
        <v>78.14</v>
      </c>
      <c r="R339" s="268">
        <f>ROUND(T339/1.2,2)</f>
        <v>210.83</v>
      </c>
      <c r="S339" s="268">
        <f t="shared" ref="S339:S360" si="222">ROUND(R339*$S$5,2)</f>
        <v>42.17</v>
      </c>
      <c r="T339" s="268">
        <f>ROUND((P339+Q339)*(1+AC339)*1.2,0)</f>
        <v>253</v>
      </c>
      <c r="U339" s="269">
        <v>210</v>
      </c>
      <c r="V339" s="336">
        <f t="shared" ref="V339:V364" si="223">T339/U339*100-100</f>
        <v>20.476190476190467</v>
      </c>
      <c r="W339" s="271">
        <v>243</v>
      </c>
      <c r="X339" s="272">
        <f t="shared" si="216"/>
        <v>4.1152263374485614</v>
      </c>
      <c r="Y339" s="231">
        <v>217</v>
      </c>
      <c r="Z339" s="273">
        <v>1.042</v>
      </c>
      <c r="AA339" s="274">
        <f>ROUND(W339*Z339,2)</f>
        <v>253.21</v>
      </c>
      <c r="AB339" s="275">
        <f>ROUND((P339+Q339)*1.2,2)</f>
        <v>234.78</v>
      </c>
      <c r="AC339" s="276">
        <f>ROUND((AA339/AB339)*100%-100%,4)</f>
        <v>7.85E-2</v>
      </c>
      <c r="AD339" s="277">
        <f t="shared" si="201"/>
        <v>18.430230000000002</v>
      </c>
      <c r="AF339" s="235">
        <v>224.37800000000001</v>
      </c>
      <c r="AG339" s="106">
        <v>243</v>
      </c>
      <c r="AH339" s="281">
        <f t="shared" si="202"/>
        <v>10</v>
      </c>
      <c r="AI339" s="282">
        <v>4.9399999999999999E-2</v>
      </c>
      <c r="AJ339" s="283">
        <f t="shared" si="203"/>
        <v>18.430230000000002</v>
      </c>
      <c r="AK339" s="284"/>
      <c r="AM339" s="222">
        <v>-2.9399999999999999E-2</v>
      </c>
      <c r="AN339" s="285">
        <f t="shared" si="204"/>
        <v>1.0294000000000001</v>
      </c>
      <c r="AO339" s="285">
        <v>1.0640000000000001</v>
      </c>
      <c r="AQ339" s="286">
        <f t="shared" si="191"/>
        <v>258.55</v>
      </c>
      <c r="AS339" s="222">
        <v>1.034</v>
      </c>
      <c r="AT339" s="337">
        <v>-2.9399999999999999E-2</v>
      </c>
      <c r="AU339" s="285">
        <f t="shared" si="205"/>
        <v>8.0000000000000071E-3</v>
      </c>
      <c r="AW339" s="288">
        <f t="shared" si="206"/>
        <v>0.1079</v>
      </c>
      <c r="AX339" s="106">
        <v>243</v>
      </c>
      <c r="AY339" s="127" t="b">
        <f t="shared" si="207"/>
        <v>1</v>
      </c>
      <c r="AZ339" s="289">
        <f t="shared" si="208"/>
        <v>-2.9080000000000004</v>
      </c>
      <c r="BC339">
        <f t="shared" si="209"/>
        <v>1.0409999999999999</v>
      </c>
    </row>
    <row r="340" spans="1:55" x14ac:dyDescent="0.3">
      <c r="A340" s="264" t="s">
        <v>532</v>
      </c>
      <c r="B340" s="264" t="s">
        <v>298</v>
      </c>
      <c r="C340" s="265" t="s">
        <v>300</v>
      </c>
      <c r="D340" s="168" t="s">
        <v>198</v>
      </c>
      <c r="E340" s="239" t="s">
        <v>162</v>
      </c>
      <c r="F340" s="168">
        <f>VLOOKUP(E340,'[6]условия, ФОТ'!$A$14:$I$32,9, FALSE)</f>
        <v>180.5</v>
      </c>
      <c r="G340" s="168">
        <v>0.2</v>
      </c>
      <c r="H340" s="168">
        <f t="shared" si="217"/>
        <v>36.1</v>
      </c>
      <c r="I340" s="168">
        <f t="shared" si="218"/>
        <v>10.9</v>
      </c>
      <c r="J340" s="168">
        <f t="shared" si="219"/>
        <v>47</v>
      </c>
      <c r="K340" s="267"/>
      <c r="L340" s="168"/>
      <c r="M340" s="168"/>
      <c r="N340" s="168"/>
      <c r="O340" s="168"/>
      <c r="P340" s="168">
        <f t="shared" si="220"/>
        <v>47</v>
      </c>
      <c r="Q340" s="168">
        <f t="shared" si="221"/>
        <v>31.26</v>
      </c>
      <c r="R340" s="268">
        <f>ROUND(T340/1.2,2)</f>
        <v>84.17</v>
      </c>
      <c r="S340" s="268">
        <f t="shared" si="222"/>
        <v>16.829999999999998</v>
      </c>
      <c r="T340" s="268">
        <f>ROUND((P340+Q340)*(1+AC340)*1.2,0)</f>
        <v>101</v>
      </c>
      <c r="U340" s="269">
        <v>84</v>
      </c>
      <c r="V340" s="336">
        <f t="shared" si="223"/>
        <v>20.238095238095227</v>
      </c>
      <c r="W340" s="271">
        <v>97</v>
      </c>
      <c r="X340" s="272">
        <f t="shared" si="216"/>
        <v>4.1237113402061993</v>
      </c>
      <c r="Y340" s="231">
        <v>87</v>
      </c>
      <c r="Z340" s="273">
        <v>1.042</v>
      </c>
      <c r="AA340" s="274">
        <f>ROUND(W340*Z340,2)</f>
        <v>101.07</v>
      </c>
      <c r="AB340" s="275">
        <f>ROUND((P340+Q340)*1.2,2)</f>
        <v>93.91</v>
      </c>
      <c r="AC340" s="276">
        <f>ROUND((AA340/AB340)*100%-100%,4)</f>
        <v>7.6200000000000004E-2</v>
      </c>
      <c r="AD340" s="277">
        <f t="shared" si="201"/>
        <v>7.1559420000000005</v>
      </c>
      <c r="AF340" s="235">
        <v>89.957999999999998</v>
      </c>
      <c r="AG340" s="106">
        <v>97</v>
      </c>
      <c r="AH340" s="281">
        <f t="shared" si="202"/>
        <v>4</v>
      </c>
      <c r="AI340" s="282">
        <v>4.9799999999999997E-2</v>
      </c>
      <c r="AJ340" s="283">
        <f t="shared" si="203"/>
        <v>7.1559420000000005</v>
      </c>
      <c r="AK340" s="284"/>
      <c r="AM340" s="222">
        <v>-2.7199999999999998E-2</v>
      </c>
      <c r="AN340" s="285">
        <f t="shared" si="204"/>
        <v>1.0271999999999999</v>
      </c>
      <c r="AO340" s="285">
        <v>1.0620000000000001</v>
      </c>
      <c r="AQ340" s="286">
        <f t="shared" si="191"/>
        <v>103.01</v>
      </c>
      <c r="AS340" s="222">
        <v>1.034</v>
      </c>
      <c r="AT340" s="337">
        <v>-2.7199999999999998E-2</v>
      </c>
      <c r="AU340" s="285">
        <f t="shared" si="205"/>
        <v>8.0000000000000071E-3</v>
      </c>
      <c r="AW340" s="288">
        <f t="shared" si="206"/>
        <v>0.10340000000000001</v>
      </c>
      <c r="AX340" s="106">
        <v>97</v>
      </c>
      <c r="AY340" s="127" t="b">
        <f t="shared" si="207"/>
        <v>1</v>
      </c>
      <c r="AZ340" s="289">
        <f t="shared" si="208"/>
        <v>-2.9180000000000001</v>
      </c>
      <c r="BC340">
        <f t="shared" si="209"/>
        <v>1.0409999999999999</v>
      </c>
    </row>
    <row r="341" spans="1:55" ht="15.75" customHeight="1" x14ac:dyDescent="0.3">
      <c r="A341" s="647" t="s">
        <v>533</v>
      </c>
      <c r="B341" s="647" t="s">
        <v>301</v>
      </c>
      <c r="C341" s="660" t="s">
        <v>120</v>
      </c>
      <c r="D341" s="661" t="s">
        <v>198</v>
      </c>
      <c r="E341" s="239" t="s">
        <v>162</v>
      </c>
      <c r="F341" s="168">
        <f>VLOOKUP(E341,'[6]условия, ФОТ'!$A$14:$I$32,9, FALSE)</f>
        <v>180.5</v>
      </c>
      <c r="G341" s="168">
        <v>0.3</v>
      </c>
      <c r="H341" s="661">
        <f>ROUND((F341*G341+F342*G342),2)</f>
        <v>112.24</v>
      </c>
      <c r="I341" s="661">
        <f>ROUND(H341*$I$5,2)</f>
        <v>33.9</v>
      </c>
      <c r="J341" s="661">
        <f>H341+I341</f>
        <v>146.13999999999999</v>
      </c>
      <c r="K341" s="267"/>
      <c r="L341" s="168"/>
      <c r="M341" s="168"/>
      <c r="N341" s="168"/>
      <c r="O341" s="168"/>
      <c r="P341" s="661">
        <f>J341+O341</f>
        <v>146.13999999999999</v>
      </c>
      <c r="Q341" s="661">
        <f>ROUND(P341*$Q$5,2)</f>
        <v>97.18</v>
      </c>
      <c r="R341" s="665">
        <f>ROUND(T341/1.2,2)</f>
        <v>288.33</v>
      </c>
      <c r="S341" s="665">
        <f t="shared" si="222"/>
        <v>57.67</v>
      </c>
      <c r="T341" s="665">
        <f>ROUND((P341+Q341)*(1+AC341)*1.2,0)</f>
        <v>346</v>
      </c>
      <c r="U341" s="666">
        <v>311</v>
      </c>
      <c r="V341" s="842">
        <f t="shared" si="223"/>
        <v>11.254019292604497</v>
      </c>
      <c r="W341" s="749">
        <v>332</v>
      </c>
      <c r="X341" s="729">
        <f t="shared" si="216"/>
        <v>4.2168674698795314</v>
      </c>
      <c r="Y341" s="231">
        <v>321</v>
      </c>
      <c r="Z341" s="823">
        <v>1.042</v>
      </c>
      <c r="AA341" s="825">
        <f>ROUND(W341*Z341,2)</f>
        <v>345.94</v>
      </c>
      <c r="AB341" s="826">
        <f>ROUND((P341+Q341)*1.2,2)</f>
        <v>291.98</v>
      </c>
      <c r="AC341" s="814">
        <f>ROUND((AA341/AB341)*100%-100%,4)</f>
        <v>0.18479999999999999</v>
      </c>
      <c r="AD341" s="681">
        <f t="shared" si="201"/>
        <v>53.957903999999999</v>
      </c>
      <c r="AF341" s="235">
        <v>331.91399999999999</v>
      </c>
      <c r="AG341" s="674">
        <v>332</v>
      </c>
      <c r="AH341" s="850">
        <f t="shared" si="202"/>
        <v>14</v>
      </c>
      <c r="AI341" s="817">
        <v>0.1072</v>
      </c>
      <c r="AJ341" s="819">
        <f t="shared" si="203"/>
        <v>53.957903999999999</v>
      </c>
      <c r="AK341" s="284"/>
      <c r="AM341" s="715">
        <v>0.1072</v>
      </c>
      <c r="AN341" s="670">
        <f t="shared" si="204"/>
        <v>0.1072</v>
      </c>
      <c r="AO341" s="670">
        <v>0</v>
      </c>
      <c r="AQ341" s="676"/>
      <c r="AS341" s="715">
        <v>1.034</v>
      </c>
      <c r="AT341" s="717">
        <v>0.1072</v>
      </c>
      <c r="AU341" s="670">
        <f t="shared" si="205"/>
        <v>8.0000000000000071E-3</v>
      </c>
      <c r="AW341" s="672">
        <f t="shared" si="206"/>
        <v>7.7599999999999988E-2</v>
      </c>
      <c r="AX341" s="674">
        <v>332</v>
      </c>
      <c r="AY341" s="127" t="b">
        <f t="shared" si="207"/>
        <v>1</v>
      </c>
      <c r="AZ341" s="289">
        <f t="shared" si="208"/>
        <v>-3.008</v>
      </c>
      <c r="BC341">
        <f t="shared" si="209"/>
        <v>1.042</v>
      </c>
    </row>
    <row r="342" spans="1:55" ht="17.25" customHeight="1" x14ac:dyDescent="0.3">
      <c r="A342" s="647"/>
      <c r="B342" s="647"/>
      <c r="C342" s="660"/>
      <c r="D342" s="661"/>
      <c r="E342" s="239" t="s">
        <v>166</v>
      </c>
      <c r="F342" s="168">
        <f>VLOOKUP(E342,'[6]условия, ФОТ'!$A$14:$I$32,9, FALSE)</f>
        <v>193.64</v>
      </c>
      <c r="G342" s="168">
        <v>0.3</v>
      </c>
      <c r="H342" s="661">
        <f t="shared" ref="H342" si="224">ROUND(F342*G342,2)</f>
        <v>58.09</v>
      </c>
      <c r="I342" s="661">
        <f t="shared" ref="I342" si="225">ROUND(H342*$I$5,2)</f>
        <v>17.54</v>
      </c>
      <c r="J342" s="661">
        <f t="shared" ref="J342" si="226">H342+I342</f>
        <v>75.63</v>
      </c>
      <c r="K342" s="267"/>
      <c r="L342" s="168"/>
      <c r="M342" s="168"/>
      <c r="N342" s="168"/>
      <c r="O342" s="168"/>
      <c r="P342" s="661"/>
      <c r="Q342" s="661"/>
      <c r="R342" s="665">
        <f t="shared" ref="R342" si="227">ROUND(T342/1.18,2)</f>
        <v>0</v>
      </c>
      <c r="S342" s="665">
        <f t="shared" si="222"/>
        <v>0</v>
      </c>
      <c r="T342" s="665">
        <f>ROUND((P342+Q342)*(1+$R$5)*1.18,0)</f>
        <v>0</v>
      </c>
      <c r="U342" s="827"/>
      <c r="V342" s="842"/>
      <c r="W342" s="750"/>
      <c r="X342" s="730"/>
      <c r="Y342" s="231">
        <v>0</v>
      </c>
      <c r="Z342" s="824"/>
      <c r="AA342" s="825"/>
      <c r="AB342" s="826"/>
      <c r="AC342" s="815"/>
      <c r="AD342" s="682"/>
      <c r="AG342" s="674"/>
      <c r="AH342" s="851"/>
      <c r="AI342" s="818"/>
      <c r="AJ342" s="820"/>
      <c r="AK342" s="284"/>
      <c r="AM342" s="716"/>
      <c r="AN342" s="671"/>
      <c r="AO342" s="671"/>
      <c r="AQ342" s="677"/>
      <c r="AS342" s="716"/>
      <c r="AT342" s="718"/>
      <c r="AU342" s="671"/>
      <c r="AW342" s="673"/>
      <c r="AX342" s="674"/>
      <c r="AY342" s="127" t="b">
        <f t="shared" si="207"/>
        <v>1</v>
      </c>
      <c r="AZ342" s="289"/>
    </row>
    <row r="343" spans="1:55" ht="31.7" customHeight="1" x14ac:dyDescent="0.3">
      <c r="A343" s="264" t="s">
        <v>534</v>
      </c>
      <c r="B343" s="264" t="s">
        <v>302</v>
      </c>
      <c r="C343" s="265" t="s">
        <v>121</v>
      </c>
      <c r="D343" s="168" t="s">
        <v>198</v>
      </c>
      <c r="E343" s="239" t="s">
        <v>166</v>
      </c>
      <c r="F343" s="168">
        <f>VLOOKUP(E343,'[6]условия, ФОТ'!$A$14:$I$32,9, FALSE)</f>
        <v>193.64</v>
      </c>
      <c r="G343" s="168">
        <v>1.1000000000000001</v>
      </c>
      <c r="H343" s="168">
        <f t="shared" si="217"/>
        <v>213</v>
      </c>
      <c r="I343" s="168">
        <f t="shared" si="218"/>
        <v>64.33</v>
      </c>
      <c r="J343" s="168">
        <f t="shared" si="219"/>
        <v>277.33</v>
      </c>
      <c r="K343" s="267"/>
      <c r="L343" s="168"/>
      <c r="M343" s="168"/>
      <c r="N343" s="168"/>
      <c r="O343" s="168">
        <f>SUM(O344:O346)</f>
        <v>144.11000000000001</v>
      </c>
      <c r="P343" s="168">
        <f t="shared" si="220"/>
        <v>421.44</v>
      </c>
      <c r="Q343" s="168">
        <f t="shared" si="221"/>
        <v>280.26</v>
      </c>
      <c r="R343" s="268">
        <f>ROUND(T343/1.2,2)</f>
        <v>890.83</v>
      </c>
      <c r="S343" s="268">
        <f t="shared" si="222"/>
        <v>178.17</v>
      </c>
      <c r="T343" s="268">
        <f>ROUND((P343+Q343)*(1+AC343)*1.2,0)</f>
        <v>1069</v>
      </c>
      <c r="U343" s="269">
        <v>961</v>
      </c>
      <c r="V343" s="336">
        <f t="shared" si="223"/>
        <v>11.238293444328832</v>
      </c>
      <c r="W343" s="271">
        <v>1026</v>
      </c>
      <c r="X343" s="272">
        <f t="shared" si="216"/>
        <v>4.1910331384015649</v>
      </c>
      <c r="Y343" s="231">
        <v>992</v>
      </c>
      <c r="Z343" s="273">
        <v>1.042</v>
      </c>
      <c r="AA343" s="274">
        <f>ROUND(W343*Z343,2)</f>
        <v>1069.0899999999999</v>
      </c>
      <c r="AB343" s="275">
        <f>ROUND((P343+Q343)*1.2,2)</f>
        <v>842.04</v>
      </c>
      <c r="AC343" s="276">
        <f>ROUND((AA343/AB343)*100%-100%,4)</f>
        <v>0.26960000000000001</v>
      </c>
      <c r="AD343" s="277">
        <f t="shared" si="201"/>
        <v>227.01398399999999</v>
      </c>
      <c r="AF343" s="235">
        <v>1025.7280000000001</v>
      </c>
      <c r="AG343" s="106">
        <v>1026</v>
      </c>
      <c r="AH343" s="281">
        <f t="shared" si="202"/>
        <v>43</v>
      </c>
      <c r="AI343" s="282">
        <v>0.2412</v>
      </c>
      <c r="AJ343" s="283">
        <f t="shared" si="203"/>
        <v>227.01398399999999</v>
      </c>
      <c r="AK343" s="284"/>
      <c r="AM343" s="222">
        <v>0.2412</v>
      </c>
      <c r="AN343" s="285">
        <f t="shared" si="204"/>
        <v>0.2412</v>
      </c>
      <c r="AO343" s="285">
        <v>0</v>
      </c>
      <c r="AQ343" s="286"/>
      <c r="AS343" s="222">
        <v>1.034</v>
      </c>
      <c r="AT343" s="337">
        <v>0.2412</v>
      </c>
      <c r="AU343" s="285">
        <f t="shared" si="205"/>
        <v>8.0000000000000071E-3</v>
      </c>
      <c r="AW343" s="288">
        <f t="shared" si="206"/>
        <v>2.8400000000000009E-2</v>
      </c>
      <c r="AX343" s="106">
        <v>1026</v>
      </c>
      <c r="AY343" s="127" t="b">
        <f t="shared" si="207"/>
        <v>1</v>
      </c>
      <c r="AZ343" s="289">
        <f t="shared" si="208"/>
        <v>-2.9779999999999998</v>
      </c>
      <c r="BC343">
        <f t="shared" si="209"/>
        <v>1.042</v>
      </c>
    </row>
    <row r="344" spans="1:55" outlineLevel="1" x14ac:dyDescent="0.3">
      <c r="A344" s="264"/>
      <c r="B344" s="264"/>
      <c r="C344" s="265"/>
      <c r="D344" s="168"/>
      <c r="E344" s="239"/>
      <c r="F344" s="168"/>
      <c r="G344" s="168"/>
      <c r="H344" s="168"/>
      <c r="I344" s="168"/>
      <c r="J344" s="295" t="s">
        <v>366</v>
      </c>
      <c r="K344" s="387" t="s">
        <v>380</v>
      </c>
      <c r="L344" s="266" t="str">
        <f>VLOOKUP(K344,[6]материалы!$A$5:$G$31,5, FALSE)</f>
        <v>кг</v>
      </c>
      <c r="M344" s="168">
        <f>VLOOKUP(K344,[6]материалы!$A$5:$G$34,7, FALSE)</f>
        <v>600</v>
      </c>
      <c r="N344" s="168">
        <v>0.1</v>
      </c>
      <c r="O344" s="168">
        <f>ROUND(M344*N344,2)</f>
        <v>60</v>
      </c>
      <c r="P344" s="168"/>
      <c r="Q344" s="168"/>
      <c r="R344" s="268"/>
      <c r="S344" s="268"/>
      <c r="T344" s="268"/>
      <c r="U344" s="269"/>
      <c r="V344" s="336"/>
      <c r="W344" s="271"/>
      <c r="X344" s="272"/>
      <c r="Z344" s="273"/>
      <c r="AA344" s="58"/>
      <c r="AB344" s="275"/>
      <c r="AC344" s="276"/>
      <c r="AD344" s="277"/>
      <c r="AG344" s="106"/>
      <c r="AH344" s="281"/>
      <c r="AI344" s="282"/>
      <c r="AJ344" s="283"/>
      <c r="AK344" s="284"/>
      <c r="AM344" s="222"/>
      <c r="AN344" s="285"/>
      <c r="AO344" s="285"/>
      <c r="AQ344" s="286"/>
      <c r="AS344" s="222"/>
      <c r="AT344" s="337"/>
      <c r="AU344" s="285"/>
      <c r="AW344" s="288"/>
      <c r="AX344" s="106"/>
      <c r="AZ344" s="289"/>
    </row>
    <row r="345" spans="1:55" outlineLevel="1" x14ac:dyDescent="0.3">
      <c r="A345" s="264"/>
      <c r="B345" s="264"/>
      <c r="C345" s="265"/>
      <c r="D345" s="168"/>
      <c r="E345" s="239"/>
      <c r="F345" s="168"/>
      <c r="G345" s="168"/>
      <c r="H345" s="168"/>
      <c r="I345" s="168"/>
      <c r="J345" s="168"/>
      <c r="K345" s="387" t="s">
        <v>379</v>
      </c>
      <c r="L345" s="266" t="str">
        <f>VLOOKUP(K345,[6]материалы!$A$5:$G$31,5, FALSE)</f>
        <v>кг</v>
      </c>
      <c r="M345" s="168">
        <f>VLOOKUP(K345,[6]материалы!$A$5:$G$34,7, FALSE)</f>
        <v>1500</v>
      </c>
      <c r="N345" s="168">
        <v>5.1999999999999998E-2</v>
      </c>
      <c r="O345" s="168">
        <f t="shared" ref="O345:O346" si="228">ROUND(M345*N345,2)</f>
        <v>78</v>
      </c>
      <c r="P345" s="168"/>
      <c r="Q345" s="168"/>
      <c r="R345" s="268"/>
      <c r="S345" s="268"/>
      <c r="T345" s="268"/>
      <c r="U345" s="269"/>
      <c r="V345" s="336"/>
      <c r="W345" s="271"/>
      <c r="X345" s="272"/>
      <c r="Z345" s="273"/>
      <c r="AA345" s="58"/>
      <c r="AB345" s="275"/>
      <c r="AC345" s="276"/>
      <c r="AD345" s="277"/>
      <c r="AG345" s="106"/>
      <c r="AH345" s="281"/>
      <c r="AI345" s="282"/>
      <c r="AJ345" s="283"/>
      <c r="AK345" s="284"/>
      <c r="AM345" s="222"/>
      <c r="AN345" s="285"/>
      <c r="AO345" s="285"/>
      <c r="AQ345" s="286"/>
      <c r="AS345" s="222"/>
      <c r="AT345" s="337"/>
      <c r="AU345" s="285"/>
      <c r="AW345" s="288"/>
      <c r="AX345" s="106"/>
      <c r="AZ345" s="289"/>
    </row>
    <row r="346" spans="1:55" outlineLevel="1" x14ac:dyDescent="0.3">
      <c r="A346" s="264"/>
      <c r="B346" s="264"/>
      <c r="C346" s="265"/>
      <c r="D346" s="168"/>
      <c r="E346" s="239"/>
      <c r="F346" s="168"/>
      <c r="G346" s="168"/>
      <c r="H346" s="168"/>
      <c r="I346" s="168"/>
      <c r="J346" s="168"/>
      <c r="K346" s="387" t="s">
        <v>324</v>
      </c>
      <c r="L346" s="266" t="str">
        <f>VLOOKUP(K346,[6]материалы!$A$5:$G$31,5, FALSE)</f>
        <v>м3</v>
      </c>
      <c r="M346" s="168">
        <f>VLOOKUP(K346,[6]материалы!$A$5:$G$34,7, FALSE)</f>
        <v>152.78</v>
      </c>
      <c r="N346" s="168">
        <v>0.04</v>
      </c>
      <c r="O346" s="168">
        <f t="shared" si="228"/>
        <v>6.11</v>
      </c>
      <c r="P346" s="168"/>
      <c r="Q346" s="168"/>
      <c r="R346" s="268"/>
      <c r="S346" s="268"/>
      <c r="T346" s="268"/>
      <c r="U346" s="269"/>
      <c r="V346" s="336"/>
      <c r="W346" s="271"/>
      <c r="X346" s="272"/>
      <c r="Z346" s="273"/>
      <c r="AA346" s="58"/>
      <c r="AB346" s="275"/>
      <c r="AC346" s="276"/>
      <c r="AD346" s="277"/>
      <c r="AG346" s="106"/>
      <c r="AH346" s="281"/>
      <c r="AI346" s="282"/>
      <c r="AJ346" s="283"/>
      <c r="AK346" s="284"/>
      <c r="AM346" s="222"/>
      <c r="AN346" s="285"/>
      <c r="AO346" s="285"/>
      <c r="AQ346" s="286"/>
      <c r="AS346" s="222"/>
      <c r="AT346" s="337"/>
      <c r="AU346" s="285"/>
      <c r="AW346" s="288"/>
      <c r="AX346" s="106"/>
      <c r="AZ346" s="289"/>
    </row>
    <row r="347" spans="1:55" s="86" customFormat="1" ht="18.75" customHeight="1" x14ac:dyDescent="0.3">
      <c r="A347" s="651" t="s">
        <v>691</v>
      </c>
      <c r="B347" s="652"/>
      <c r="C347" s="652"/>
      <c r="D347" s="652"/>
      <c r="E347" s="652"/>
      <c r="F347" s="652"/>
      <c r="G347" s="652"/>
      <c r="H347" s="652"/>
      <c r="I347" s="652"/>
      <c r="J347" s="652"/>
      <c r="K347" s="652"/>
      <c r="L347" s="652"/>
      <c r="M347" s="652"/>
      <c r="N347" s="652"/>
      <c r="O347" s="652"/>
      <c r="P347" s="652"/>
      <c r="Q347" s="652"/>
      <c r="R347" s="652"/>
      <c r="S347" s="652"/>
      <c r="T347" s="653"/>
      <c r="U347" s="269"/>
      <c r="V347" s="261"/>
      <c r="W347" s="138"/>
      <c r="X347" s="272"/>
      <c r="Y347" s="231"/>
      <c r="Z347" s="273"/>
      <c r="AA347" s="58"/>
      <c r="AB347" s="275"/>
      <c r="AC347" s="276"/>
      <c r="AD347" s="277"/>
      <c r="AE347" s="278"/>
      <c r="AF347" s="235"/>
      <c r="AG347" s="341"/>
      <c r="AH347" s="281"/>
      <c r="AI347" s="282"/>
      <c r="AJ347" s="283"/>
      <c r="AK347" s="284"/>
      <c r="AM347" s="292"/>
      <c r="AN347" s="285"/>
      <c r="AO347" s="285"/>
      <c r="AQ347" s="286"/>
      <c r="AR347" s="293"/>
      <c r="AS347" s="292"/>
      <c r="AT347" s="294"/>
      <c r="AU347" s="285"/>
      <c r="AW347" s="288"/>
      <c r="AX347" s="341"/>
      <c r="AY347" s="127"/>
      <c r="AZ347" s="289"/>
      <c r="BA347"/>
      <c r="BB347"/>
      <c r="BC347"/>
    </row>
    <row r="348" spans="1:55" ht="25.5" x14ac:dyDescent="0.3">
      <c r="A348" s="264" t="s">
        <v>535</v>
      </c>
      <c r="B348" s="264" t="s">
        <v>27</v>
      </c>
      <c r="C348" s="265" t="s">
        <v>129</v>
      </c>
      <c r="D348" s="168" t="s">
        <v>308</v>
      </c>
      <c r="E348" s="239" t="s">
        <v>318</v>
      </c>
      <c r="F348" s="168">
        <f>VLOOKUP(E348,'[6]условия, ФОТ'!$A$14:$I$32,9, FALSE)</f>
        <v>221.53</v>
      </c>
      <c r="G348" s="392">
        <v>1</v>
      </c>
      <c r="H348" s="168">
        <f t="shared" ref="H348:H364" si="229">ROUND(F348*G348,2)</f>
        <v>221.53</v>
      </c>
      <c r="I348" s="168">
        <f t="shared" si="218"/>
        <v>66.900000000000006</v>
      </c>
      <c r="J348" s="168">
        <f t="shared" ref="J348:J364" si="230">H348+I348</f>
        <v>288.43</v>
      </c>
      <c r="K348" s="267"/>
      <c r="L348" s="168"/>
      <c r="M348" s="168"/>
      <c r="N348" s="168"/>
      <c r="O348" s="168">
        <f>'[6]расход ГСМ'!J6</f>
        <v>179.05</v>
      </c>
      <c r="P348" s="168">
        <f>J348+O348</f>
        <v>467.48</v>
      </c>
      <c r="Q348" s="168">
        <f t="shared" si="221"/>
        <v>310.87</v>
      </c>
      <c r="R348" s="268">
        <f>ROUND(T348/1.2,2)</f>
        <v>810.83</v>
      </c>
      <c r="S348" s="268">
        <f t="shared" si="222"/>
        <v>162.16999999999999</v>
      </c>
      <c r="T348" s="268">
        <f t="shared" ref="T348:T357" si="231">ROUND((P348+Q348)*(1+AC348)*1.2,0)</f>
        <v>973</v>
      </c>
      <c r="U348" s="269">
        <v>743</v>
      </c>
      <c r="V348" s="336">
        <f t="shared" si="223"/>
        <v>30.95558546433378</v>
      </c>
      <c r="W348" s="271">
        <v>792</v>
      </c>
      <c r="X348" s="272">
        <f t="shared" si="216"/>
        <v>22.853535353535364</v>
      </c>
      <c r="Y348" s="231">
        <v>766</v>
      </c>
      <c r="Z348" s="393">
        <v>1.2290000000000001</v>
      </c>
      <c r="AA348" s="274">
        <f t="shared" ref="AA348:AA356" si="232">ROUND(W348*Z348,2)</f>
        <v>973.37</v>
      </c>
      <c r="AB348" s="275">
        <f t="shared" ref="AB348:AB357" si="233">ROUND((P348+Q348)*1.2,2)</f>
        <v>934.02</v>
      </c>
      <c r="AC348" s="365">
        <f t="shared" ref="AC348:AC357" si="234">ROUND((AA348/AB348)*100%-100%,4)</f>
        <v>4.2099999999999999E-2</v>
      </c>
      <c r="AD348" s="277">
        <f t="shared" si="201"/>
        <v>39.322241999999996</v>
      </c>
      <c r="AF348" s="235">
        <v>792.04399999999998</v>
      </c>
      <c r="AG348" s="106">
        <v>792</v>
      </c>
      <c r="AH348" s="281">
        <f t="shared" si="202"/>
        <v>181</v>
      </c>
      <c r="AI348" s="282">
        <v>7.2900000000000006E-2</v>
      </c>
      <c r="AJ348" s="283">
        <f t="shared" si="203"/>
        <v>39.322241999999996</v>
      </c>
      <c r="AK348" s="284"/>
      <c r="AM348" s="222">
        <v>7.2900000000000006E-2</v>
      </c>
      <c r="AN348" s="285">
        <f t="shared" si="204"/>
        <v>7.2900000000000006E-2</v>
      </c>
      <c r="AO348" s="285">
        <v>0</v>
      </c>
      <c r="AQ348" s="286"/>
      <c r="AS348" s="222">
        <v>1.034</v>
      </c>
      <c r="AT348" s="337">
        <v>7.2900000000000006E-2</v>
      </c>
      <c r="AU348" s="285">
        <f t="shared" si="205"/>
        <v>0.19500000000000006</v>
      </c>
      <c r="AW348" s="288">
        <f t="shared" si="206"/>
        <v>-3.0800000000000008E-2</v>
      </c>
      <c r="AX348" s="106">
        <v>792</v>
      </c>
      <c r="AY348" s="127" t="b">
        <f t="shared" si="207"/>
        <v>1</v>
      </c>
      <c r="AZ348" s="394">
        <f t="shared" si="208"/>
        <v>-17.371000000000002</v>
      </c>
      <c r="BC348" s="395">
        <f t="shared" si="209"/>
        <v>1.2290000000000001</v>
      </c>
    </row>
    <row r="349" spans="1:55" ht="25.5" x14ac:dyDescent="0.3">
      <c r="A349" s="264" t="s">
        <v>536</v>
      </c>
      <c r="B349" s="264" t="s">
        <v>27</v>
      </c>
      <c r="C349" s="265" t="s">
        <v>129</v>
      </c>
      <c r="D349" s="168" t="s">
        <v>309</v>
      </c>
      <c r="E349" s="239" t="s">
        <v>318</v>
      </c>
      <c r="F349" s="168">
        <f>VLOOKUP(E349,'[6]условия, ФОТ'!$A$14:$I$32,9, FALSE)</f>
        <v>221.53</v>
      </c>
      <c r="G349" s="168">
        <v>0.02</v>
      </c>
      <c r="H349" s="168">
        <f t="shared" si="229"/>
        <v>4.43</v>
      </c>
      <c r="I349" s="168">
        <f t="shared" si="218"/>
        <v>1.34</v>
      </c>
      <c r="J349" s="168">
        <f t="shared" si="230"/>
        <v>5.77</v>
      </c>
      <c r="K349" s="267"/>
      <c r="L349" s="168"/>
      <c r="M349" s="168"/>
      <c r="N349" s="168"/>
      <c r="O349" s="168">
        <f>'[6]расход ГСМ'!K6</f>
        <v>3.65</v>
      </c>
      <c r="P349" s="168">
        <f>J349+O349</f>
        <v>9.42</v>
      </c>
      <c r="Q349" s="168">
        <f t="shared" si="221"/>
        <v>6.26</v>
      </c>
      <c r="R349" s="268">
        <f t="shared" ref="R349:R355" si="235">ROUND(T349/1.2,2)</f>
        <v>16.670000000000002</v>
      </c>
      <c r="S349" s="268">
        <f t="shared" si="222"/>
        <v>3.33</v>
      </c>
      <c r="T349" s="268">
        <f t="shared" si="231"/>
        <v>20</v>
      </c>
      <c r="U349" s="269">
        <v>15</v>
      </c>
      <c r="V349" s="336">
        <f t="shared" si="223"/>
        <v>33.333333333333314</v>
      </c>
      <c r="W349" s="271">
        <v>16</v>
      </c>
      <c r="X349" s="272">
        <f t="shared" si="216"/>
        <v>25</v>
      </c>
      <c r="Y349" s="231">
        <v>15</v>
      </c>
      <c r="Z349" s="393">
        <v>1.2250000000000001</v>
      </c>
      <c r="AA349" s="274">
        <f t="shared" si="232"/>
        <v>19.600000000000001</v>
      </c>
      <c r="AB349" s="275">
        <f t="shared" si="233"/>
        <v>18.82</v>
      </c>
      <c r="AC349" s="365">
        <f t="shared" si="234"/>
        <v>4.1399999999999999E-2</v>
      </c>
      <c r="AD349" s="277">
        <f t="shared" si="201"/>
        <v>0.77914799999999995</v>
      </c>
      <c r="AF349" s="235">
        <v>15.51</v>
      </c>
      <c r="AG349" s="106">
        <v>16</v>
      </c>
      <c r="AH349" s="281">
        <f t="shared" si="202"/>
        <v>4</v>
      </c>
      <c r="AI349" s="282">
        <v>4.6600000000000003E-2</v>
      </c>
      <c r="AJ349" s="283">
        <f t="shared" si="203"/>
        <v>0.77914799999999995</v>
      </c>
      <c r="AK349" s="284"/>
      <c r="AM349" s="222">
        <v>4.6600000000000003E-2</v>
      </c>
      <c r="AN349" s="285">
        <f t="shared" si="204"/>
        <v>4.6600000000000003E-2</v>
      </c>
      <c r="AO349" s="285">
        <v>0</v>
      </c>
      <c r="AQ349" s="286"/>
      <c r="AS349" s="222">
        <v>1.034</v>
      </c>
      <c r="AT349" s="337">
        <v>4.6600000000000003E-2</v>
      </c>
      <c r="AU349" s="285">
        <f t="shared" si="205"/>
        <v>0.19100000000000006</v>
      </c>
      <c r="AW349" s="288">
        <f t="shared" si="206"/>
        <v>-5.2000000000000032E-3</v>
      </c>
      <c r="AX349" s="106">
        <v>16</v>
      </c>
      <c r="AY349" s="127" t="b">
        <f t="shared" si="207"/>
        <v>1</v>
      </c>
      <c r="AZ349" s="394">
        <f t="shared" si="208"/>
        <v>-18.774999999999999</v>
      </c>
      <c r="BC349" s="395">
        <f t="shared" si="209"/>
        <v>1.25</v>
      </c>
    </row>
    <row r="350" spans="1:55" ht="25.5" x14ac:dyDescent="0.3">
      <c r="A350" s="264" t="s">
        <v>538</v>
      </c>
      <c r="B350" s="264" t="s">
        <v>27</v>
      </c>
      <c r="C350" s="265" t="s">
        <v>127</v>
      </c>
      <c r="D350" s="168" t="s">
        <v>308</v>
      </c>
      <c r="E350" s="239" t="s">
        <v>319</v>
      </c>
      <c r="F350" s="168">
        <f>VLOOKUP(E350,'[6]условия, ФОТ'!$A$14:$I$32,9, FALSE)</f>
        <v>221.53</v>
      </c>
      <c r="G350" s="392">
        <v>1</v>
      </c>
      <c r="H350" s="168">
        <f t="shared" si="229"/>
        <v>221.53</v>
      </c>
      <c r="I350" s="168">
        <f t="shared" si="218"/>
        <v>66.900000000000006</v>
      </c>
      <c r="J350" s="168">
        <f t="shared" si="230"/>
        <v>288.43</v>
      </c>
      <c r="K350" s="267"/>
      <c r="L350" s="168"/>
      <c r="M350" s="168"/>
      <c r="N350" s="168"/>
      <c r="O350" s="168">
        <f>'[6]расход ГСМ'!J8</f>
        <v>265.16000000000003</v>
      </c>
      <c r="P350" s="168">
        <f t="shared" ref="P350:P364" si="236">J350+O350</f>
        <v>553.59</v>
      </c>
      <c r="Q350" s="168">
        <f t="shared" si="221"/>
        <v>368.14</v>
      </c>
      <c r="R350" s="268">
        <f t="shared" si="235"/>
        <v>960</v>
      </c>
      <c r="S350" s="268">
        <f t="shared" si="222"/>
        <v>192</v>
      </c>
      <c r="T350" s="268">
        <f t="shared" si="231"/>
        <v>1152</v>
      </c>
      <c r="U350" s="269">
        <v>841</v>
      </c>
      <c r="V350" s="336">
        <f t="shared" si="223"/>
        <v>36.979785969084418</v>
      </c>
      <c r="W350" s="271">
        <v>898</v>
      </c>
      <c r="X350" s="272">
        <f t="shared" si="216"/>
        <v>28.285077951002222</v>
      </c>
      <c r="Y350" s="231">
        <v>868</v>
      </c>
      <c r="Z350" s="393">
        <v>1.2829999999999999</v>
      </c>
      <c r="AA350" s="274">
        <f t="shared" si="232"/>
        <v>1152.1300000000001</v>
      </c>
      <c r="AB350" s="275">
        <f t="shared" si="233"/>
        <v>1106.08</v>
      </c>
      <c r="AC350" s="365">
        <f t="shared" si="234"/>
        <v>4.1599999999999998E-2</v>
      </c>
      <c r="AD350" s="277">
        <f t="shared" si="201"/>
        <v>46.012927999999995</v>
      </c>
      <c r="AF350" s="235">
        <v>897.51199999999994</v>
      </c>
      <c r="AG350" s="106">
        <v>898</v>
      </c>
      <c r="AH350" s="281">
        <f t="shared" si="202"/>
        <v>254</v>
      </c>
      <c r="AI350" s="282">
        <v>9.4E-2</v>
      </c>
      <c r="AJ350" s="283">
        <f t="shared" si="203"/>
        <v>46.012927999999995</v>
      </c>
      <c r="AK350" s="284"/>
      <c r="AM350" s="222">
        <v>9.4E-2</v>
      </c>
      <c r="AN350" s="285">
        <f t="shared" si="204"/>
        <v>9.4E-2</v>
      </c>
      <c r="AO350" s="285">
        <v>0</v>
      </c>
      <c r="AQ350" s="286"/>
      <c r="AS350" s="222">
        <v>1.034</v>
      </c>
      <c r="AT350" s="337">
        <v>9.4E-2</v>
      </c>
      <c r="AU350" s="285">
        <f t="shared" si="205"/>
        <v>0.24899999999999989</v>
      </c>
      <c r="AW350" s="288">
        <f t="shared" si="206"/>
        <v>-5.2400000000000002E-2</v>
      </c>
      <c r="AX350" s="106">
        <v>898</v>
      </c>
      <c r="AY350" s="127" t="b">
        <f t="shared" si="207"/>
        <v>1</v>
      </c>
      <c r="AZ350" s="394">
        <f t="shared" si="208"/>
        <v>-20.766999999999999</v>
      </c>
      <c r="BC350" s="395">
        <f t="shared" si="209"/>
        <v>1.2829999999999999</v>
      </c>
    </row>
    <row r="351" spans="1:55" ht="25.5" x14ac:dyDescent="0.3">
      <c r="A351" s="264" t="s">
        <v>540</v>
      </c>
      <c r="B351" s="264" t="s">
        <v>27</v>
      </c>
      <c r="C351" s="265" t="s">
        <v>127</v>
      </c>
      <c r="D351" s="168" t="s">
        <v>309</v>
      </c>
      <c r="E351" s="239" t="s">
        <v>319</v>
      </c>
      <c r="F351" s="168">
        <f>VLOOKUP(E351,'[6]условия, ФОТ'!$A$14:$I$32,9, FALSE)</f>
        <v>221.53</v>
      </c>
      <c r="G351" s="168">
        <v>0.02</v>
      </c>
      <c r="H351" s="168">
        <f t="shared" si="229"/>
        <v>4.43</v>
      </c>
      <c r="I351" s="168">
        <f t="shared" si="218"/>
        <v>1.34</v>
      </c>
      <c r="J351" s="168">
        <f t="shared" si="230"/>
        <v>5.77</v>
      </c>
      <c r="K351" s="267"/>
      <c r="L351" s="168"/>
      <c r="M351" s="168"/>
      <c r="N351" s="168"/>
      <c r="O351" s="168">
        <f>'[6]расход ГСМ'!K8</f>
        <v>5.41</v>
      </c>
      <c r="P351" s="168">
        <f t="shared" si="236"/>
        <v>11.18</v>
      </c>
      <c r="Q351" s="168">
        <f t="shared" si="221"/>
        <v>7.43</v>
      </c>
      <c r="R351" s="268">
        <f t="shared" si="235"/>
        <v>19.170000000000002</v>
      </c>
      <c r="S351" s="268">
        <f t="shared" si="222"/>
        <v>3.83</v>
      </c>
      <c r="T351" s="268">
        <f t="shared" si="231"/>
        <v>23</v>
      </c>
      <c r="U351" s="269">
        <v>17</v>
      </c>
      <c r="V351" s="336">
        <f t="shared" si="223"/>
        <v>35.29411764705884</v>
      </c>
      <c r="W351" s="271">
        <v>18</v>
      </c>
      <c r="X351" s="272">
        <f t="shared" si="216"/>
        <v>27.777777777777771</v>
      </c>
      <c r="Y351" s="231">
        <v>17</v>
      </c>
      <c r="Z351" s="393">
        <v>1.2929999999999999</v>
      </c>
      <c r="AA351" s="274">
        <f t="shared" si="232"/>
        <v>23.27</v>
      </c>
      <c r="AB351" s="275">
        <f t="shared" si="233"/>
        <v>22.33</v>
      </c>
      <c r="AC351" s="365">
        <f t="shared" si="234"/>
        <v>4.2099999999999999E-2</v>
      </c>
      <c r="AD351" s="277">
        <f t="shared" si="201"/>
        <v>0.94009299999999985</v>
      </c>
      <c r="AF351" s="235">
        <v>17.577999999999999</v>
      </c>
      <c r="AG351" s="106">
        <v>18</v>
      </c>
      <c r="AH351" s="281">
        <f t="shared" si="202"/>
        <v>5</v>
      </c>
      <c r="AI351" s="282">
        <v>6.5500000000000003E-2</v>
      </c>
      <c r="AJ351" s="283">
        <f t="shared" si="203"/>
        <v>0.94009299999999985</v>
      </c>
      <c r="AK351" s="284"/>
      <c r="AM351" s="222">
        <v>6.5500000000000003E-2</v>
      </c>
      <c r="AN351" s="285">
        <f t="shared" si="204"/>
        <v>6.5500000000000003E-2</v>
      </c>
      <c r="AO351" s="285">
        <v>0</v>
      </c>
      <c r="AQ351" s="286"/>
      <c r="AS351" s="222">
        <v>1.034</v>
      </c>
      <c r="AT351" s="337">
        <v>6.5500000000000003E-2</v>
      </c>
      <c r="AU351" s="285">
        <f t="shared" si="205"/>
        <v>0.2589999999999999</v>
      </c>
      <c r="AW351" s="288">
        <f t="shared" si="206"/>
        <v>-2.3400000000000004E-2</v>
      </c>
      <c r="AX351" s="106">
        <v>18</v>
      </c>
      <c r="AY351" s="127" t="b">
        <f t="shared" si="207"/>
        <v>1</v>
      </c>
      <c r="AZ351" s="394">
        <f t="shared" si="208"/>
        <v>-20.446999999999999</v>
      </c>
      <c r="BC351" s="395">
        <f t="shared" si="209"/>
        <v>1.278</v>
      </c>
    </row>
    <row r="352" spans="1:55" ht="29.25" customHeight="1" x14ac:dyDescent="0.3">
      <c r="A352" s="264" t="s">
        <v>541</v>
      </c>
      <c r="B352" s="264" t="s">
        <v>310</v>
      </c>
      <c r="C352" s="265" t="s">
        <v>130</v>
      </c>
      <c r="D352" s="168" t="s">
        <v>18</v>
      </c>
      <c r="E352" s="168" t="s">
        <v>29</v>
      </c>
      <c r="F352" s="168">
        <f>VLOOKUP(E352,'[6]условия, ФОТ'!$A$14:$I$32,9, FALSE)</f>
        <v>180.5</v>
      </c>
      <c r="G352" s="168">
        <v>0.4</v>
      </c>
      <c r="H352" s="168">
        <f t="shared" si="229"/>
        <v>72.2</v>
      </c>
      <c r="I352" s="168">
        <f t="shared" si="218"/>
        <v>21.8</v>
      </c>
      <c r="J352" s="168">
        <f t="shared" si="230"/>
        <v>94</v>
      </c>
      <c r="K352" s="267"/>
      <c r="L352" s="168"/>
      <c r="M352" s="168"/>
      <c r="N352" s="168"/>
      <c r="O352" s="168"/>
      <c r="P352" s="168">
        <f t="shared" si="236"/>
        <v>94</v>
      </c>
      <c r="Q352" s="168">
        <f t="shared" si="221"/>
        <v>62.51</v>
      </c>
      <c r="R352" s="268">
        <f t="shared" si="235"/>
        <v>180.83</v>
      </c>
      <c r="S352" s="268">
        <f t="shared" si="222"/>
        <v>36.17</v>
      </c>
      <c r="T352" s="268">
        <f t="shared" si="231"/>
        <v>217</v>
      </c>
      <c r="U352" s="269">
        <v>195</v>
      </c>
      <c r="V352" s="336">
        <f t="shared" si="223"/>
        <v>11.282051282051285</v>
      </c>
      <c r="W352" s="271">
        <v>208</v>
      </c>
      <c r="X352" s="272">
        <f t="shared" si="216"/>
        <v>4.3269230769230802</v>
      </c>
      <c r="Y352" s="231">
        <v>201</v>
      </c>
      <c r="Z352" s="273">
        <v>1.042</v>
      </c>
      <c r="AA352" s="274">
        <f t="shared" si="232"/>
        <v>216.74</v>
      </c>
      <c r="AB352" s="275">
        <f t="shared" si="233"/>
        <v>187.81</v>
      </c>
      <c r="AC352" s="276">
        <f t="shared" si="234"/>
        <v>0.154</v>
      </c>
      <c r="AD352" s="277">
        <f t="shared" si="201"/>
        <v>28.922740000000001</v>
      </c>
      <c r="AF352" s="235">
        <v>207.834</v>
      </c>
      <c r="AG352" s="106">
        <v>208</v>
      </c>
      <c r="AH352" s="281">
        <f t="shared" si="202"/>
        <v>9</v>
      </c>
      <c r="AI352" s="282">
        <v>0.1236</v>
      </c>
      <c r="AJ352" s="283">
        <f t="shared" si="203"/>
        <v>28.922740000000001</v>
      </c>
      <c r="AK352" s="284"/>
      <c r="AM352" s="222">
        <v>0.1236</v>
      </c>
      <c r="AN352" s="285">
        <f t="shared" si="204"/>
        <v>0.1236</v>
      </c>
      <c r="AO352" s="285">
        <v>0</v>
      </c>
      <c r="AQ352" s="286"/>
      <c r="AS352" s="222">
        <v>1.034</v>
      </c>
      <c r="AT352" s="337">
        <v>0.1236</v>
      </c>
      <c r="AU352" s="285">
        <f t="shared" si="205"/>
        <v>8.0000000000000071E-3</v>
      </c>
      <c r="AW352" s="288">
        <f t="shared" si="206"/>
        <v>3.0399999999999996E-2</v>
      </c>
      <c r="AX352" s="106">
        <v>208</v>
      </c>
      <c r="AY352" s="127" t="b">
        <f t="shared" si="207"/>
        <v>1</v>
      </c>
      <c r="AZ352" s="289">
        <f t="shared" si="208"/>
        <v>-3.1080000000000005</v>
      </c>
      <c r="BC352">
        <f t="shared" si="209"/>
        <v>1.0429999999999999</v>
      </c>
    </row>
    <row r="353" spans="1:55" ht="29.25" customHeight="1" x14ac:dyDescent="0.3">
      <c r="A353" s="264" t="s">
        <v>542</v>
      </c>
      <c r="B353" s="168" t="s">
        <v>27</v>
      </c>
      <c r="C353" s="265" t="s">
        <v>131</v>
      </c>
      <c r="D353" s="168" t="s">
        <v>311</v>
      </c>
      <c r="E353" s="239" t="s">
        <v>312</v>
      </c>
      <c r="F353" s="168">
        <f>VLOOKUP(E353,'[6]условия, ФОТ'!$A$14:$I$32,9, FALSE)</f>
        <v>180.5</v>
      </c>
      <c r="G353" s="168">
        <v>0.15</v>
      </c>
      <c r="H353" s="168">
        <f t="shared" si="229"/>
        <v>27.08</v>
      </c>
      <c r="I353" s="168">
        <f t="shared" si="218"/>
        <v>8.18</v>
      </c>
      <c r="J353" s="168">
        <f t="shared" si="230"/>
        <v>35.26</v>
      </c>
      <c r="K353" s="267"/>
      <c r="L353" s="168"/>
      <c r="M353" s="168"/>
      <c r="N353" s="168"/>
      <c r="O353" s="168"/>
      <c r="P353" s="168">
        <f t="shared" si="236"/>
        <v>35.26</v>
      </c>
      <c r="Q353" s="168">
        <f t="shared" si="221"/>
        <v>23.45</v>
      </c>
      <c r="R353" s="268">
        <f t="shared" si="235"/>
        <v>61.67</v>
      </c>
      <c r="S353" s="268">
        <f t="shared" si="222"/>
        <v>12.33</v>
      </c>
      <c r="T353" s="268">
        <f t="shared" si="231"/>
        <v>74</v>
      </c>
      <c r="U353" s="269">
        <v>67</v>
      </c>
      <c r="V353" s="336">
        <f t="shared" si="223"/>
        <v>10.447761194029852</v>
      </c>
      <c r="W353" s="271">
        <v>71</v>
      </c>
      <c r="X353" s="272">
        <f t="shared" si="216"/>
        <v>4.2253521126760489</v>
      </c>
      <c r="Y353" s="231">
        <v>69</v>
      </c>
      <c r="Z353" s="273">
        <v>1.042</v>
      </c>
      <c r="AA353" s="274">
        <f t="shared" si="232"/>
        <v>73.98</v>
      </c>
      <c r="AB353" s="275">
        <f t="shared" si="233"/>
        <v>70.45</v>
      </c>
      <c r="AC353" s="276">
        <f t="shared" si="234"/>
        <v>5.0099999999999999E-2</v>
      </c>
      <c r="AD353" s="277">
        <f t="shared" si="201"/>
        <v>3.5295450000000002</v>
      </c>
      <c r="AF353" s="235">
        <v>71.346000000000004</v>
      </c>
      <c r="AG353" s="106">
        <v>71</v>
      </c>
      <c r="AH353" s="281">
        <f t="shared" si="202"/>
        <v>3</v>
      </c>
      <c r="AI353" s="282">
        <v>2.9000000000000001E-2</v>
      </c>
      <c r="AJ353" s="283">
        <f t="shared" si="203"/>
        <v>3.5295450000000002</v>
      </c>
      <c r="AK353" s="284"/>
      <c r="AM353" s="222">
        <v>2.9000000000000001E-2</v>
      </c>
      <c r="AN353" s="285">
        <f t="shared" si="204"/>
        <v>2.9000000000000001E-2</v>
      </c>
      <c r="AO353" s="285">
        <v>0</v>
      </c>
      <c r="AQ353" s="286"/>
      <c r="AS353" s="222">
        <v>1.034</v>
      </c>
      <c r="AT353" s="337">
        <v>2.9000000000000001E-2</v>
      </c>
      <c r="AU353" s="285">
        <f t="shared" si="205"/>
        <v>8.0000000000000071E-3</v>
      </c>
      <c r="AW353" s="288">
        <f t="shared" si="206"/>
        <v>2.1099999999999997E-2</v>
      </c>
      <c r="AX353" s="106">
        <v>71</v>
      </c>
      <c r="AY353" s="127" t="b">
        <f t="shared" si="207"/>
        <v>1</v>
      </c>
      <c r="AZ353" s="289">
        <f t="shared" si="208"/>
        <v>-3.008</v>
      </c>
      <c r="BC353">
        <f t="shared" si="209"/>
        <v>1.042</v>
      </c>
    </row>
    <row r="354" spans="1:55" ht="27" x14ac:dyDescent="0.3">
      <c r="A354" s="396" t="s">
        <v>543</v>
      </c>
      <c r="B354" s="168" t="s">
        <v>27</v>
      </c>
      <c r="C354" s="265" t="s">
        <v>132</v>
      </c>
      <c r="D354" s="168" t="s">
        <v>311</v>
      </c>
      <c r="E354" s="397" t="s">
        <v>363</v>
      </c>
      <c r="F354" s="168">
        <f>VLOOKUP(E354,'[6]условия, ФОТ'!$A$14:$I$32,9, FALSE)</f>
        <v>180.5</v>
      </c>
      <c r="G354" s="168">
        <v>0.13</v>
      </c>
      <c r="H354" s="168">
        <f t="shared" si="229"/>
        <v>23.47</v>
      </c>
      <c r="I354" s="168">
        <f t="shared" si="218"/>
        <v>7.09</v>
      </c>
      <c r="J354" s="168">
        <f t="shared" si="230"/>
        <v>30.56</v>
      </c>
      <c r="K354" s="267"/>
      <c r="L354" s="168"/>
      <c r="M354" s="168"/>
      <c r="N354" s="168"/>
      <c r="O354" s="168"/>
      <c r="P354" s="168">
        <f t="shared" si="236"/>
        <v>30.56</v>
      </c>
      <c r="Q354" s="168">
        <f t="shared" si="221"/>
        <v>20.32</v>
      </c>
      <c r="R354" s="268">
        <f t="shared" si="235"/>
        <v>55</v>
      </c>
      <c r="S354" s="268">
        <f t="shared" si="222"/>
        <v>11</v>
      </c>
      <c r="T354" s="268">
        <f t="shared" si="231"/>
        <v>66</v>
      </c>
      <c r="U354" s="269">
        <v>40</v>
      </c>
      <c r="V354" s="336">
        <f t="shared" si="223"/>
        <v>65</v>
      </c>
      <c r="W354" s="271">
        <v>63</v>
      </c>
      <c r="X354" s="272">
        <f t="shared" si="216"/>
        <v>4.7619047619047734</v>
      </c>
      <c r="Y354" s="231">
        <v>41</v>
      </c>
      <c r="Z354" s="273">
        <v>1.042</v>
      </c>
      <c r="AA354" s="274">
        <f t="shared" si="232"/>
        <v>65.650000000000006</v>
      </c>
      <c r="AB354" s="275">
        <f t="shared" si="233"/>
        <v>61.06</v>
      </c>
      <c r="AC354" s="276">
        <f t="shared" si="234"/>
        <v>7.5200000000000003E-2</v>
      </c>
      <c r="AD354" s="277">
        <f t="shared" si="201"/>
        <v>4.5917120000000002</v>
      </c>
      <c r="AF354" s="235">
        <v>42.393999999999998</v>
      </c>
      <c r="AG354" s="106">
        <v>63</v>
      </c>
      <c r="AH354" s="281">
        <f t="shared" si="202"/>
        <v>3</v>
      </c>
      <c r="AI354" s="282">
        <v>4.99E-2</v>
      </c>
      <c r="AJ354" s="283">
        <f t="shared" si="203"/>
        <v>4.5917120000000002</v>
      </c>
      <c r="AK354" s="284"/>
      <c r="AM354" s="222">
        <v>-0.29470000000000002</v>
      </c>
      <c r="AN354" s="285">
        <f t="shared" si="204"/>
        <v>1.2947</v>
      </c>
      <c r="AO354" s="285">
        <v>1.339</v>
      </c>
      <c r="AQ354" s="286">
        <f t="shared" ref="AQ354:AQ364" si="237">ROUND(W354*AO354,2)</f>
        <v>84.36</v>
      </c>
      <c r="AS354" s="222">
        <v>1.034</v>
      </c>
      <c r="AT354" s="337">
        <v>-0.29470000000000002</v>
      </c>
      <c r="AU354" s="285">
        <f t="shared" si="205"/>
        <v>8.0000000000000071E-3</v>
      </c>
      <c r="AW354" s="288">
        <f t="shared" si="206"/>
        <v>0.36990000000000001</v>
      </c>
      <c r="AX354" s="106">
        <v>63</v>
      </c>
      <c r="AY354" s="127" t="b">
        <f t="shared" si="207"/>
        <v>1</v>
      </c>
      <c r="AZ354" s="289">
        <f t="shared" si="208"/>
        <v>-3.508</v>
      </c>
      <c r="BC354">
        <f t="shared" si="209"/>
        <v>1.048</v>
      </c>
    </row>
    <row r="355" spans="1:55" ht="22.7" customHeight="1" x14ac:dyDescent="0.3">
      <c r="A355" s="396" t="s">
        <v>537</v>
      </c>
      <c r="B355" s="168" t="s">
        <v>27</v>
      </c>
      <c r="C355" s="265" t="s">
        <v>133</v>
      </c>
      <c r="D355" s="168" t="s">
        <v>316</v>
      </c>
      <c r="E355" s="168" t="s">
        <v>315</v>
      </c>
      <c r="F355" s="168">
        <f>VLOOKUP(E355,'[6]условия, ФОТ'!$A$14:$I$32,9, FALSE)</f>
        <v>180.5</v>
      </c>
      <c r="G355" s="168">
        <v>0.03</v>
      </c>
      <c r="H355" s="168">
        <f t="shared" si="229"/>
        <v>5.42</v>
      </c>
      <c r="I355" s="168">
        <f t="shared" si="218"/>
        <v>1.64</v>
      </c>
      <c r="J355" s="168">
        <f t="shared" si="230"/>
        <v>7.06</v>
      </c>
      <c r="K355" s="267"/>
      <c r="L355" s="168"/>
      <c r="M355" s="168"/>
      <c r="N355" s="168"/>
      <c r="O355" s="168"/>
      <c r="P355" s="168">
        <f t="shared" si="236"/>
        <v>7.06</v>
      </c>
      <c r="Q355" s="168">
        <f t="shared" si="221"/>
        <v>4.6900000000000004</v>
      </c>
      <c r="R355" s="268">
        <f t="shared" si="235"/>
        <v>13.33</v>
      </c>
      <c r="S355" s="268">
        <f t="shared" si="222"/>
        <v>2.67</v>
      </c>
      <c r="T355" s="268">
        <f t="shared" si="231"/>
        <v>16</v>
      </c>
      <c r="U355" s="269">
        <v>11</v>
      </c>
      <c r="V355" s="336">
        <f t="shared" si="223"/>
        <v>45.454545454545467</v>
      </c>
      <c r="W355" s="271">
        <v>15</v>
      </c>
      <c r="X355" s="272">
        <f t="shared" si="216"/>
        <v>6.6666666666666714</v>
      </c>
      <c r="Y355" s="231">
        <v>11</v>
      </c>
      <c r="Z355" s="273">
        <v>1.042</v>
      </c>
      <c r="AA355" s="274">
        <f t="shared" si="232"/>
        <v>15.63</v>
      </c>
      <c r="AB355" s="275">
        <f t="shared" si="233"/>
        <v>14.1</v>
      </c>
      <c r="AC355" s="276">
        <f t="shared" si="234"/>
        <v>0.1085</v>
      </c>
      <c r="AD355" s="277">
        <f t="shared" si="201"/>
        <v>1.5298499999999999</v>
      </c>
      <c r="AF355" s="235">
        <v>11.374000000000001</v>
      </c>
      <c r="AG355" s="106">
        <v>15</v>
      </c>
      <c r="AH355" s="281">
        <f t="shared" si="202"/>
        <v>1</v>
      </c>
      <c r="AI355" s="282">
        <v>4.9700000000000001E-2</v>
      </c>
      <c r="AJ355" s="283">
        <f t="shared" si="203"/>
        <v>1.5298499999999999</v>
      </c>
      <c r="AK355" s="284"/>
      <c r="AM355" s="222">
        <v>-0.1802</v>
      </c>
      <c r="AN355" s="285">
        <f t="shared" si="204"/>
        <v>1.1801999999999999</v>
      </c>
      <c r="AO355" s="285">
        <v>1.22</v>
      </c>
      <c r="AQ355" s="286">
        <f t="shared" si="237"/>
        <v>18.3</v>
      </c>
      <c r="AS355" s="222">
        <v>1.034</v>
      </c>
      <c r="AT355" s="337">
        <v>-0.1802</v>
      </c>
      <c r="AU355" s="285">
        <f t="shared" si="205"/>
        <v>8.0000000000000071E-3</v>
      </c>
      <c r="AW355" s="288">
        <f t="shared" si="206"/>
        <v>0.28870000000000001</v>
      </c>
      <c r="AX355" s="106">
        <v>15</v>
      </c>
      <c r="AY355" s="127" t="b">
        <f t="shared" si="207"/>
        <v>1</v>
      </c>
      <c r="AZ355" s="289">
        <f t="shared" si="208"/>
        <v>-5.2080000000000002</v>
      </c>
      <c r="BC355">
        <f t="shared" si="209"/>
        <v>1.0669999999999999</v>
      </c>
    </row>
    <row r="356" spans="1:55" ht="29.25" customHeight="1" x14ac:dyDescent="0.3">
      <c r="A356" s="396" t="s">
        <v>557</v>
      </c>
      <c r="B356" s="168" t="s">
        <v>27</v>
      </c>
      <c r="C356" s="265" t="s">
        <v>134</v>
      </c>
      <c r="D356" s="168" t="s">
        <v>316</v>
      </c>
      <c r="E356" s="239" t="s">
        <v>312</v>
      </c>
      <c r="F356" s="168">
        <f>VLOOKUP(E356,'[6]условия, ФОТ'!$A$14:$I$32,9, FALSE)</f>
        <v>180.5</v>
      </c>
      <c r="G356" s="168">
        <v>0.12</v>
      </c>
      <c r="H356" s="168">
        <f t="shared" si="229"/>
        <v>21.66</v>
      </c>
      <c r="I356" s="168">
        <f t="shared" si="218"/>
        <v>6.54</v>
      </c>
      <c r="J356" s="168">
        <f t="shared" si="230"/>
        <v>28.2</v>
      </c>
      <c r="K356" s="267"/>
      <c r="L356" s="168"/>
      <c r="M356" s="168"/>
      <c r="N356" s="168"/>
      <c r="O356" s="168"/>
      <c r="P356" s="168">
        <f t="shared" si="236"/>
        <v>28.2</v>
      </c>
      <c r="Q356" s="168">
        <f t="shared" si="221"/>
        <v>18.75</v>
      </c>
      <c r="R356" s="268">
        <f>ROUND(T356/1.2,2)</f>
        <v>49.17</v>
      </c>
      <c r="S356" s="268">
        <f>ROUND(R356*$S$5,2)</f>
        <v>9.83</v>
      </c>
      <c r="T356" s="268">
        <f t="shared" si="231"/>
        <v>59</v>
      </c>
      <c r="U356" s="269">
        <v>54</v>
      </c>
      <c r="V356" s="336">
        <f t="shared" si="223"/>
        <v>9.2592592592592524</v>
      </c>
      <c r="W356" s="271">
        <v>57</v>
      </c>
      <c r="X356" s="272">
        <f t="shared" si="216"/>
        <v>3.5087719298245759</v>
      </c>
      <c r="Y356" s="231">
        <v>55</v>
      </c>
      <c r="Z356" s="273">
        <v>1.042</v>
      </c>
      <c r="AA356" s="274">
        <f t="shared" si="232"/>
        <v>59.39</v>
      </c>
      <c r="AB356" s="275">
        <f t="shared" si="233"/>
        <v>56.34</v>
      </c>
      <c r="AC356" s="398">
        <f t="shared" si="234"/>
        <v>5.4100000000000002E-2</v>
      </c>
      <c r="AD356" s="277">
        <f t="shared" si="201"/>
        <v>3.0479940000000001</v>
      </c>
      <c r="AF356" s="235">
        <v>56.870000000000005</v>
      </c>
      <c r="AG356" s="106">
        <v>57</v>
      </c>
      <c r="AH356" s="281">
        <f t="shared" si="202"/>
        <v>2</v>
      </c>
      <c r="AI356" s="282">
        <v>2.4899999999999999E-2</v>
      </c>
      <c r="AJ356" s="283">
        <f t="shared" si="203"/>
        <v>3.0479940000000001</v>
      </c>
      <c r="AK356" s="284"/>
      <c r="AM356" s="222">
        <v>2.4899999999999999E-2</v>
      </c>
      <c r="AN356" s="285">
        <f t="shared" si="204"/>
        <v>2.4899999999999999E-2</v>
      </c>
      <c r="AO356" s="285">
        <v>0</v>
      </c>
      <c r="AQ356" s="286"/>
      <c r="AS356" s="222">
        <v>1.034</v>
      </c>
      <c r="AT356" s="337">
        <v>2.4899999999999999E-2</v>
      </c>
      <c r="AU356" s="285">
        <f t="shared" si="205"/>
        <v>8.0000000000000071E-3</v>
      </c>
      <c r="AW356" s="288">
        <f t="shared" si="206"/>
        <v>2.9200000000000004E-2</v>
      </c>
      <c r="AX356" s="106">
        <v>57</v>
      </c>
      <c r="AY356" s="127" t="b">
        <f t="shared" si="207"/>
        <v>1</v>
      </c>
      <c r="AZ356" s="289">
        <f t="shared" si="208"/>
        <v>-2.3479999999999999</v>
      </c>
      <c r="BC356">
        <f t="shared" si="209"/>
        <v>1.0349999999999999</v>
      </c>
    </row>
    <row r="357" spans="1:55" ht="16.5" customHeight="1" x14ac:dyDescent="0.3">
      <c r="A357" s="737" t="s">
        <v>692</v>
      </c>
      <c r="B357" s="661" t="s">
        <v>27</v>
      </c>
      <c r="C357" s="660" t="s">
        <v>135</v>
      </c>
      <c r="D357" s="646" t="s">
        <v>18</v>
      </c>
      <c r="E357" s="239" t="s">
        <v>162</v>
      </c>
      <c r="F357" s="168">
        <f>VLOOKUP(E357,'[6]условия, ФОТ'!$A$14:$I$32,9, FALSE)</f>
        <v>180.5</v>
      </c>
      <c r="G357" s="168">
        <v>1.1200000000000001</v>
      </c>
      <c r="H357" s="661">
        <f>ROUND(F357*G357+F358*G358,2)</f>
        <v>274.36</v>
      </c>
      <c r="I357" s="661">
        <f t="shared" si="218"/>
        <v>82.86</v>
      </c>
      <c r="J357" s="661">
        <f t="shared" si="230"/>
        <v>357.22</v>
      </c>
      <c r="K357" s="267"/>
      <c r="L357" s="168"/>
      <c r="M357" s="168"/>
      <c r="N357" s="168"/>
      <c r="O357" s="168"/>
      <c r="P357" s="661">
        <f t="shared" si="236"/>
        <v>357.22</v>
      </c>
      <c r="Q357" s="661">
        <f t="shared" si="221"/>
        <v>237.55</v>
      </c>
      <c r="R357" s="665">
        <f>ROUND(T357/1.2,2)</f>
        <v>640</v>
      </c>
      <c r="S357" s="665">
        <f t="shared" si="222"/>
        <v>128</v>
      </c>
      <c r="T357" s="665">
        <f t="shared" si="231"/>
        <v>768</v>
      </c>
      <c r="U357" s="666">
        <v>593</v>
      </c>
      <c r="V357" s="842">
        <f t="shared" si="223"/>
        <v>29.510961214165263</v>
      </c>
      <c r="W357" s="749">
        <v>737</v>
      </c>
      <c r="X357" s="679">
        <f t="shared" si="216"/>
        <v>4.2062415196743501</v>
      </c>
      <c r="Y357" s="231">
        <v>611</v>
      </c>
      <c r="Z357" s="823">
        <v>1.042</v>
      </c>
      <c r="AA357" s="825">
        <f>ROUND(W357*Z357,2)</f>
        <v>767.95</v>
      </c>
      <c r="AB357" s="826">
        <f t="shared" si="233"/>
        <v>713.72</v>
      </c>
      <c r="AC357" s="814">
        <f t="shared" si="234"/>
        <v>7.5999999999999998E-2</v>
      </c>
      <c r="AD357" s="681">
        <f t="shared" si="201"/>
        <v>54.242719999999998</v>
      </c>
      <c r="AF357" s="235">
        <v>631.774</v>
      </c>
      <c r="AG357" s="674">
        <v>737</v>
      </c>
      <c r="AH357" s="816">
        <f t="shared" si="202"/>
        <v>31</v>
      </c>
      <c r="AI357" s="817">
        <v>4.9399999999999999E-2</v>
      </c>
      <c r="AJ357" s="819">
        <f t="shared" si="203"/>
        <v>54.242719999999998</v>
      </c>
      <c r="AK357" s="284"/>
      <c r="AM357" s="715">
        <v>-0.10100000000000001</v>
      </c>
      <c r="AN357" s="670">
        <f t="shared" si="204"/>
        <v>1.101</v>
      </c>
      <c r="AO357" s="670">
        <v>1.1379999999999999</v>
      </c>
      <c r="AQ357" s="676">
        <f t="shared" si="237"/>
        <v>838.71</v>
      </c>
      <c r="AS357" s="715">
        <v>1.034</v>
      </c>
      <c r="AT357" s="717">
        <v>-0.10100000000000001</v>
      </c>
      <c r="AU357" s="670">
        <f t="shared" si="205"/>
        <v>8.0000000000000071E-3</v>
      </c>
      <c r="AW357" s="672">
        <f t="shared" si="206"/>
        <v>0.17699999999999999</v>
      </c>
      <c r="AX357" s="674">
        <v>737</v>
      </c>
      <c r="AY357" s="127" t="b">
        <f t="shared" si="207"/>
        <v>1</v>
      </c>
      <c r="AZ357" s="289">
        <f t="shared" si="208"/>
        <v>-2.9980000000000002</v>
      </c>
      <c r="BC357">
        <f t="shared" si="209"/>
        <v>1.042</v>
      </c>
    </row>
    <row r="358" spans="1:55" ht="25.5" x14ac:dyDescent="0.3">
      <c r="A358" s="738"/>
      <c r="B358" s="661"/>
      <c r="C358" s="660"/>
      <c r="D358" s="646"/>
      <c r="E358" s="342" t="s">
        <v>363</v>
      </c>
      <c r="F358" s="168">
        <f>VLOOKUP(E358,'[6]условия, ФОТ'!$A$14:$I$32,9, FALSE)</f>
        <v>180.5</v>
      </c>
      <c r="G358" s="168">
        <v>0.4</v>
      </c>
      <c r="H358" s="661"/>
      <c r="I358" s="661"/>
      <c r="J358" s="661"/>
      <c r="K358" s="267"/>
      <c r="L358" s="168"/>
      <c r="M358" s="168"/>
      <c r="N358" s="168"/>
      <c r="O358" s="168"/>
      <c r="P358" s="661">
        <f t="shared" si="236"/>
        <v>0</v>
      </c>
      <c r="Q358" s="661">
        <f t="shared" si="221"/>
        <v>0</v>
      </c>
      <c r="R358" s="665">
        <f t="shared" ref="R358" si="238">ROUND(T358/1.18,2)</f>
        <v>0</v>
      </c>
      <c r="S358" s="665">
        <f t="shared" si="222"/>
        <v>0</v>
      </c>
      <c r="T358" s="665">
        <f>ROUND((P358+Q358)*(1+$R$5)*1.18,0)</f>
        <v>0</v>
      </c>
      <c r="U358" s="827"/>
      <c r="V358" s="842"/>
      <c r="W358" s="750"/>
      <c r="X358" s="679"/>
      <c r="Y358" s="231">
        <v>0</v>
      </c>
      <c r="Z358" s="824"/>
      <c r="AA358" s="825"/>
      <c r="AB358" s="826"/>
      <c r="AC358" s="815"/>
      <c r="AD358" s="682"/>
      <c r="AG358" s="674"/>
      <c r="AH358" s="816"/>
      <c r="AI358" s="818"/>
      <c r="AJ358" s="820"/>
      <c r="AK358" s="284"/>
      <c r="AM358" s="716"/>
      <c r="AN358" s="671"/>
      <c r="AO358" s="671"/>
      <c r="AQ358" s="677"/>
      <c r="AS358" s="716"/>
      <c r="AT358" s="718"/>
      <c r="AU358" s="671"/>
      <c r="AW358" s="673"/>
      <c r="AX358" s="674"/>
      <c r="AY358" s="127" t="b">
        <f t="shared" si="207"/>
        <v>1</v>
      </c>
      <c r="AZ358" s="289"/>
    </row>
    <row r="359" spans="1:55" ht="25.5" x14ac:dyDescent="0.3">
      <c r="A359" s="396" t="s">
        <v>693</v>
      </c>
      <c r="B359" s="168" t="s">
        <v>27</v>
      </c>
      <c r="C359" s="265" t="s">
        <v>136</v>
      </c>
      <c r="D359" s="168" t="s">
        <v>316</v>
      </c>
      <c r="E359" s="239" t="s">
        <v>163</v>
      </c>
      <c r="F359" s="168">
        <f>VLOOKUP(E359,'[6]условия, ФОТ'!$A$14:$I$32,9, FALSE)</f>
        <v>225.56</v>
      </c>
      <c r="G359" s="168">
        <v>0.34</v>
      </c>
      <c r="H359" s="168">
        <f t="shared" si="229"/>
        <v>76.69</v>
      </c>
      <c r="I359" s="168">
        <f t="shared" si="218"/>
        <v>23.16</v>
      </c>
      <c r="J359" s="168">
        <f t="shared" si="230"/>
        <v>99.85</v>
      </c>
      <c r="K359" s="267"/>
      <c r="L359" s="168"/>
      <c r="M359" s="168"/>
      <c r="N359" s="168"/>
      <c r="O359" s="168"/>
      <c r="P359" s="168">
        <f t="shared" si="236"/>
        <v>99.85</v>
      </c>
      <c r="Q359" s="168">
        <f t="shared" si="221"/>
        <v>66.400000000000006</v>
      </c>
      <c r="R359" s="268">
        <f>ROUND(T359/1.2,2)</f>
        <v>190</v>
      </c>
      <c r="S359" s="268">
        <f t="shared" si="222"/>
        <v>38</v>
      </c>
      <c r="T359" s="268">
        <f>ROUND((P359+Q359)*(1+AC359)*1.2,0)</f>
        <v>228</v>
      </c>
      <c r="U359" s="269">
        <v>205</v>
      </c>
      <c r="V359" s="336">
        <f t="shared" si="223"/>
        <v>11.219512195121965</v>
      </c>
      <c r="W359" s="271">
        <v>219</v>
      </c>
      <c r="X359" s="272">
        <f t="shared" si="216"/>
        <v>4.1095890410958873</v>
      </c>
      <c r="Y359" s="231">
        <v>212</v>
      </c>
      <c r="Z359" s="273">
        <v>1.042</v>
      </c>
      <c r="AA359" s="274">
        <f>ROUND(W359*Z359,2)</f>
        <v>228.2</v>
      </c>
      <c r="AB359" s="275">
        <f>ROUND((P359+Q359)*1.2,2)</f>
        <v>199.5</v>
      </c>
      <c r="AC359" s="276">
        <f>ROUND((AA359/AB359)*100%-100%,4)</f>
        <v>0.1439</v>
      </c>
      <c r="AD359" s="277">
        <f t="shared" si="201"/>
        <v>28.70805</v>
      </c>
      <c r="AF359" s="235">
        <v>219.208</v>
      </c>
      <c r="AG359" s="106">
        <v>219</v>
      </c>
      <c r="AH359" s="281">
        <f t="shared" si="202"/>
        <v>9</v>
      </c>
      <c r="AI359" s="282">
        <v>2.7699999999999999E-2</v>
      </c>
      <c r="AJ359" s="283">
        <f t="shared" si="203"/>
        <v>28.70805</v>
      </c>
      <c r="AK359" s="284"/>
      <c r="AM359" s="222">
        <v>2.7699999999999999E-2</v>
      </c>
      <c r="AN359" s="285">
        <f t="shared" si="204"/>
        <v>2.7699999999999999E-2</v>
      </c>
      <c r="AO359" s="285">
        <v>0</v>
      </c>
      <c r="AQ359" s="286"/>
      <c r="AS359" s="222">
        <v>1.034</v>
      </c>
      <c r="AT359" s="337">
        <v>2.7699999999999999E-2</v>
      </c>
      <c r="AU359" s="285">
        <f t="shared" si="205"/>
        <v>8.0000000000000071E-3</v>
      </c>
      <c r="AW359" s="288">
        <f t="shared" si="206"/>
        <v>0.1162</v>
      </c>
      <c r="AX359" s="106">
        <v>219</v>
      </c>
      <c r="AY359" s="127" t="b">
        <f t="shared" si="207"/>
        <v>1</v>
      </c>
      <c r="AZ359" s="289">
        <f t="shared" si="208"/>
        <v>-2.9080000000000004</v>
      </c>
      <c r="BC359">
        <f t="shared" si="209"/>
        <v>1.0409999999999999</v>
      </c>
    </row>
    <row r="360" spans="1:55" ht="19.5" customHeight="1" x14ac:dyDescent="0.3">
      <c r="A360" s="737" t="s">
        <v>694</v>
      </c>
      <c r="B360" s="661" t="s">
        <v>27</v>
      </c>
      <c r="C360" s="660" t="s">
        <v>137</v>
      </c>
      <c r="D360" s="661" t="s">
        <v>328</v>
      </c>
      <c r="E360" s="168" t="s">
        <v>350</v>
      </c>
      <c r="F360" s="168">
        <f>VLOOKUP(E360,'[6]условия, ФОТ'!$A$14:$I$32,9, FALSE)</f>
        <v>180.5</v>
      </c>
      <c r="G360" s="168">
        <v>0.2</v>
      </c>
      <c r="H360" s="661">
        <f>ROUND(F360*G360+F361*G361,2)</f>
        <v>81.72</v>
      </c>
      <c r="I360" s="661">
        <f t="shared" si="218"/>
        <v>24.68</v>
      </c>
      <c r="J360" s="661">
        <f t="shared" si="230"/>
        <v>106.4</v>
      </c>
      <c r="K360" s="267"/>
      <c r="L360" s="168"/>
      <c r="M360" s="168"/>
      <c r="N360" s="168"/>
      <c r="O360" s="661">
        <f>ROUND('[6]расход ГСМ'!J4/4,2)</f>
        <v>117.71</v>
      </c>
      <c r="P360" s="661">
        <f>J360+O360</f>
        <v>224.11</v>
      </c>
      <c r="Q360" s="661">
        <f t="shared" si="221"/>
        <v>149.03</v>
      </c>
      <c r="R360" s="665">
        <f>ROUND(T360/1.2,2)</f>
        <v>388.33</v>
      </c>
      <c r="S360" s="665">
        <f t="shared" si="222"/>
        <v>77.67</v>
      </c>
      <c r="T360" s="665">
        <f>ROUND((P360+Q360)*(1+AC360)*1.2,0)</f>
        <v>466</v>
      </c>
      <c r="U360" s="666">
        <v>329</v>
      </c>
      <c r="V360" s="842">
        <f t="shared" si="223"/>
        <v>41.641337386018222</v>
      </c>
      <c r="W360" s="749">
        <v>351</v>
      </c>
      <c r="X360" s="679">
        <f t="shared" si="216"/>
        <v>32.763532763532766</v>
      </c>
      <c r="Y360" s="231">
        <v>339</v>
      </c>
      <c r="Z360" s="852">
        <v>1.329</v>
      </c>
      <c r="AA360" s="825">
        <f>ROUND(W360*Z360,2)</f>
        <v>466.48</v>
      </c>
      <c r="AB360" s="826">
        <f>ROUND((P360+Q360)*1.2,2)</f>
        <v>447.77</v>
      </c>
      <c r="AC360" s="848">
        <f>ROUND((AA360/AB360)*100%-100%,4)</f>
        <v>4.1799999999999997E-2</v>
      </c>
      <c r="AD360" s="681">
        <f t="shared" si="201"/>
        <v>18.716785999999999</v>
      </c>
      <c r="AF360" s="235">
        <v>350.52600000000001</v>
      </c>
      <c r="AG360" s="674">
        <v>351</v>
      </c>
      <c r="AH360" s="816">
        <f t="shared" si="202"/>
        <v>115</v>
      </c>
      <c r="AI360" s="817">
        <v>8.9800000000000005E-2</v>
      </c>
      <c r="AJ360" s="819">
        <f t="shared" si="203"/>
        <v>18.716785999999999</v>
      </c>
      <c r="AK360" s="284"/>
      <c r="AM360" s="715">
        <v>7.85E-2</v>
      </c>
      <c r="AN360" s="670">
        <f t="shared" si="204"/>
        <v>7.85E-2</v>
      </c>
      <c r="AO360" s="670">
        <v>0</v>
      </c>
      <c r="AQ360" s="676"/>
      <c r="AS360" s="715">
        <v>1.034</v>
      </c>
      <c r="AT360" s="717">
        <v>7.85E-2</v>
      </c>
      <c r="AU360" s="670">
        <f t="shared" si="205"/>
        <v>0.29499999999999993</v>
      </c>
      <c r="AW360" s="672">
        <f t="shared" si="206"/>
        <v>-3.6700000000000003E-2</v>
      </c>
      <c r="AX360" s="674">
        <v>351</v>
      </c>
      <c r="AY360" s="127" t="b">
        <f t="shared" si="207"/>
        <v>1</v>
      </c>
      <c r="AZ360" s="394">
        <f t="shared" si="208"/>
        <v>-23.350999999999999</v>
      </c>
      <c r="BC360">
        <f t="shared" si="209"/>
        <v>1.3280000000000001</v>
      </c>
    </row>
    <row r="361" spans="1:55" ht="24" customHeight="1" x14ac:dyDescent="0.3">
      <c r="A361" s="738"/>
      <c r="B361" s="661"/>
      <c r="C361" s="660"/>
      <c r="D361" s="661"/>
      <c r="E361" s="239" t="s">
        <v>349</v>
      </c>
      <c r="F361" s="168">
        <f>VLOOKUP(E361,'[6]условия, ФОТ'!$A$14:$I$32,9, FALSE)</f>
        <v>228.1</v>
      </c>
      <c r="G361" s="168">
        <v>0.2</v>
      </c>
      <c r="H361" s="661"/>
      <c r="I361" s="661"/>
      <c r="J361" s="661">
        <f t="shared" si="230"/>
        <v>0</v>
      </c>
      <c r="K361" s="267"/>
      <c r="L361" s="168"/>
      <c r="M361" s="168"/>
      <c r="N361" s="168"/>
      <c r="O361" s="661"/>
      <c r="P361" s="661"/>
      <c r="Q361" s="661"/>
      <c r="R361" s="665"/>
      <c r="S361" s="665"/>
      <c r="T361" s="665">
        <f>ROUND((P361+Q361)*(1+$R$5)*1.18,0)</f>
        <v>0</v>
      </c>
      <c r="U361" s="827"/>
      <c r="V361" s="842"/>
      <c r="W361" s="750"/>
      <c r="X361" s="679"/>
      <c r="Z361" s="853"/>
      <c r="AA361" s="825"/>
      <c r="AB361" s="826"/>
      <c r="AC361" s="849"/>
      <c r="AD361" s="682"/>
      <c r="AG361" s="674"/>
      <c r="AH361" s="816"/>
      <c r="AI361" s="818"/>
      <c r="AJ361" s="820"/>
      <c r="AK361" s="284"/>
      <c r="AM361" s="716"/>
      <c r="AN361" s="671"/>
      <c r="AO361" s="671"/>
      <c r="AQ361" s="677"/>
      <c r="AS361" s="716"/>
      <c r="AT361" s="718"/>
      <c r="AU361" s="671"/>
      <c r="AW361" s="673"/>
      <c r="AX361" s="674"/>
      <c r="AY361" s="127" t="b">
        <f t="shared" si="207"/>
        <v>1</v>
      </c>
      <c r="AZ361" s="289"/>
    </row>
    <row r="362" spans="1:55" ht="39.75" customHeight="1" x14ac:dyDescent="0.3">
      <c r="A362" s="396" t="s">
        <v>695</v>
      </c>
      <c r="B362" s="168" t="s">
        <v>27</v>
      </c>
      <c r="C362" s="265" t="s">
        <v>138</v>
      </c>
      <c r="D362" s="168" t="s">
        <v>311</v>
      </c>
      <c r="E362" s="168" t="s">
        <v>161</v>
      </c>
      <c r="F362" s="168">
        <f>VLOOKUP(E362,'[6]условия, ФОТ'!$A$14:$I$32,9, FALSE)</f>
        <v>180.5</v>
      </c>
      <c r="G362" s="168">
        <v>1.4</v>
      </c>
      <c r="H362" s="168">
        <f t="shared" si="229"/>
        <v>252.7</v>
      </c>
      <c r="I362" s="168">
        <f t="shared" si="218"/>
        <v>76.319999999999993</v>
      </c>
      <c r="J362" s="168">
        <f t="shared" si="230"/>
        <v>329.02</v>
      </c>
      <c r="K362" s="267"/>
      <c r="L362" s="168"/>
      <c r="M362" s="168"/>
      <c r="N362" s="168"/>
      <c r="O362" s="168"/>
      <c r="P362" s="168">
        <f t="shared" si="236"/>
        <v>329.02</v>
      </c>
      <c r="Q362" s="168">
        <f t="shared" si="221"/>
        <v>218.8</v>
      </c>
      <c r="R362" s="268">
        <f>ROUND(T362/1.2,2)</f>
        <v>590</v>
      </c>
      <c r="S362" s="268">
        <f>ROUND(R362*$S$5,2)</f>
        <v>118</v>
      </c>
      <c r="T362" s="268">
        <f>ROUND((P362+Q362)*(1+AC362)*1.2,0)</f>
        <v>708</v>
      </c>
      <c r="U362" s="269">
        <v>520</v>
      </c>
      <c r="V362" s="336">
        <f t="shared" si="223"/>
        <v>36.15384615384616</v>
      </c>
      <c r="W362" s="271">
        <v>679</v>
      </c>
      <c r="X362" s="272">
        <f t="shared" si="216"/>
        <v>4.2709867452135626</v>
      </c>
      <c r="Y362" s="231">
        <v>537</v>
      </c>
      <c r="Z362" s="273">
        <v>1.042</v>
      </c>
      <c r="AA362" s="274">
        <f>ROUND(W362*Z362,2)</f>
        <v>707.52</v>
      </c>
      <c r="AB362" s="275">
        <f>ROUND((P362+Q362)*1.2,2)</f>
        <v>657.38</v>
      </c>
      <c r="AC362" s="276">
        <f>ROUND((AA362/AB362)*100%-100%,4)</f>
        <v>7.6300000000000007E-2</v>
      </c>
      <c r="AD362" s="277">
        <f t="shared" si="201"/>
        <v>50.158094000000006</v>
      </c>
      <c r="AF362" s="235">
        <v>555.25800000000004</v>
      </c>
      <c r="AG362" s="106">
        <v>679</v>
      </c>
      <c r="AH362" s="281">
        <f t="shared" si="202"/>
        <v>29</v>
      </c>
      <c r="AI362" s="282">
        <v>4.9500000000000002E-2</v>
      </c>
      <c r="AJ362" s="283">
        <f t="shared" si="203"/>
        <v>50.158094000000006</v>
      </c>
      <c r="AK362" s="284"/>
      <c r="AM362" s="222">
        <v>-0.14219999999999999</v>
      </c>
      <c r="AN362" s="285">
        <f t="shared" si="204"/>
        <v>1.1421999999999999</v>
      </c>
      <c r="AO362" s="285">
        <v>1.181</v>
      </c>
      <c r="AQ362" s="286">
        <f t="shared" si="237"/>
        <v>801.9</v>
      </c>
      <c r="AS362" s="222">
        <v>1.034</v>
      </c>
      <c r="AT362" s="337">
        <v>-0.14219999999999999</v>
      </c>
      <c r="AU362" s="285">
        <f t="shared" si="205"/>
        <v>8.0000000000000071E-3</v>
      </c>
      <c r="AW362" s="288">
        <f t="shared" si="206"/>
        <v>0.2185</v>
      </c>
      <c r="AX362" s="106">
        <v>679</v>
      </c>
      <c r="AY362" s="127" t="b">
        <f t="shared" si="207"/>
        <v>1</v>
      </c>
      <c r="AZ362" s="289">
        <f t="shared" si="208"/>
        <v>-3.0579999999999998</v>
      </c>
      <c r="BC362">
        <f t="shared" si="209"/>
        <v>1.0429999999999999</v>
      </c>
    </row>
    <row r="363" spans="1:55" ht="43.5" customHeight="1" x14ac:dyDescent="0.3">
      <c r="A363" s="399" t="s">
        <v>696</v>
      </c>
      <c r="B363" s="168" t="s">
        <v>27</v>
      </c>
      <c r="C363" s="265" t="s">
        <v>139</v>
      </c>
      <c r="D363" s="168" t="s">
        <v>348</v>
      </c>
      <c r="E363" s="239" t="s">
        <v>163</v>
      </c>
      <c r="F363" s="168">
        <f>VLOOKUP(E363,'[6]условия, ФОТ'!$A$14:$I$32,9, FALSE)</f>
        <v>225.56</v>
      </c>
      <c r="G363" s="168">
        <v>0.5</v>
      </c>
      <c r="H363" s="168">
        <f t="shared" si="229"/>
        <v>112.78</v>
      </c>
      <c r="I363" s="168">
        <f t="shared" si="218"/>
        <v>34.06</v>
      </c>
      <c r="J363" s="168">
        <f t="shared" si="230"/>
        <v>146.84</v>
      </c>
      <c r="K363" s="267"/>
      <c r="L363" s="168"/>
      <c r="M363" s="168"/>
      <c r="N363" s="168"/>
      <c r="O363" s="168"/>
      <c r="P363" s="168">
        <f t="shared" si="236"/>
        <v>146.84</v>
      </c>
      <c r="Q363" s="168">
        <f t="shared" si="221"/>
        <v>97.65</v>
      </c>
      <c r="R363" s="268">
        <f>ROUND(T363/1.2,2)</f>
        <v>280</v>
      </c>
      <c r="S363" s="268">
        <f>ROUND(R363*$S$5,2)</f>
        <v>56</v>
      </c>
      <c r="T363" s="268">
        <f>ROUND((P363+Q363)*(1+AC363)*1.2,0)</f>
        <v>336</v>
      </c>
      <c r="U363" s="269">
        <v>302</v>
      </c>
      <c r="V363" s="336">
        <f t="shared" si="223"/>
        <v>11.258278145695357</v>
      </c>
      <c r="W363" s="271">
        <v>322</v>
      </c>
      <c r="X363" s="272">
        <f t="shared" si="216"/>
        <v>4.3478260869565162</v>
      </c>
      <c r="Y363" s="231">
        <v>311</v>
      </c>
      <c r="Z363" s="273">
        <v>1.042</v>
      </c>
      <c r="AA363" s="274">
        <f>ROUND(W363*Z363,2)</f>
        <v>335.52</v>
      </c>
      <c r="AB363" s="275">
        <f>ROUND((P363+Q363)*1.2,2)</f>
        <v>293.39</v>
      </c>
      <c r="AC363" s="276">
        <f>ROUND((AA363/AB363)*100%-100%,4)</f>
        <v>0.14360000000000001</v>
      </c>
      <c r="AD363" s="277">
        <f t="shared" si="201"/>
        <v>42.130803999999998</v>
      </c>
      <c r="AF363" s="235">
        <v>321.57400000000001</v>
      </c>
      <c r="AG363" s="106">
        <v>322</v>
      </c>
      <c r="AH363" s="281">
        <f t="shared" si="202"/>
        <v>14</v>
      </c>
      <c r="AI363" s="282">
        <v>2.52E-2</v>
      </c>
      <c r="AJ363" s="283">
        <f t="shared" si="203"/>
        <v>42.130803999999998</v>
      </c>
      <c r="AK363" s="284"/>
      <c r="AM363" s="222">
        <v>2.52E-2</v>
      </c>
      <c r="AN363" s="285">
        <f t="shared" si="204"/>
        <v>2.52E-2</v>
      </c>
      <c r="AO363" s="285">
        <v>0</v>
      </c>
      <c r="AQ363" s="286"/>
      <c r="AS363" s="222">
        <v>1.034</v>
      </c>
      <c r="AT363" s="337">
        <v>2.52E-2</v>
      </c>
      <c r="AU363" s="285">
        <f t="shared" si="205"/>
        <v>8.0000000000000071E-3</v>
      </c>
      <c r="AW363" s="288">
        <f t="shared" si="206"/>
        <v>0.11840000000000001</v>
      </c>
      <c r="AX363" s="106">
        <v>322</v>
      </c>
      <c r="AY363" s="127" t="b">
        <f t="shared" si="207"/>
        <v>1</v>
      </c>
      <c r="AZ363" s="289">
        <f t="shared" si="208"/>
        <v>-3.1280000000000001</v>
      </c>
      <c r="BC363">
        <f t="shared" si="209"/>
        <v>1.0429999999999999</v>
      </c>
    </row>
    <row r="364" spans="1:55" ht="66.75" customHeight="1" x14ac:dyDescent="0.3">
      <c r="A364" s="396" t="s">
        <v>697</v>
      </c>
      <c r="B364" s="168" t="s">
        <v>27</v>
      </c>
      <c r="C364" s="265" t="s">
        <v>314</v>
      </c>
      <c r="D364" s="168" t="s">
        <v>18</v>
      </c>
      <c r="E364" s="168" t="s">
        <v>161</v>
      </c>
      <c r="F364" s="168">
        <f>VLOOKUP(E364,'[6]условия, ФОТ'!$A$14:$I$32,9, FALSE)</f>
        <v>180.5</v>
      </c>
      <c r="G364" s="168">
        <v>1.4</v>
      </c>
      <c r="H364" s="168">
        <f t="shared" si="229"/>
        <v>252.7</v>
      </c>
      <c r="I364" s="168">
        <f t="shared" si="218"/>
        <v>76.319999999999993</v>
      </c>
      <c r="J364" s="168">
        <f t="shared" si="230"/>
        <v>329.02</v>
      </c>
      <c r="K364" s="267"/>
      <c r="L364" s="168"/>
      <c r="M364" s="168"/>
      <c r="N364" s="168"/>
      <c r="O364" s="168"/>
      <c r="P364" s="168">
        <f t="shared" si="236"/>
        <v>329.02</v>
      </c>
      <c r="Q364" s="168">
        <f t="shared" si="221"/>
        <v>218.8</v>
      </c>
      <c r="R364" s="268">
        <f>ROUND(T364/1.2,2)</f>
        <v>590</v>
      </c>
      <c r="S364" s="268">
        <f>ROUND(R364*$S$5,2)</f>
        <v>118</v>
      </c>
      <c r="T364" s="268">
        <f>ROUND((P364+Q364)*(1+AC364)*1.2,0)</f>
        <v>708</v>
      </c>
      <c r="U364" s="269">
        <v>520</v>
      </c>
      <c r="V364" s="336">
        <f t="shared" si="223"/>
        <v>36.15384615384616</v>
      </c>
      <c r="W364" s="271">
        <v>679</v>
      </c>
      <c r="X364" s="272">
        <f t="shared" si="216"/>
        <v>4.2709867452135626</v>
      </c>
      <c r="Y364" s="231">
        <v>537</v>
      </c>
      <c r="Z364" s="400">
        <v>1.042</v>
      </c>
      <c r="AA364" s="274">
        <f>ROUND(W364*Z364,2)</f>
        <v>707.52</v>
      </c>
      <c r="AB364" s="275">
        <f>ROUND((P364+Q364)*1.2,2)</f>
        <v>657.38</v>
      </c>
      <c r="AC364" s="276">
        <f>ROUND((AA364/AB364)*100%-100%,4)</f>
        <v>7.6300000000000007E-2</v>
      </c>
      <c r="AD364" s="277">
        <f t="shared" si="201"/>
        <v>50.158094000000006</v>
      </c>
      <c r="AF364" s="235">
        <v>555.25800000000004</v>
      </c>
      <c r="AG364" s="106">
        <v>679</v>
      </c>
      <c r="AH364" s="281">
        <f t="shared" si="202"/>
        <v>29</v>
      </c>
      <c r="AI364" s="282">
        <v>4.9500000000000002E-2</v>
      </c>
      <c r="AJ364" s="283">
        <f t="shared" si="203"/>
        <v>50.158094000000006</v>
      </c>
      <c r="AK364" s="284"/>
      <c r="AM364" s="222">
        <v>-0.14219999999999999</v>
      </c>
      <c r="AN364" s="285">
        <f t="shared" si="204"/>
        <v>1.1421999999999999</v>
      </c>
      <c r="AO364" s="285">
        <v>1.181</v>
      </c>
      <c r="AQ364" s="286">
        <f t="shared" si="237"/>
        <v>801.9</v>
      </c>
      <c r="AS364" s="222">
        <v>1.034</v>
      </c>
      <c r="AT364" s="337">
        <v>-0.14219999999999999</v>
      </c>
      <c r="AU364" s="285">
        <f t="shared" si="205"/>
        <v>8.0000000000000071E-3</v>
      </c>
      <c r="AW364" s="288">
        <f t="shared" si="206"/>
        <v>0.2185</v>
      </c>
      <c r="AX364" s="106">
        <v>679</v>
      </c>
      <c r="AY364" s="127" t="b">
        <f t="shared" si="207"/>
        <v>1</v>
      </c>
      <c r="AZ364" s="289">
        <f t="shared" si="208"/>
        <v>-3.0579999999999998</v>
      </c>
      <c r="BC364">
        <f t="shared" si="209"/>
        <v>1.0429999999999999</v>
      </c>
    </row>
    <row r="365" spans="1:55" ht="8.25" customHeight="1" x14ac:dyDescent="0.3">
      <c r="A365" s="401"/>
      <c r="B365" s="228"/>
      <c r="C365" s="229"/>
      <c r="D365" s="228"/>
      <c r="E365" s="228"/>
      <c r="F365" s="228"/>
      <c r="G365" s="228"/>
      <c r="H365" s="228"/>
      <c r="I365" s="228"/>
      <c r="J365" s="228"/>
      <c r="K365" s="229"/>
      <c r="L365" s="230"/>
      <c r="M365" s="230"/>
      <c r="N365" s="230"/>
      <c r="O365" s="230"/>
      <c r="P365" s="228"/>
      <c r="Q365" s="228"/>
      <c r="R365" s="238"/>
      <c r="S365" s="238"/>
      <c r="T365" s="238"/>
      <c r="X365" s="402"/>
      <c r="AD365" s="277"/>
    </row>
    <row r="366" spans="1:55" ht="16.5" customHeight="1" x14ac:dyDescent="0.3">
      <c r="A366" s="401"/>
      <c r="B366" s="739" t="s">
        <v>573</v>
      </c>
      <c r="C366" s="739"/>
      <c r="D366" s="228"/>
      <c r="E366" s="228"/>
      <c r="F366" s="228"/>
      <c r="G366" s="228"/>
      <c r="H366" s="228"/>
      <c r="I366" s="228"/>
      <c r="J366" s="228"/>
      <c r="K366" s="229"/>
      <c r="L366" s="230"/>
      <c r="M366" s="230"/>
      <c r="N366" s="230"/>
      <c r="O366" s="230"/>
      <c r="P366" s="228"/>
      <c r="Q366" s="228"/>
      <c r="R366" s="238"/>
      <c r="S366" s="238"/>
      <c r="T366" s="238"/>
      <c r="W366" s="405">
        <f>SUM(W8:W364)</f>
        <v>70028</v>
      </c>
      <c r="X366" s="236"/>
      <c r="Y366" s="231">
        <f>SUM(Y8:Y365)</f>
        <v>61545</v>
      </c>
      <c r="Z366" s="58"/>
      <c r="AA366" s="233">
        <f>ROUND(SUM(AA8:AA364),2)</f>
        <v>74863.8</v>
      </c>
      <c r="AB366" s="233">
        <f>ROUND(SUM(AB8:AB364),2)</f>
        <v>68727.48</v>
      </c>
      <c r="AD366" s="406">
        <f>SUM(AD8:AD364)</f>
        <v>6136.0249060000006</v>
      </c>
      <c r="AF366" s="403">
        <f>SUM(AF8:AF364)</f>
        <v>64122.476000000031</v>
      </c>
      <c r="AG366" s="406">
        <f>SUM(AG8:AG364)</f>
        <v>70028</v>
      </c>
      <c r="AH366" s="407">
        <f>SUM(AH8:AH365)</f>
        <v>4832</v>
      </c>
      <c r="AI366" s="408"/>
      <c r="AJ366" s="140"/>
      <c r="AK366" s="140"/>
      <c r="AS366" s="409">
        <f>SUM(AS8:AS364)</f>
        <v>165.44000000000003</v>
      </c>
      <c r="AT366" s="410">
        <f>SUM(AT8:AT364)</f>
        <v>-4.1042999999999976</v>
      </c>
      <c r="AU366" s="409">
        <f>SUM(AU8:AU364)</f>
        <v>5.5570000000000004</v>
      </c>
      <c r="AW366" s="411">
        <f>SUM(AW8:AW364)</f>
        <v>18.316700000000008</v>
      </c>
      <c r="AX366" s="412">
        <f>SUM(AX8:AX364)</f>
        <v>70028</v>
      </c>
    </row>
    <row r="367" spans="1:55" ht="30" customHeight="1" x14ac:dyDescent="0.3">
      <c r="A367" s="740" t="s">
        <v>572</v>
      </c>
      <c r="B367" s="740"/>
      <c r="C367" s="740"/>
      <c r="D367" s="740"/>
      <c r="E367" s="740"/>
      <c r="F367" s="740"/>
      <c r="G367" s="740"/>
      <c r="H367" s="740"/>
      <c r="I367" s="740"/>
      <c r="J367" s="740"/>
      <c r="K367" s="740"/>
      <c r="L367" s="740"/>
      <c r="M367" s="740"/>
      <c r="N367" s="740"/>
      <c r="O367" s="740"/>
      <c r="P367" s="740"/>
      <c r="Q367" s="740"/>
      <c r="R367" s="740"/>
      <c r="S367" s="740"/>
      <c r="T367" s="740"/>
      <c r="W367" s="413">
        <v>-1257</v>
      </c>
      <c r="X367" s="414" t="s">
        <v>698</v>
      </c>
      <c r="Z367" s="233"/>
      <c r="AA367" s="415">
        <f>T372-AA366</f>
        <v>-3.8000000000029104</v>
      </c>
    </row>
    <row r="368" spans="1:55" ht="38.25" customHeight="1" x14ac:dyDescent="0.3">
      <c r="A368" s="401"/>
      <c r="B368" s="228"/>
      <c r="C368" s="416" t="s">
        <v>561</v>
      </c>
      <c r="D368" s="417"/>
      <c r="E368" s="417"/>
      <c r="F368" s="417"/>
      <c r="G368" s="417" t="s">
        <v>562</v>
      </c>
      <c r="H368" s="417"/>
      <c r="I368" s="417" t="s">
        <v>563</v>
      </c>
      <c r="J368" s="417"/>
      <c r="K368" s="229"/>
      <c r="L368" s="230"/>
      <c r="M368" s="230"/>
      <c r="N368" s="230"/>
      <c r="O368" s="230"/>
      <c r="P368" s="228"/>
      <c r="Q368" s="228"/>
      <c r="R368" s="238"/>
      <c r="S368" s="238"/>
      <c r="T368" s="238"/>
      <c r="W368" s="418">
        <f>W366+W367</f>
        <v>68771</v>
      </c>
      <c r="X368" s="236"/>
      <c r="Z368" s="233"/>
      <c r="AA368" s="419"/>
      <c r="AB368" s="56">
        <f>AA366-AB366</f>
        <v>6136.320000000007</v>
      </c>
      <c r="AW368" s="404">
        <v>8.8387999999999991</v>
      </c>
    </row>
    <row r="369" spans="1:31" ht="9" customHeight="1" x14ac:dyDescent="0.3">
      <c r="A369" s="401"/>
      <c r="B369" s="371"/>
      <c r="C369" s="416"/>
      <c r="D369" s="417"/>
      <c r="E369" s="417"/>
      <c r="F369" s="417"/>
      <c r="G369" s="417"/>
      <c r="H369" s="417"/>
      <c r="I369" s="417"/>
      <c r="J369" s="417"/>
      <c r="K369" s="229"/>
      <c r="L369" s="420"/>
      <c r="M369" s="420"/>
      <c r="N369" s="420"/>
      <c r="O369" s="420"/>
      <c r="P369" s="371"/>
      <c r="Q369" s="371"/>
      <c r="R369" s="421"/>
      <c r="S369" s="421"/>
      <c r="T369" s="421"/>
      <c r="Z369" s="233"/>
    </row>
    <row r="370" spans="1:31" ht="30.75" customHeight="1" x14ac:dyDescent="0.3">
      <c r="A370" s="401"/>
      <c r="B370" s="371"/>
      <c r="C370" s="416" t="s">
        <v>564</v>
      </c>
      <c r="D370" s="417"/>
      <c r="E370" s="417"/>
      <c r="F370" s="417"/>
      <c r="G370" s="417" t="s">
        <v>562</v>
      </c>
      <c r="H370" s="417"/>
      <c r="I370" s="417" t="s">
        <v>565</v>
      </c>
      <c r="J370" s="417"/>
      <c r="K370" s="229"/>
      <c r="L370" s="420"/>
      <c r="M370" s="420"/>
      <c r="N370" s="420"/>
      <c r="O370" s="420"/>
      <c r="P370" s="371"/>
      <c r="Q370" s="371"/>
      <c r="R370" s="421"/>
      <c r="S370" s="421"/>
      <c r="T370" s="421"/>
      <c r="Z370" s="233"/>
    </row>
    <row r="371" spans="1:31" x14ac:dyDescent="0.3">
      <c r="A371" s="401"/>
      <c r="B371" s="371"/>
      <c r="C371" s="229"/>
      <c r="D371" s="228"/>
      <c r="E371" s="228"/>
      <c r="F371" s="228"/>
      <c r="G371" s="228"/>
      <c r="H371" s="228"/>
      <c r="I371" s="228"/>
      <c r="J371" s="228"/>
      <c r="K371" s="229"/>
      <c r="L371" s="420"/>
      <c r="M371" s="420"/>
      <c r="N371" s="420"/>
      <c r="O371" s="420"/>
      <c r="P371" s="371"/>
      <c r="Q371" s="371"/>
      <c r="R371" s="421"/>
      <c r="S371" s="421"/>
      <c r="T371" s="421"/>
      <c r="Z371" s="233"/>
    </row>
    <row r="372" spans="1:31" x14ac:dyDescent="0.3">
      <c r="C372" s="108"/>
      <c r="D372" s="77"/>
      <c r="E372" s="77"/>
      <c r="F372" s="77"/>
      <c r="G372" s="77"/>
      <c r="H372" s="77"/>
      <c r="I372" s="77"/>
      <c r="J372" s="77"/>
      <c r="K372" s="108"/>
      <c r="R372" s="422">
        <f>SUM(R8:R364)</f>
        <v>62383.27000000004</v>
      </c>
      <c r="S372" s="423">
        <f>SUM(S8:S364)</f>
        <v>12476.730000000001</v>
      </c>
      <c r="T372" s="423">
        <f>SUM(T8:T364)</f>
        <v>74860</v>
      </c>
      <c r="W372" s="424">
        <f>R372+S372</f>
        <v>74860.000000000044</v>
      </c>
      <c r="X372" s="425"/>
      <c r="Y372" s="426"/>
      <c r="Z372" s="427"/>
      <c r="AB372" s="428">
        <f>T372-W366</f>
        <v>4832</v>
      </c>
      <c r="AC372" s="429" t="s">
        <v>699</v>
      </c>
      <c r="AD372" s="430"/>
      <c r="AE372" s="431"/>
    </row>
    <row r="373" spans="1:31" x14ac:dyDescent="0.3">
      <c r="AB373" s="424">
        <f>T372-W368</f>
        <v>6089</v>
      </c>
    </row>
    <row r="374" spans="1:31" x14ac:dyDescent="0.3">
      <c r="T374" s="421">
        <f>T372/120*20</f>
        <v>12476.666666666668</v>
      </c>
      <c r="W374" s="56" t="s">
        <v>700</v>
      </c>
    </row>
    <row r="375" spans="1:31" hidden="1" x14ac:dyDescent="0.3">
      <c r="T375" s="432">
        <v>64130</v>
      </c>
      <c r="W375" s="56" t="s">
        <v>701</v>
      </c>
      <c r="AA375" s="233">
        <v>64122.500000000015</v>
      </c>
      <c r="AB375" s="56" t="s">
        <v>702</v>
      </c>
      <c r="AC375" s="234">
        <v>-4.1042999999999976</v>
      </c>
      <c r="AD375" s="235">
        <v>-111.60674000000024</v>
      </c>
    </row>
    <row r="376" spans="1:31" hidden="1" x14ac:dyDescent="0.3">
      <c r="T376" s="432">
        <f>T372-T375</f>
        <v>10730</v>
      </c>
      <c r="AA376" s="233">
        <v>66883.679999999993</v>
      </c>
      <c r="AB376" s="56" t="s">
        <v>703</v>
      </c>
      <c r="AC376" s="234">
        <v>4.7345000000000033</v>
      </c>
      <c r="AD376" s="235">
        <v>2649.64</v>
      </c>
    </row>
    <row r="377" spans="1:31" hidden="1" x14ac:dyDescent="0.3">
      <c r="AA377" s="233">
        <f>AA376-AA375</f>
        <v>2761.1799999999785</v>
      </c>
      <c r="AB377" s="56" t="s">
        <v>704</v>
      </c>
      <c r="AC377" s="433">
        <f>-(AC375)+AC376</f>
        <v>8.8388000000000009</v>
      </c>
    </row>
    <row r="383" spans="1:31" x14ac:dyDescent="0.3">
      <c r="AC383" s="434">
        <f>ROUND(T372/W366*100%-100%,4)</f>
        <v>6.9000000000000006E-2</v>
      </c>
      <c r="AD383" s="235" t="s">
        <v>705</v>
      </c>
    </row>
    <row r="384" spans="1:31" x14ac:dyDescent="0.3">
      <c r="W384" s="424"/>
    </row>
  </sheetData>
  <mergeCells count="829">
    <mergeCell ref="AU360:AU361"/>
    <mergeCell ref="AW360:AW361"/>
    <mergeCell ref="AX360:AX361"/>
    <mergeCell ref="B366:C366"/>
    <mergeCell ref="A367:T367"/>
    <mergeCell ref="AM360:AM361"/>
    <mergeCell ref="AN360:AN361"/>
    <mergeCell ref="AO360:AO361"/>
    <mergeCell ref="AQ360:AQ361"/>
    <mergeCell ref="AS360:AS361"/>
    <mergeCell ref="AT360:AT361"/>
    <mergeCell ref="AC360:AC361"/>
    <mergeCell ref="AD360:AD361"/>
    <mergeCell ref="AG360:AG361"/>
    <mergeCell ref="AH360:AH361"/>
    <mergeCell ref="AI360:AI361"/>
    <mergeCell ref="AJ360:AJ361"/>
    <mergeCell ref="V360:V361"/>
    <mergeCell ref="W360:W361"/>
    <mergeCell ref="X360:X361"/>
    <mergeCell ref="Z360:Z361"/>
    <mergeCell ref="AA360:AA361"/>
    <mergeCell ref="AB360:AB361"/>
    <mergeCell ref="P360:P361"/>
    <mergeCell ref="Q360:Q361"/>
    <mergeCell ref="R360:R361"/>
    <mergeCell ref="S360:S361"/>
    <mergeCell ref="T360:T361"/>
    <mergeCell ref="U360:U361"/>
    <mergeCell ref="AW357:AW358"/>
    <mergeCell ref="AX357:AX358"/>
    <mergeCell ref="A360:A361"/>
    <mergeCell ref="B360:B361"/>
    <mergeCell ref="C360:C361"/>
    <mergeCell ref="D360:D361"/>
    <mergeCell ref="H360:H361"/>
    <mergeCell ref="I360:I361"/>
    <mergeCell ref="J360:J361"/>
    <mergeCell ref="O360:O361"/>
    <mergeCell ref="AN357:AN358"/>
    <mergeCell ref="AO357:AO358"/>
    <mergeCell ref="AQ357:AQ358"/>
    <mergeCell ref="AS357:AS358"/>
    <mergeCell ref="AT357:AT358"/>
    <mergeCell ref="AU357:AU358"/>
    <mergeCell ref="AD357:AD358"/>
    <mergeCell ref="AG357:AG358"/>
    <mergeCell ref="AH357:AH358"/>
    <mergeCell ref="AI357:AI358"/>
    <mergeCell ref="AJ357:AJ358"/>
    <mergeCell ref="AM357:AM358"/>
    <mergeCell ref="W357:W358"/>
    <mergeCell ref="X357:X358"/>
    <mergeCell ref="Z357:Z358"/>
    <mergeCell ref="AA357:AA358"/>
    <mergeCell ref="AB357:AB358"/>
    <mergeCell ref="AC357:AC358"/>
    <mergeCell ref="Q357:Q358"/>
    <mergeCell ref="R357:R358"/>
    <mergeCell ref="S357:S358"/>
    <mergeCell ref="T357:T358"/>
    <mergeCell ref="U357:U358"/>
    <mergeCell ref="V357:V358"/>
    <mergeCell ref="AX341:AX342"/>
    <mergeCell ref="A347:T347"/>
    <mergeCell ref="A357:A358"/>
    <mergeCell ref="B357:B358"/>
    <mergeCell ref="C357:C358"/>
    <mergeCell ref="D357:D358"/>
    <mergeCell ref="H357:H358"/>
    <mergeCell ref="I357:I358"/>
    <mergeCell ref="J357:J358"/>
    <mergeCell ref="P357:P358"/>
    <mergeCell ref="AO341:AO342"/>
    <mergeCell ref="AQ341:AQ342"/>
    <mergeCell ref="AS341:AS342"/>
    <mergeCell ref="AT341:AT342"/>
    <mergeCell ref="AU341:AU342"/>
    <mergeCell ref="AW341:AW342"/>
    <mergeCell ref="AG341:AG342"/>
    <mergeCell ref="AH341:AH342"/>
    <mergeCell ref="AI341:AI342"/>
    <mergeCell ref="AJ341:AJ342"/>
    <mergeCell ref="AM341:AM342"/>
    <mergeCell ref="AN341:AN342"/>
    <mergeCell ref="X341:X342"/>
    <mergeCell ref="Z341:Z342"/>
    <mergeCell ref="AA341:AA342"/>
    <mergeCell ref="AB341:AB342"/>
    <mergeCell ref="AC341:AC342"/>
    <mergeCell ref="AD341:AD342"/>
    <mergeCell ref="R341:R342"/>
    <mergeCell ref="S341:S342"/>
    <mergeCell ref="T341:T342"/>
    <mergeCell ref="U341:U342"/>
    <mergeCell ref="V341:V342"/>
    <mergeCell ref="W341:W342"/>
    <mergeCell ref="A338:Q338"/>
    <mergeCell ref="A341:A342"/>
    <mergeCell ref="B341:B342"/>
    <mergeCell ref="C341:C342"/>
    <mergeCell ref="D341:D342"/>
    <mergeCell ref="H341:H342"/>
    <mergeCell ref="I341:I342"/>
    <mergeCell ref="J341:J342"/>
    <mergeCell ref="P341:P342"/>
    <mergeCell ref="Q341:Q342"/>
    <mergeCell ref="AS323:AS324"/>
    <mergeCell ref="AT323:AT324"/>
    <mergeCell ref="AU323:AU324"/>
    <mergeCell ref="AW323:AW324"/>
    <mergeCell ref="AX323:AX324"/>
    <mergeCell ref="AY323:AY324"/>
    <mergeCell ref="AH323:AH324"/>
    <mergeCell ref="AI323:AI324"/>
    <mergeCell ref="AJ323:AJ324"/>
    <mergeCell ref="AM323:AM324"/>
    <mergeCell ref="AN323:AN324"/>
    <mergeCell ref="AO323:AO324"/>
    <mergeCell ref="AA323:AA324"/>
    <mergeCell ref="AB323:AB324"/>
    <mergeCell ref="AC323:AC324"/>
    <mergeCell ref="AD323:AD324"/>
    <mergeCell ref="AE323:AE324"/>
    <mergeCell ref="AG323:AG324"/>
    <mergeCell ref="T323:T324"/>
    <mergeCell ref="U323:U324"/>
    <mergeCell ref="V323:V324"/>
    <mergeCell ref="W323:W324"/>
    <mergeCell ref="X323:X324"/>
    <mergeCell ref="Z323:Z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AT320:AT321"/>
    <mergeCell ref="AU320:AU321"/>
    <mergeCell ref="AW320:AW321"/>
    <mergeCell ref="AX320:AX321"/>
    <mergeCell ref="AY320:AY321"/>
    <mergeCell ref="A323:A324"/>
    <mergeCell ref="B323:B324"/>
    <mergeCell ref="C323:C324"/>
    <mergeCell ref="D323:D324"/>
    <mergeCell ref="G323:G324"/>
    <mergeCell ref="AI320:AI321"/>
    <mergeCell ref="AJ320:AJ321"/>
    <mergeCell ref="AM320:AM321"/>
    <mergeCell ref="AN320:AN321"/>
    <mergeCell ref="AO320:AO321"/>
    <mergeCell ref="AS320:AS321"/>
    <mergeCell ref="AB320:AB321"/>
    <mergeCell ref="AC320:AC321"/>
    <mergeCell ref="AD320:AD321"/>
    <mergeCell ref="AE320:AE321"/>
    <mergeCell ref="AG320:AG321"/>
    <mergeCell ref="AH320:AH321"/>
    <mergeCell ref="U320:U321"/>
    <mergeCell ref="V320:V321"/>
    <mergeCell ref="W320:W321"/>
    <mergeCell ref="X320:X321"/>
    <mergeCell ref="Z320:Z321"/>
    <mergeCell ref="AA320:AA321"/>
    <mergeCell ref="O320:O321"/>
    <mergeCell ref="P320:P321"/>
    <mergeCell ref="Q320:Q321"/>
    <mergeCell ref="R320:R321"/>
    <mergeCell ref="S320:S321"/>
    <mergeCell ref="T320:T321"/>
    <mergeCell ref="I320:I321"/>
    <mergeCell ref="J320:J321"/>
    <mergeCell ref="K320:K321"/>
    <mergeCell ref="L320:L321"/>
    <mergeCell ref="M320:M321"/>
    <mergeCell ref="N320:N321"/>
    <mergeCell ref="A320:A321"/>
    <mergeCell ref="B320:B321"/>
    <mergeCell ref="C320:C321"/>
    <mergeCell ref="D320:D321"/>
    <mergeCell ref="G320:G321"/>
    <mergeCell ref="H320:H321"/>
    <mergeCell ref="AS312:AS313"/>
    <mergeCell ref="AT312:AT313"/>
    <mergeCell ref="AU312:AU313"/>
    <mergeCell ref="AW312:AW313"/>
    <mergeCell ref="AX312:AX313"/>
    <mergeCell ref="AY312:AY313"/>
    <mergeCell ref="AH312:AH313"/>
    <mergeCell ref="AI312:AI313"/>
    <mergeCell ref="AJ312:AJ313"/>
    <mergeCell ref="AM312:AM313"/>
    <mergeCell ref="AN312:AN313"/>
    <mergeCell ref="AO312:AO313"/>
    <mergeCell ref="AA312:AA313"/>
    <mergeCell ref="AB312:AB313"/>
    <mergeCell ref="AC312:AC313"/>
    <mergeCell ref="AD312:AD313"/>
    <mergeCell ref="AE312:AE313"/>
    <mergeCell ref="AG312:AG313"/>
    <mergeCell ref="T312:T313"/>
    <mergeCell ref="U312:U313"/>
    <mergeCell ref="V312:V313"/>
    <mergeCell ref="W312:W313"/>
    <mergeCell ref="X312:X313"/>
    <mergeCell ref="Z312:Z313"/>
    <mergeCell ref="N312:N313"/>
    <mergeCell ref="O312:O313"/>
    <mergeCell ref="P312:P313"/>
    <mergeCell ref="Q312:Q313"/>
    <mergeCell ref="R312:R313"/>
    <mergeCell ref="S312:S313"/>
    <mergeCell ref="H312:H313"/>
    <mergeCell ref="I312:I313"/>
    <mergeCell ref="J312:J313"/>
    <mergeCell ref="K312:K313"/>
    <mergeCell ref="L312:L313"/>
    <mergeCell ref="M312:M313"/>
    <mergeCell ref="AT304:AT305"/>
    <mergeCell ref="AU304:AU305"/>
    <mergeCell ref="AW304:AW305"/>
    <mergeCell ref="AX304:AX305"/>
    <mergeCell ref="AY304:AY305"/>
    <mergeCell ref="A312:A313"/>
    <mergeCell ref="B312:B313"/>
    <mergeCell ref="C312:C313"/>
    <mergeCell ref="D312:D313"/>
    <mergeCell ref="G312:G313"/>
    <mergeCell ref="AJ304:AJ305"/>
    <mergeCell ref="AM304:AM305"/>
    <mergeCell ref="AN304:AN305"/>
    <mergeCell ref="AO304:AO305"/>
    <mergeCell ref="AQ304:AQ305"/>
    <mergeCell ref="AS304:AS305"/>
    <mergeCell ref="AB304:AB305"/>
    <mergeCell ref="AC304:AC305"/>
    <mergeCell ref="AD304:AD305"/>
    <mergeCell ref="AG304:AG305"/>
    <mergeCell ref="AH304:AH305"/>
    <mergeCell ref="AI304:AI305"/>
    <mergeCell ref="U304:U305"/>
    <mergeCell ref="V304:V305"/>
    <mergeCell ref="W304:W305"/>
    <mergeCell ref="X304:X305"/>
    <mergeCell ref="Z304:Z305"/>
    <mergeCell ref="AA304:AA305"/>
    <mergeCell ref="O304:O305"/>
    <mergeCell ref="P304:P305"/>
    <mergeCell ref="Q304:Q305"/>
    <mergeCell ref="R304:R305"/>
    <mergeCell ref="S304:S305"/>
    <mergeCell ref="T304:T305"/>
    <mergeCell ref="I304:I305"/>
    <mergeCell ref="J304:J305"/>
    <mergeCell ref="K304:K305"/>
    <mergeCell ref="L304:L305"/>
    <mergeCell ref="M304:M305"/>
    <mergeCell ref="N304:N305"/>
    <mergeCell ref="AW234:AW235"/>
    <mergeCell ref="AX234:AX235"/>
    <mergeCell ref="AY234:AY235"/>
    <mergeCell ref="A294:Q294"/>
    <mergeCell ref="A304:A305"/>
    <mergeCell ref="B304:B305"/>
    <mergeCell ref="C304:C305"/>
    <mergeCell ref="D304:D305"/>
    <mergeCell ref="G304:G305"/>
    <mergeCell ref="H304:H305"/>
    <mergeCell ref="AN234:AN235"/>
    <mergeCell ref="AO234:AO235"/>
    <mergeCell ref="AQ234:AQ235"/>
    <mergeCell ref="AS234:AS235"/>
    <mergeCell ref="AT234:AT235"/>
    <mergeCell ref="AU234:AU235"/>
    <mergeCell ref="AD234:AD235"/>
    <mergeCell ref="AG234:AG235"/>
    <mergeCell ref="AH234:AH235"/>
    <mergeCell ref="AI234:AI235"/>
    <mergeCell ref="AJ234:AJ235"/>
    <mergeCell ref="AM234:AM235"/>
    <mergeCell ref="W234:W235"/>
    <mergeCell ref="X234:X235"/>
    <mergeCell ref="Z234:Z235"/>
    <mergeCell ref="AA234:AA235"/>
    <mergeCell ref="AB234:AB235"/>
    <mergeCell ref="AC234:AC235"/>
    <mergeCell ref="Q234:Q235"/>
    <mergeCell ref="R234:R235"/>
    <mergeCell ref="S234:S235"/>
    <mergeCell ref="T234:T235"/>
    <mergeCell ref="U234:U235"/>
    <mergeCell ref="V234:V235"/>
    <mergeCell ref="K234:K235"/>
    <mergeCell ref="L234:L235"/>
    <mergeCell ref="M234:M235"/>
    <mergeCell ref="N234:N235"/>
    <mergeCell ref="O234:O235"/>
    <mergeCell ref="P234:P235"/>
    <mergeCell ref="AW225:AW226"/>
    <mergeCell ref="AX225:AX226"/>
    <mergeCell ref="AY225:AY226"/>
    <mergeCell ref="A234:A235"/>
    <mergeCell ref="B234:B235"/>
    <mergeCell ref="C234:C235"/>
    <mergeCell ref="D234:D235"/>
    <mergeCell ref="H234:H235"/>
    <mergeCell ref="I234:I235"/>
    <mergeCell ref="J234:J235"/>
    <mergeCell ref="AN225:AN226"/>
    <mergeCell ref="AO225:AO226"/>
    <mergeCell ref="AQ225:AQ226"/>
    <mergeCell ref="AS225:AS226"/>
    <mergeCell ref="AT225:AT226"/>
    <mergeCell ref="AU225:AU226"/>
    <mergeCell ref="AD225:AD226"/>
    <mergeCell ref="AG225:AG226"/>
    <mergeCell ref="AH225:AH226"/>
    <mergeCell ref="AI225:AI226"/>
    <mergeCell ref="AJ225:AJ226"/>
    <mergeCell ref="AM225:AM226"/>
    <mergeCell ref="W225:W226"/>
    <mergeCell ref="X225:X226"/>
    <mergeCell ref="Z225:Z226"/>
    <mergeCell ref="AA225:AA226"/>
    <mergeCell ref="AB225:AB226"/>
    <mergeCell ref="AC225:AC226"/>
    <mergeCell ref="Q225:Q226"/>
    <mergeCell ref="R225:R226"/>
    <mergeCell ref="S225:S226"/>
    <mergeCell ref="T225:T226"/>
    <mergeCell ref="U225:U226"/>
    <mergeCell ref="V225:V226"/>
    <mergeCell ref="K225:K226"/>
    <mergeCell ref="L225:L226"/>
    <mergeCell ref="M225:M226"/>
    <mergeCell ref="N225:N226"/>
    <mergeCell ref="O225:O226"/>
    <mergeCell ref="P225:P226"/>
    <mergeCell ref="AX145:AX146"/>
    <mergeCell ref="AY145:AY146"/>
    <mergeCell ref="A211:Q211"/>
    <mergeCell ref="A225:A226"/>
    <mergeCell ref="B225:B226"/>
    <mergeCell ref="C225:C226"/>
    <mergeCell ref="D225:D226"/>
    <mergeCell ref="H225:H226"/>
    <mergeCell ref="I225:I226"/>
    <mergeCell ref="J225:J226"/>
    <mergeCell ref="AN145:AN146"/>
    <mergeCell ref="AO145:AO146"/>
    <mergeCell ref="AS145:AS146"/>
    <mergeCell ref="AT145:AT146"/>
    <mergeCell ref="AU145:AU146"/>
    <mergeCell ref="AW145:AW146"/>
    <mergeCell ref="AD145:AD146"/>
    <mergeCell ref="AG145:AG146"/>
    <mergeCell ref="AH145:AH146"/>
    <mergeCell ref="AI145:AI146"/>
    <mergeCell ref="AJ145:AJ146"/>
    <mergeCell ref="AM145:AM146"/>
    <mergeCell ref="W145:W146"/>
    <mergeCell ref="X145:X146"/>
    <mergeCell ref="Z145:Z146"/>
    <mergeCell ref="AA145:AA146"/>
    <mergeCell ref="AB145:AB146"/>
    <mergeCell ref="AC145:AC146"/>
    <mergeCell ref="P145:P146"/>
    <mergeCell ref="Q145:Q146"/>
    <mergeCell ref="R145:R146"/>
    <mergeCell ref="S145:S146"/>
    <mergeCell ref="T145:T146"/>
    <mergeCell ref="U145:U146"/>
    <mergeCell ref="J145:J146"/>
    <mergeCell ref="K145:K146"/>
    <mergeCell ref="L145:L146"/>
    <mergeCell ref="M145:M146"/>
    <mergeCell ref="N145:N146"/>
    <mergeCell ref="O145:O146"/>
    <mergeCell ref="AN130:AN131"/>
    <mergeCell ref="AO130:AO131"/>
    <mergeCell ref="AX130:AX131"/>
    <mergeCell ref="AY130:AY131"/>
    <mergeCell ref="A142:I144"/>
    <mergeCell ref="A145:A146"/>
    <mergeCell ref="C145:C146"/>
    <mergeCell ref="D145:D146"/>
    <mergeCell ref="H145:H146"/>
    <mergeCell ref="I145:I146"/>
    <mergeCell ref="AE130:AE131"/>
    <mergeCell ref="AG130:AG131"/>
    <mergeCell ref="AH130:AH131"/>
    <mergeCell ref="AI130:AI131"/>
    <mergeCell ref="AJ130:AJ131"/>
    <mergeCell ref="AM130:AM131"/>
    <mergeCell ref="X130:X131"/>
    <mergeCell ref="Z130:Z131"/>
    <mergeCell ref="AA130:AA131"/>
    <mergeCell ref="AB130:AB131"/>
    <mergeCell ref="AC130:AC131"/>
    <mergeCell ref="AD130:AD131"/>
    <mergeCell ref="Q130:Q131"/>
    <mergeCell ref="R130:R131"/>
    <mergeCell ref="S130:S131"/>
    <mergeCell ref="T130:T131"/>
    <mergeCell ref="U130:U131"/>
    <mergeCell ref="W130:W131"/>
    <mergeCell ref="K130:K131"/>
    <mergeCell ref="L130:L131"/>
    <mergeCell ref="M130:M131"/>
    <mergeCell ref="N130:N131"/>
    <mergeCell ref="O130:O131"/>
    <mergeCell ref="P130:P131"/>
    <mergeCell ref="AY117:AY118"/>
    <mergeCell ref="A125:I127"/>
    <mergeCell ref="B128:C128"/>
    <mergeCell ref="A129:A141"/>
    <mergeCell ref="B130:B131"/>
    <mergeCell ref="C130:C131"/>
    <mergeCell ref="D130:D131"/>
    <mergeCell ref="H130:H131"/>
    <mergeCell ref="I130:I131"/>
    <mergeCell ref="J130:J131"/>
    <mergeCell ref="AO117:AO118"/>
    <mergeCell ref="AS117:AS118"/>
    <mergeCell ref="AT117:AT118"/>
    <mergeCell ref="AU117:AU118"/>
    <mergeCell ref="AW117:AW118"/>
    <mergeCell ref="AX117:AX118"/>
    <mergeCell ref="AG117:AG118"/>
    <mergeCell ref="AH117:AH118"/>
    <mergeCell ref="AI117:AI118"/>
    <mergeCell ref="AJ117:AJ118"/>
    <mergeCell ref="AM117:AM118"/>
    <mergeCell ref="AN117:AN118"/>
    <mergeCell ref="Z117:Z118"/>
    <mergeCell ref="AA117:AA118"/>
    <mergeCell ref="AB117:AB118"/>
    <mergeCell ref="AC117:AC118"/>
    <mergeCell ref="AD117:AD118"/>
    <mergeCell ref="AE117:AE118"/>
    <mergeCell ref="R117:R118"/>
    <mergeCell ref="S117:S118"/>
    <mergeCell ref="T117:T118"/>
    <mergeCell ref="U117:U118"/>
    <mergeCell ref="W117:W118"/>
    <mergeCell ref="X117:X118"/>
    <mergeCell ref="AW108:AW109"/>
    <mergeCell ref="AX108:AX109"/>
    <mergeCell ref="AY108:AY109"/>
    <mergeCell ref="AO108:AO109"/>
    <mergeCell ref="AS108:AS109"/>
    <mergeCell ref="AT108:AT109"/>
    <mergeCell ref="AU108:AU109"/>
    <mergeCell ref="R108:R109"/>
    <mergeCell ref="S108:S109"/>
    <mergeCell ref="T108:T109"/>
    <mergeCell ref="AM108:AM109"/>
    <mergeCell ref="AN108:AN109"/>
    <mergeCell ref="AC108:AC109"/>
    <mergeCell ref="AD108:AD109"/>
    <mergeCell ref="AG108:AG109"/>
    <mergeCell ref="AH108:AH109"/>
    <mergeCell ref="AI108:AI109"/>
    <mergeCell ref="AJ108:AJ109"/>
    <mergeCell ref="U108:U109"/>
    <mergeCell ref="W108:W109"/>
    <mergeCell ref="X108:X109"/>
    <mergeCell ref="Z108:Z109"/>
    <mergeCell ref="AA108:AA109"/>
    <mergeCell ref="AB108:AB109"/>
    <mergeCell ref="O108:O109"/>
    <mergeCell ref="P108:P109"/>
    <mergeCell ref="Q108:Q109"/>
    <mergeCell ref="L117:L118"/>
    <mergeCell ref="M117:M118"/>
    <mergeCell ref="N117:N118"/>
    <mergeCell ref="O117:O118"/>
    <mergeCell ref="P117:P118"/>
    <mergeCell ref="Q117:Q118"/>
    <mergeCell ref="I108:I109"/>
    <mergeCell ref="J108:J109"/>
    <mergeCell ref="K108:K109"/>
    <mergeCell ref="L108:L109"/>
    <mergeCell ref="M108:M109"/>
    <mergeCell ref="N108:N109"/>
    <mergeCell ref="B107:C107"/>
    <mergeCell ref="A108:A124"/>
    <mergeCell ref="B108:B109"/>
    <mergeCell ref="C108:C109"/>
    <mergeCell ref="D108:D109"/>
    <mergeCell ref="H108:H109"/>
    <mergeCell ref="B117:B118"/>
    <mergeCell ref="C117:C118"/>
    <mergeCell ref="D117:D118"/>
    <mergeCell ref="H117:H118"/>
    <mergeCell ref="I117:I118"/>
    <mergeCell ref="J117:J118"/>
    <mergeCell ref="K117:K118"/>
    <mergeCell ref="AU89:AU90"/>
    <mergeCell ref="AW89:AW90"/>
    <mergeCell ref="AX89:AX90"/>
    <mergeCell ref="AY89:AY90"/>
    <mergeCell ref="A100:T100"/>
    <mergeCell ref="A102:Q102"/>
    <mergeCell ref="AM89:AM90"/>
    <mergeCell ref="AN89:AN90"/>
    <mergeCell ref="AO89:AO90"/>
    <mergeCell ref="AQ89:AQ90"/>
    <mergeCell ref="AS89:AS90"/>
    <mergeCell ref="AT89:AT90"/>
    <mergeCell ref="AC89:AC90"/>
    <mergeCell ref="AD89:AD90"/>
    <mergeCell ref="AG89:AG90"/>
    <mergeCell ref="AH89:AH90"/>
    <mergeCell ref="AI89:AI90"/>
    <mergeCell ref="AJ89:AJ90"/>
    <mergeCell ref="V89:V90"/>
    <mergeCell ref="W89:W90"/>
    <mergeCell ref="X89:X90"/>
    <mergeCell ref="Z89:Z90"/>
    <mergeCell ref="AA89:AA90"/>
    <mergeCell ref="AB89:AB90"/>
    <mergeCell ref="R89:R90"/>
    <mergeCell ref="S89:S90"/>
    <mergeCell ref="T89:T90"/>
    <mergeCell ref="U89:U90"/>
    <mergeCell ref="J89:J90"/>
    <mergeCell ref="K89:K90"/>
    <mergeCell ref="L89:L90"/>
    <mergeCell ref="M89:M90"/>
    <mergeCell ref="N89:N90"/>
    <mergeCell ref="O89:O90"/>
    <mergeCell ref="A89:A90"/>
    <mergeCell ref="B89:B90"/>
    <mergeCell ref="C89:C90"/>
    <mergeCell ref="D89:D90"/>
    <mergeCell ref="H89:H90"/>
    <mergeCell ref="I89:I90"/>
    <mergeCell ref="AT74:AT75"/>
    <mergeCell ref="AU74:AU75"/>
    <mergeCell ref="AW74:AW75"/>
    <mergeCell ref="U74:U75"/>
    <mergeCell ref="O74:O75"/>
    <mergeCell ref="P74:P75"/>
    <mergeCell ref="Q74:Q75"/>
    <mergeCell ref="R74:R75"/>
    <mergeCell ref="S74:S75"/>
    <mergeCell ref="T74:T75"/>
    <mergeCell ref="I74:I75"/>
    <mergeCell ref="J74:J75"/>
    <mergeCell ref="K74:K75"/>
    <mergeCell ref="L74:L75"/>
    <mergeCell ref="M74:M75"/>
    <mergeCell ref="N74:N75"/>
    <mergeCell ref="P89:P90"/>
    <mergeCell ref="Q89:Q90"/>
    <mergeCell ref="V84:V85"/>
    <mergeCell ref="AJ74:AJ75"/>
    <mergeCell ref="AM74:AM75"/>
    <mergeCell ref="AN74:AN75"/>
    <mergeCell ref="AO74:AO75"/>
    <mergeCell ref="AQ74:AQ75"/>
    <mergeCell ref="AS74:AS75"/>
    <mergeCell ref="AB74:AB75"/>
    <mergeCell ref="AC74:AC75"/>
    <mergeCell ref="AD74:AD75"/>
    <mergeCell ref="AG74:AG75"/>
    <mergeCell ref="AH74:AH75"/>
    <mergeCell ref="AI74:AI75"/>
    <mergeCell ref="V74:V75"/>
    <mergeCell ref="W74:W75"/>
    <mergeCell ref="X74:X75"/>
    <mergeCell ref="Z74:Z75"/>
    <mergeCell ref="AA74:AA75"/>
    <mergeCell ref="AY43:AY44"/>
    <mergeCell ref="A53:I55"/>
    <mergeCell ref="A60:T60"/>
    <mergeCell ref="A74:A75"/>
    <mergeCell ref="B74:B75"/>
    <mergeCell ref="C74:C75"/>
    <mergeCell ref="D74:D75"/>
    <mergeCell ref="H74:H75"/>
    <mergeCell ref="AN43:AN44"/>
    <mergeCell ref="AO43:AO44"/>
    <mergeCell ref="AQ43:AQ44"/>
    <mergeCell ref="AS43:AS44"/>
    <mergeCell ref="AT43:AT44"/>
    <mergeCell ref="AU43:AU44"/>
    <mergeCell ref="AD43:AD44"/>
    <mergeCell ref="AG43:AG44"/>
    <mergeCell ref="AH43:AH44"/>
    <mergeCell ref="AI43:AI44"/>
    <mergeCell ref="AJ43:AJ44"/>
    <mergeCell ref="AM43:AM44"/>
    <mergeCell ref="W43:W44"/>
    <mergeCell ref="X43:X44"/>
    <mergeCell ref="AX74:AX75"/>
    <mergeCell ref="AY74:AY75"/>
    <mergeCell ref="P43:P44"/>
    <mergeCell ref="AU40:AU41"/>
    <mergeCell ref="AW40:AW41"/>
    <mergeCell ref="AX40:AX41"/>
    <mergeCell ref="AC40:AC41"/>
    <mergeCell ref="P40:P41"/>
    <mergeCell ref="Q40:Q41"/>
    <mergeCell ref="R40:R41"/>
    <mergeCell ref="S40:S41"/>
    <mergeCell ref="T40:T41"/>
    <mergeCell ref="U40:U41"/>
    <mergeCell ref="Z43:Z44"/>
    <mergeCell ref="AA43:AA44"/>
    <mergeCell ref="AB43:AB44"/>
    <mergeCell ref="AC43:AC44"/>
    <mergeCell ref="Q43:Q44"/>
    <mergeCell ref="R43:R44"/>
    <mergeCell ref="S43:S44"/>
    <mergeCell ref="T43:T44"/>
    <mergeCell ref="U43:U44"/>
    <mergeCell ref="V43:V44"/>
    <mergeCell ref="AW43:AW44"/>
    <mergeCell ref="AX43:AX44"/>
    <mergeCell ref="AY40:AY41"/>
    <mergeCell ref="B43:B44"/>
    <mergeCell ref="C43:C44"/>
    <mergeCell ref="D43:D44"/>
    <mergeCell ref="H43:H44"/>
    <mergeCell ref="I43:I44"/>
    <mergeCell ref="J43:J44"/>
    <mergeCell ref="AM40:AM41"/>
    <mergeCell ref="AN40:AN41"/>
    <mergeCell ref="AO40:AO41"/>
    <mergeCell ref="AQ40:AQ41"/>
    <mergeCell ref="AS40:AS41"/>
    <mergeCell ref="AT40:AT41"/>
    <mergeCell ref="AD40:AD41"/>
    <mergeCell ref="AE40:AE41"/>
    <mergeCell ref="AG40:AG41"/>
    <mergeCell ref="AH40:AH41"/>
    <mergeCell ref="AI40:AI41"/>
    <mergeCell ref="AJ40:AJ41"/>
    <mergeCell ref="W40:W41"/>
    <mergeCell ref="X40:X41"/>
    <mergeCell ref="Z40:Z41"/>
    <mergeCell ref="AA40:AA41"/>
    <mergeCell ref="AB40:AB41"/>
    <mergeCell ref="J40:J41"/>
    <mergeCell ref="K40:K41"/>
    <mergeCell ref="L40:L41"/>
    <mergeCell ref="M40:M41"/>
    <mergeCell ref="N40:N41"/>
    <mergeCell ref="O40:O41"/>
    <mergeCell ref="A40:A52"/>
    <mergeCell ref="B40:B41"/>
    <mergeCell ref="C40:C41"/>
    <mergeCell ref="D40:D41"/>
    <mergeCell ref="H40:H41"/>
    <mergeCell ref="I40:I41"/>
    <mergeCell ref="K43:K44"/>
    <mergeCell ref="L43:L44"/>
    <mergeCell ref="M43:M44"/>
    <mergeCell ref="N43:N44"/>
    <mergeCell ref="O43:O44"/>
    <mergeCell ref="AT25:AT26"/>
    <mergeCell ref="AU25:AU26"/>
    <mergeCell ref="AW25:AW26"/>
    <mergeCell ref="AX25:AX26"/>
    <mergeCell ref="AY25:AY26"/>
    <mergeCell ref="B39:C39"/>
    <mergeCell ref="AJ25:AJ26"/>
    <mergeCell ref="AM25:AM26"/>
    <mergeCell ref="AN25:AN26"/>
    <mergeCell ref="AO25:AO26"/>
    <mergeCell ref="AQ25:AQ26"/>
    <mergeCell ref="AS25:AS26"/>
    <mergeCell ref="AC25:AC26"/>
    <mergeCell ref="AD25:AD26"/>
    <mergeCell ref="AE25:AE26"/>
    <mergeCell ref="AG25:AG26"/>
    <mergeCell ref="AH25:AH26"/>
    <mergeCell ref="AI25:AI26"/>
    <mergeCell ref="V25:V26"/>
    <mergeCell ref="W25:W26"/>
    <mergeCell ref="X25:X26"/>
    <mergeCell ref="Z25:Z26"/>
    <mergeCell ref="AA25:AA26"/>
    <mergeCell ref="AB25:AB26"/>
    <mergeCell ref="Q25:Q26"/>
    <mergeCell ref="R25:R26"/>
    <mergeCell ref="S25:S26"/>
    <mergeCell ref="T25:T26"/>
    <mergeCell ref="U25:U26"/>
    <mergeCell ref="J25:J26"/>
    <mergeCell ref="K25:K26"/>
    <mergeCell ref="L25:L26"/>
    <mergeCell ref="M25:M26"/>
    <mergeCell ref="N25:N26"/>
    <mergeCell ref="O25:O26"/>
    <mergeCell ref="AW22:AW23"/>
    <mergeCell ref="AX22:AX23"/>
    <mergeCell ref="AY22:AY23"/>
    <mergeCell ref="A25:A26"/>
    <mergeCell ref="B25:B26"/>
    <mergeCell ref="C25:C26"/>
    <mergeCell ref="D25:D26"/>
    <mergeCell ref="H25:H26"/>
    <mergeCell ref="I25:I26"/>
    <mergeCell ref="AM22:AM23"/>
    <mergeCell ref="AN22:AN23"/>
    <mergeCell ref="AO22:AO23"/>
    <mergeCell ref="AQ22:AQ23"/>
    <mergeCell ref="AS22:AS23"/>
    <mergeCell ref="AT22:AT23"/>
    <mergeCell ref="AC22:AC23"/>
    <mergeCell ref="AD22:AD23"/>
    <mergeCell ref="AG22:AG23"/>
    <mergeCell ref="AH22:AH23"/>
    <mergeCell ref="AI22:AI23"/>
    <mergeCell ref="AJ22:AJ23"/>
    <mergeCell ref="V22:V23"/>
    <mergeCell ref="W22:W23"/>
    <mergeCell ref="P25:P26"/>
    <mergeCell ref="AA22:AA23"/>
    <mergeCell ref="AB22:AB23"/>
    <mergeCell ref="P22:P23"/>
    <mergeCell ref="Q22:Q23"/>
    <mergeCell ref="R22:R23"/>
    <mergeCell ref="S22:S23"/>
    <mergeCell ref="T22:T23"/>
    <mergeCell ref="U22:U23"/>
    <mergeCell ref="AU22:AU23"/>
    <mergeCell ref="J22:J23"/>
    <mergeCell ref="K22:K23"/>
    <mergeCell ref="L22:L23"/>
    <mergeCell ref="M22:M23"/>
    <mergeCell ref="N22:N23"/>
    <mergeCell ref="O22:O23"/>
    <mergeCell ref="AU11:AU12"/>
    <mergeCell ref="AW11:AW12"/>
    <mergeCell ref="AX11:AX12"/>
    <mergeCell ref="AB11:AB12"/>
    <mergeCell ref="P11:P12"/>
    <mergeCell ref="Q11:Q12"/>
    <mergeCell ref="R11:R12"/>
    <mergeCell ref="S11:S12"/>
    <mergeCell ref="T11:T12"/>
    <mergeCell ref="U11:U12"/>
    <mergeCell ref="J11:J12"/>
    <mergeCell ref="K11:K12"/>
    <mergeCell ref="L11:L12"/>
    <mergeCell ref="M11:M12"/>
    <mergeCell ref="N11:N12"/>
    <mergeCell ref="O11:O12"/>
    <mergeCell ref="X22:X23"/>
    <mergeCell ref="Z22:Z23"/>
    <mergeCell ref="AY11:AY12"/>
    <mergeCell ref="A22:A23"/>
    <mergeCell ref="B22:B23"/>
    <mergeCell ref="C22:C23"/>
    <mergeCell ref="D22:D23"/>
    <mergeCell ref="H22:H23"/>
    <mergeCell ref="I22:I23"/>
    <mergeCell ref="AM11:AM12"/>
    <mergeCell ref="AN11:AN12"/>
    <mergeCell ref="AO11:AO12"/>
    <mergeCell ref="AQ11:AQ12"/>
    <mergeCell ref="AS11:AS12"/>
    <mergeCell ref="AT11:AT12"/>
    <mergeCell ref="AC11:AC12"/>
    <mergeCell ref="AD11:AD12"/>
    <mergeCell ref="AG11:AG12"/>
    <mergeCell ref="AH11:AH12"/>
    <mergeCell ref="AI11:AI12"/>
    <mergeCell ref="AJ11:AJ12"/>
    <mergeCell ref="V11:V12"/>
    <mergeCell ref="W11:W12"/>
    <mergeCell ref="X11:X12"/>
    <mergeCell ref="Z11:Z12"/>
    <mergeCell ref="AA11:AA12"/>
    <mergeCell ref="A11:A12"/>
    <mergeCell ref="B11:B12"/>
    <mergeCell ref="C11:C12"/>
    <mergeCell ref="D11:D12"/>
    <mergeCell ref="H11:H12"/>
    <mergeCell ref="I11:I12"/>
    <mergeCell ref="V4:V5"/>
    <mergeCell ref="W4:W7"/>
    <mergeCell ref="X4:X7"/>
    <mergeCell ref="AX2:AX7"/>
    <mergeCell ref="A4:A5"/>
    <mergeCell ref="B4:B5"/>
    <mergeCell ref="C4:C5"/>
    <mergeCell ref="D4:D5"/>
    <mergeCell ref="E4:E5"/>
    <mergeCell ref="AC4:AC7"/>
    <mergeCell ref="A7:T7"/>
    <mergeCell ref="A10:T10"/>
    <mergeCell ref="M4:M5"/>
    <mergeCell ref="N4:N5"/>
    <mergeCell ref="O4:O5"/>
    <mergeCell ref="P4:P5"/>
    <mergeCell ref="T4:T5"/>
    <mergeCell ref="U4:U5"/>
    <mergeCell ref="F4:F5"/>
    <mergeCell ref="G4:G5"/>
    <mergeCell ref="H4:H5"/>
    <mergeCell ref="J4:J5"/>
    <mergeCell ref="K4:K5"/>
    <mergeCell ref="L4:L5"/>
    <mergeCell ref="P1:T1"/>
    <mergeCell ref="AD1:AD7"/>
    <mergeCell ref="AE1:AE7"/>
    <mergeCell ref="AG1:AG7"/>
    <mergeCell ref="AH1:AH7"/>
    <mergeCell ref="AW1:AW7"/>
    <mergeCell ref="A2:T2"/>
    <mergeCell ref="Z2:Z7"/>
    <mergeCell ref="AI2:AI7"/>
    <mergeCell ref="AJ2:AJ7"/>
    <mergeCell ref="AK2:AK7"/>
    <mergeCell ref="AO2:AO7"/>
    <mergeCell ref="AS2:AS7"/>
    <mergeCell ref="AT2:AT7"/>
  </mergeCells>
  <conditionalFormatting sqref="AM8:AM364 AT8:AT364">
    <cfRule type="cellIs" dxfId="9" priority="10" operator="lessThan">
      <formula>0</formula>
    </cfRule>
  </conditionalFormatting>
  <conditionalFormatting sqref="AN8:AO364">
    <cfRule type="cellIs" dxfId="8" priority="9" operator="greaterThan">
      <formula>1</formula>
    </cfRule>
  </conditionalFormatting>
  <conditionalFormatting sqref="AW8:AW364">
    <cfRule type="cellIs" dxfId="7" priority="8" operator="greaterThan">
      <formula>0</formula>
    </cfRule>
  </conditionalFormatting>
  <conditionalFormatting sqref="AW1:AW1048576">
    <cfRule type="cellIs" dxfId="6" priority="7" operator="greaterThan">
      <formula>0</formula>
    </cfRule>
  </conditionalFormatting>
  <conditionalFormatting sqref="AC1:AC1048576">
    <cfRule type="cellIs" dxfId="5" priority="4" operator="lessThan">
      <formula>0</formula>
    </cfRule>
    <cfRule type="cellIs" dxfId="4" priority="5" operator="lessThan">
      <formula>0</formula>
    </cfRule>
    <cfRule type="cellIs" dxfId="3" priority="6" operator="greaterThan">
      <formula>0</formula>
    </cfRule>
  </conditionalFormatting>
  <conditionalFormatting sqref="Z374:Z1048576 Z1 Z8:Z365">
    <cfRule type="cellIs" dxfId="2" priority="1" operator="lessThan">
      <formula>1.042</formula>
    </cfRule>
    <cfRule type="cellIs" dxfId="1" priority="2" operator="greaterThan">
      <formula>1.042</formula>
    </cfRule>
    <cfRule type="cellIs" dxfId="0" priority="3" operator="equal">
      <formula>1.042</formula>
    </cfRule>
  </conditionalFormatting>
  <pageMargins left="0.70866141732283472" right="0.70866141732283472" top="0.74803149606299213" bottom="0.74803149606299213" header="0.31496062992125984" footer="0.31496062992125984"/>
  <pageSetup paperSize="9" scale="56" fitToHeight="0" orientation="landscape" r:id="rId1"/>
  <headerFooter>
    <oddFooter>&amp;R&amp;P</oddFooter>
  </headerFooter>
  <rowBreaks count="11" manualBreakCount="11">
    <brk id="30" max="19" man="1"/>
    <brk id="58" max="19" man="1"/>
    <brk id="83" max="19" man="1"/>
    <brk id="106" max="19" man="1"/>
    <brk id="132" max="19" man="1"/>
    <brk id="162" max="19" man="1"/>
    <brk id="197" max="19" man="1"/>
    <brk id="230" max="19" man="1"/>
    <brk id="269" max="19" man="1"/>
    <brk id="303" max="19" man="1"/>
    <brk id="337"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15</vt:i4>
      </vt:variant>
    </vt:vector>
  </HeadingPairs>
  <TitlesOfParts>
    <vt:vector size="28" baseType="lpstr">
      <vt:lpstr>условия, ФОТ</vt:lpstr>
      <vt:lpstr>калькуляция</vt:lpstr>
      <vt:lpstr>условия, ФОТ (новый)</vt:lpstr>
      <vt:lpstr>калькуляция  население новое</vt:lpstr>
      <vt:lpstr>калькуляция новое)</vt:lpstr>
      <vt:lpstr>Прейскурант новый </vt:lpstr>
      <vt:lpstr>калькуляция (старый)</vt:lpstr>
      <vt:lpstr>Прейскурант(старый)</vt:lpstr>
      <vt:lpstr>материалы</vt:lpstr>
      <vt:lpstr>расход ГСМ</vt:lpstr>
      <vt:lpstr>мастерская</vt:lpstr>
      <vt:lpstr>условия, ФОТ (2)</vt:lpstr>
      <vt:lpstr>калькуляция 2022 насел</vt:lpstr>
      <vt:lpstr>калькуляция!Заголовки_для_печати</vt:lpstr>
      <vt:lpstr>'калькуляция  население новое'!Заголовки_для_печати</vt:lpstr>
      <vt:lpstr>'калькуляция (старый)'!Заголовки_для_печати</vt:lpstr>
      <vt:lpstr>'калькуляция 2022 насел'!Заголовки_для_печати</vt:lpstr>
      <vt:lpstr>'калькуляция новое)'!Заголовки_для_печати</vt:lpstr>
      <vt:lpstr>'Прейскурант новый '!Заголовки_для_печати</vt:lpstr>
      <vt:lpstr>'Прейскурант(старый)'!Заголовки_для_печати</vt:lpstr>
      <vt:lpstr>калькуляция!Область_печати</vt:lpstr>
      <vt:lpstr>'калькуляция  население новое'!Область_печати</vt:lpstr>
      <vt:lpstr>'калькуляция (старый)'!Область_печати</vt:lpstr>
      <vt:lpstr>'калькуляция 2022 насел'!Область_печати</vt:lpstr>
      <vt:lpstr>'калькуляция новое)'!Область_печати</vt:lpstr>
      <vt:lpstr>мастерская!Область_печати</vt:lpstr>
      <vt:lpstr>'Прейскурант новый '!Область_печати</vt:lpstr>
      <vt:lpstr>'Прейскурант(старый)'!Область_печати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2024-01-18T12:58:19Z</dcterms:modified>
</cp:coreProperties>
</file>