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784" firstSheet="2" activeTab="2"/>
  </bookViews>
  <sheets>
    <sheet name="условия, ФОТ" sheetId="2" state="hidden" r:id="rId1"/>
    <sheet name="калькуляция 2024" sheetId="1" state="hidden" r:id="rId2"/>
    <sheet name="Прейскурант 2024" sheetId="6" r:id="rId3"/>
    <sheet name="калькуляция 2021 (2)" sheetId="8" state="hidden" r:id="rId4"/>
    <sheet name="материалы" sheetId="3" state="hidden" r:id="rId5"/>
    <sheet name="расход ГСМ" sheetId="4" state="hidden" r:id="rId6"/>
    <sheet name="мастерская" sheetId="5" state="hidden" r:id="rId7"/>
    <sheet name="материалы (рАБОЧАЯ ВКЛ)" sheetId="9" state="hidden" r:id="rId8"/>
    <sheet name="Прейскурант 2021 (2)" sheetId="7" state="hidden" r:id="rId9"/>
  </sheets>
  <externalReferences>
    <externalReference r:id="rId10"/>
    <externalReference r:id="rId11"/>
    <externalReference r:id="rId12"/>
  </externalReferences>
  <definedNames>
    <definedName name="_xlnm.Print_Titles" localSheetId="3">'калькуляция 2021 (2)'!$4:$6</definedName>
    <definedName name="_xlnm.Print_Titles" localSheetId="1">'калькуляция 2024'!$4:$6</definedName>
    <definedName name="_xlnm.Print_Titles" localSheetId="8">'Прейскурант 2021 (2)'!$4:$6</definedName>
    <definedName name="_xlnm.Print_Titles" localSheetId="2">'Прейскурант 2024'!$4:$6</definedName>
    <definedName name="_xlnm.Print_Area" localSheetId="3">'калькуляция 2021 (2)'!$A$1:$T$371</definedName>
    <definedName name="_xlnm.Print_Area" localSheetId="1">'калькуляция 2024'!$A$1:$T$383</definedName>
    <definedName name="_xlnm.Print_Area" localSheetId="6">мастерская!$A$1:$P$12</definedName>
    <definedName name="_xlnm.Print_Area" localSheetId="8">'Прейскурант 2021 (2)'!$A$1:$J$371</definedName>
    <definedName name="_xlnm.Print_Area" localSheetId="2">'Прейскурант 2024'!$A$1:$J$374</definedName>
  </definedNames>
  <calcPr calcId="145621"/>
</workbook>
</file>

<file path=xl/calcChain.xml><?xml version="1.0" encoding="utf-8"?>
<calcChain xmlns="http://schemas.openxmlformats.org/spreadsheetml/2006/main">
  <c r="G300" i="6" l="1"/>
  <c r="G301" i="6"/>
  <c r="G302" i="6"/>
  <c r="G303" i="6"/>
  <c r="H304" i="1"/>
  <c r="F304" i="1"/>
  <c r="O304" i="1"/>
  <c r="M307" i="1"/>
  <c r="O307" i="1" s="1"/>
  <c r="M306" i="1"/>
  <c r="O306" i="1" s="1"/>
  <c r="M305" i="1"/>
  <c r="O305" i="1" s="1"/>
  <c r="L307" i="1"/>
  <c r="L306" i="1"/>
  <c r="L305" i="1"/>
  <c r="G337" i="6"/>
  <c r="G334" i="6"/>
  <c r="F342" i="1" l="1"/>
  <c r="H342" i="1" s="1"/>
  <c r="M343" i="1"/>
  <c r="O343" i="1" s="1"/>
  <c r="O342" i="1" s="1"/>
  <c r="M339" i="1"/>
  <c r="O339" i="1" s="1"/>
  <c r="O338" i="1" s="1"/>
  <c r="M341" i="1"/>
  <c r="O341" i="1" s="1"/>
  <c r="F338" i="1"/>
  <c r="H338" i="1" s="1"/>
  <c r="D17" i="2" l="1"/>
  <c r="AS377" i="1" l="1"/>
  <c r="AK377" i="1"/>
  <c r="AS376" i="1"/>
  <c r="AS375" i="1"/>
  <c r="AK375" i="1"/>
  <c r="AS374" i="1"/>
  <c r="AS373" i="1"/>
  <c r="AS372" i="1"/>
  <c r="AS371" i="1"/>
  <c r="AS370" i="1"/>
  <c r="AK370" i="1"/>
  <c r="AS369" i="1"/>
  <c r="AS368" i="1"/>
  <c r="AK368" i="1"/>
  <c r="AS367" i="1"/>
  <c r="AK367" i="1"/>
  <c r="AS366" i="1"/>
  <c r="AS365" i="1"/>
  <c r="AS364" i="1"/>
  <c r="AS363" i="1"/>
  <c r="AS362" i="1"/>
  <c r="AS361" i="1"/>
  <c r="AS356" i="1"/>
  <c r="AS355" i="1"/>
  <c r="AS354" i="1"/>
  <c r="AS353" i="1"/>
  <c r="AK353" i="1"/>
  <c r="AS335" i="1"/>
  <c r="AK335" i="1"/>
  <c r="AS327" i="1"/>
  <c r="AS324" i="1"/>
  <c r="AS316" i="1"/>
  <c r="AS308" i="1"/>
  <c r="AS299" i="1"/>
  <c r="AK299" i="1"/>
  <c r="AS162" i="1"/>
  <c r="AK162" i="1"/>
  <c r="AS158" i="1"/>
  <c r="AK158" i="1"/>
  <c r="AS154" i="1"/>
  <c r="AK154" i="1"/>
  <c r="AS141" i="1"/>
  <c r="AK141" i="1"/>
  <c r="AS140" i="1"/>
  <c r="AK140" i="1"/>
  <c r="AS133" i="1"/>
  <c r="AS130" i="1"/>
  <c r="AS129" i="1"/>
  <c r="AK129" i="1"/>
  <c r="AS124" i="1"/>
  <c r="AK124" i="1"/>
  <c r="AS120" i="1"/>
  <c r="AK120" i="1"/>
  <c r="AS117" i="1"/>
  <c r="AS108" i="1"/>
  <c r="AS103" i="1"/>
  <c r="AK103" i="1"/>
  <c r="AS99" i="1"/>
  <c r="AK99" i="1"/>
  <c r="AS89" i="1"/>
  <c r="AS84" i="1"/>
  <c r="AS74" i="1"/>
  <c r="AS69" i="1"/>
  <c r="AS68" i="1"/>
  <c r="AK68" i="1"/>
  <c r="AS67" i="1"/>
  <c r="AK67" i="1"/>
  <c r="AS66" i="1"/>
  <c r="AK66" i="1"/>
  <c r="AS65" i="1"/>
  <c r="AK65" i="1"/>
  <c r="AS62" i="1"/>
  <c r="AS61" i="1"/>
  <c r="AK61" i="1"/>
  <c r="AS59" i="1"/>
  <c r="AS58" i="1"/>
  <c r="AS56" i="1"/>
  <c r="AS52" i="1"/>
  <c r="AK52" i="1"/>
  <c r="AS43" i="1"/>
  <c r="AS40" i="1"/>
  <c r="AS35" i="1"/>
  <c r="AK35" i="1"/>
  <c r="AS31" i="1"/>
  <c r="AK31" i="1"/>
  <c r="AS30" i="1"/>
  <c r="AK30" i="1"/>
  <c r="AS28" i="1"/>
  <c r="AS25" i="1"/>
  <c r="AS22" i="1"/>
  <c r="AS20" i="1"/>
  <c r="AK20" i="1"/>
  <c r="AS11" i="1"/>
  <c r="AS9" i="1"/>
  <c r="AS8" i="1"/>
  <c r="I21" i="3" l="1"/>
  <c r="C31" i="3"/>
  <c r="C30" i="3"/>
  <c r="C29" i="3"/>
  <c r="C28" i="3"/>
  <c r="C25" i="3"/>
  <c r="C24" i="3"/>
  <c r="C23" i="3"/>
  <c r="C20" i="3"/>
  <c r="C15" i="3"/>
  <c r="C14" i="3"/>
  <c r="C13" i="3"/>
  <c r="C12" i="3"/>
  <c r="C10" i="3"/>
  <c r="C9" i="3"/>
  <c r="C8" i="3"/>
  <c r="C6" i="3"/>
  <c r="C34" i="3"/>
  <c r="C33" i="3"/>
  <c r="C27" i="3"/>
  <c r="C26" i="3"/>
  <c r="C16" i="3"/>
  <c r="C11" i="3"/>
  <c r="C7" i="3"/>
  <c r="C5" i="3"/>
  <c r="AK262" i="1" l="1"/>
  <c r="AS262" i="1"/>
  <c r="G255" i="1"/>
  <c r="AS145" i="1" l="1"/>
  <c r="X186" i="1"/>
  <c r="X187" i="1"/>
  <c r="X188" i="1"/>
  <c r="X198" i="1"/>
  <c r="X200" i="1"/>
  <c r="X201" i="1"/>
  <c r="X202" i="1"/>
  <c r="X203" i="1"/>
  <c r="X205" i="1"/>
  <c r="X206" i="1"/>
  <c r="X207" i="1"/>
  <c r="X208" i="1"/>
  <c r="X209" i="1"/>
  <c r="X210" i="1"/>
  <c r="AS197" i="1"/>
  <c r="AS166" i="1" l="1"/>
  <c r="AK166" i="1"/>
  <c r="AK199" i="1"/>
  <c r="AS199" i="1"/>
  <c r="AS195" i="1"/>
  <c r="AK195" i="1"/>
  <c r="AS193" i="1"/>
  <c r="AK193" i="1"/>
  <c r="AS191" i="1"/>
  <c r="AK191" i="1"/>
  <c r="AS189" i="1"/>
  <c r="AK189" i="1"/>
  <c r="AS185" i="1"/>
  <c r="AK185" i="1"/>
  <c r="AS183" i="1"/>
  <c r="AK183" i="1"/>
  <c r="AS181" i="1"/>
  <c r="AK181" i="1"/>
  <c r="AS179" i="1"/>
  <c r="AK179" i="1"/>
  <c r="AS177" i="1"/>
  <c r="AK177" i="1"/>
  <c r="AS175" i="1"/>
  <c r="AK175" i="1"/>
  <c r="AS173" i="1"/>
  <c r="AK173" i="1"/>
  <c r="AS171" i="1"/>
  <c r="AK171" i="1"/>
  <c r="AS169" i="1"/>
  <c r="AK169" i="1"/>
  <c r="AS167" i="1"/>
  <c r="AK167" i="1"/>
  <c r="AK295" i="1"/>
  <c r="AS295" i="1"/>
  <c r="AK344" i="1"/>
  <c r="AS344" i="1"/>
  <c r="AK204" i="1"/>
  <c r="AS204" i="1"/>
  <c r="AS196" i="1"/>
  <c r="AK196" i="1"/>
  <c r="AS194" i="1"/>
  <c r="AK194" i="1"/>
  <c r="AS192" i="1"/>
  <c r="AK192" i="1"/>
  <c r="AS190" i="1"/>
  <c r="AK190" i="1"/>
  <c r="AS184" i="1"/>
  <c r="AK184" i="1"/>
  <c r="AS182" i="1"/>
  <c r="AK182" i="1"/>
  <c r="AS180" i="1"/>
  <c r="AK180" i="1"/>
  <c r="AS178" i="1"/>
  <c r="AK178" i="1"/>
  <c r="AS176" i="1"/>
  <c r="AK176" i="1"/>
  <c r="AS174" i="1"/>
  <c r="AK174" i="1"/>
  <c r="AS172" i="1"/>
  <c r="AK172" i="1"/>
  <c r="AS170" i="1"/>
  <c r="AK170" i="1"/>
  <c r="AS168" i="1"/>
  <c r="AK168" i="1"/>
  <c r="AK101" i="1"/>
  <c r="AS101" i="1"/>
  <c r="AK330" i="1"/>
  <c r="AS330" i="1"/>
  <c r="AK352" i="1"/>
  <c r="AS352" i="1"/>
  <c r="AK345" i="1"/>
  <c r="AS345" i="1"/>
  <c r="C341" i="6" l="1"/>
  <c r="Z349" i="1" l="1"/>
  <c r="O350" i="1"/>
  <c r="Z350" i="1"/>
  <c r="O348" i="1" l="1"/>
  <c r="O347" i="1"/>
  <c r="O346" i="1" l="1"/>
  <c r="E16" i="2"/>
  <c r="B16" i="2"/>
  <c r="E15" i="2"/>
  <c r="C31" i="2"/>
  <c r="D25" i="3" l="1"/>
  <c r="D26" i="3"/>
  <c r="D27" i="3"/>
  <c r="D29" i="3"/>
  <c r="D30" i="3"/>
  <c r="D31" i="3"/>
  <c r="D32" i="3"/>
  <c r="D33" i="3"/>
  <c r="D34" i="3"/>
  <c r="G34" i="3" s="1"/>
  <c r="M300" i="1" s="1"/>
  <c r="O300" i="1" s="1"/>
  <c r="D23" i="3"/>
  <c r="D24" i="3"/>
  <c r="D6" i="3"/>
  <c r="D7" i="3"/>
  <c r="G7" i="3" s="1"/>
  <c r="D8" i="3"/>
  <c r="D9" i="3"/>
  <c r="D10" i="3"/>
  <c r="D11" i="3"/>
  <c r="D12" i="3"/>
  <c r="G12" i="3" s="1"/>
  <c r="D13" i="3"/>
  <c r="D14" i="3"/>
  <c r="D15" i="3"/>
  <c r="D16" i="3"/>
  <c r="D17" i="3"/>
  <c r="G17" i="3" s="1"/>
  <c r="D18" i="3"/>
  <c r="G18" i="3" s="1"/>
  <c r="D19" i="3"/>
  <c r="G19" i="3" s="1"/>
  <c r="D20" i="3"/>
  <c r="G20" i="3" s="1"/>
  <c r="D21" i="3"/>
  <c r="G21" i="3" s="1"/>
  <c r="D22" i="3"/>
  <c r="D5" i="3"/>
  <c r="G5" i="3" s="1"/>
  <c r="G6" i="3" l="1"/>
  <c r="I6" i="3" s="1"/>
  <c r="I34" i="3"/>
  <c r="M231" i="1"/>
  <c r="M113" i="1"/>
  <c r="M48" i="1"/>
  <c r="M16" i="1"/>
  <c r="M240" i="1"/>
  <c r="M151" i="1"/>
  <c r="M97" i="1"/>
  <c r="M87" i="1"/>
  <c r="M82" i="1"/>
  <c r="M72" i="1"/>
  <c r="I20" i="3"/>
  <c r="I18" i="3"/>
  <c r="M203" i="1"/>
  <c r="M210" i="1"/>
  <c r="I19" i="3"/>
  <c r="I17" i="3"/>
  <c r="G33" i="3"/>
  <c r="M205" i="1" s="1"/>
  <c r="G32" i="3"/>
  <c r="M198" i="1" s="1"/>
  <c r="O198" i="1" s="1"/>
  <c r="I32" i="3" l="1"/>
  <c r="I33" i="3"/>
  <c r="C31" i="9"/>
  <c r="D31" i="9" s="1"/>
  <c r="G31" i="9" s="1"/>
  <c r="C30" i="9"/>
  <c r="D30" i="9" s="1"/>
  <c r="G30" i="9" s="1"/>
  <c r="C29" i="9"/>
  <c r="D29" i="9" s="1"/>
  <c r="G29" i="9" s="1"/>
  <c r="C28" i="9"/>
  <c r="D28" i="9" s="1"/>
  <c r="G28" i="9" s="1"/>
  <c r="D27" i="9"/>
  <c r="G27" i="9" s="1"/>
  <c r="C26" i="9"/>
  <c r="D26" i="9" s="1"/>
  <c r="G26" i="9" s="1"/>
  <c r="D25" i="9"/>
  <c r="G25" i="9" s="1"/>
  <c r="C24" i="9"/>
  <c r="D24" i="9" s="1"/>
  <c r="G24" i="9" s="1"/>
  <c r="C23" i="9"/>
  <c r="D23" i="9" s="1"/>
  <c r="G23" i="9" s="1"/>
  <c r="C22" i="9"/>
  <c r="D22" i="9" s="1"/>
  <c r="G22" i="9" s="1"/>
  <c r="D21" i="9"/>
  <c r="G21" i="9" s="1"/>
  <c r="C20" i="9"/>
  <c r="D20" i="9" s="1"/>
  <c r="C19" i="9"/>
  <c r="D19" i="9" s="1"/>
  <c r="C18" i="9"/>
  <c r="D18" i="9" s="1"/>
  <c r="C17" i="9"/>
  <c r="D17" i="9" s="1"/>
  <c r="C16" i="9"/>
  <c r="D16" i="9" s="1"/>
  <c r="G16" i="9" s="1"/>
  <c r="C15" i="9"/>
  <c r="D15" i="9" s="1"/>
  <c r="G15" i="9" s="1"/>
  <c r="C14" i="9"/>
  <c r="D14" i="9" s="1"/>
  <c r="G14" i="9" s="1"/>
  <c r="C13" i="9"/>
  <c r="D13" i="9" s="1"/>
  <c r="G13" i="9" s="1"/>
  <c r="D12" i="9"/>
  <c r="G12" i="9" s="1"/>
  <c r="C12" i="9"/>
  <c r="C11" i="9"/>
  <c r="D11" i="9" s="1"/>
  <c r="G11" i="9" s="1"/>
  <c r="C10" i="9"/>
  <c r="D10" i="9" s="1"/>
  <c r="G10" i="9" s="1"/>
  <c r="D9" i="9"/>
  <c r="G9" i="9" s="1"/>
  <c r="D8" i="9"/>
  <c r="G8" i="9" s="1"/>
  <c r="C7" i="9"/>
  <c r="D7" i="9" s="1"/>
  <c r="G7" i="9" s="1"/>
  <c r="C6" i="9"/>
  <c r="D6" i="9" s="1"/>
  <c r="G6" i="9" s="1"/>
  <c r="G5" i="9"/>
  <c r="C5" i="9"/>
  <c r="AR379" i="1" l="1"/>
  <c r="AC377" i="8" l="1"/>
  <c r="AA377" i="8"/>
  <c r="X370" i="8"/>
  <c r="AQ366" i="8"/>
  <c r="AP366" i="8"/>
  <c r="AG366" i="8"/>
  <c r="AF366" i="8"/>
  <c r="Z366" i="8"/>
  <c r="Y366" i="8"/>
  <c r="W366" i="8"/>
  <c r="AR364" i="8"/>
  <c r="AN364" i="8"/>
  <c r="AK364" i="8"/>
  <c r="AA364" i="8"/>
  <c r="AR363" i="8"/>
  <c r="AK363" i="8"/>
  <c r="AA363" i="8"/>
  <c r="AR362" i="8"/>
  <c r="AN362" i="8"/>
  <c r="AK362" i="8"/>
  <c r="AA362" i="8"/>
  <c r="T361" i="8"/>
  <c r="J361" i="8"/>
  <c r="AR360" i="8"/>
  <c r="AK360" i="8"/>
  <c r="AA360" i="8"/>
  <c r="AR359" i="8"/>
  <c r="AK359" i="8"/>
  <c r="AA359" i="8"/>
  <c r="P358" i="8"/>
  <c r="AR357" i="8"/>
  <c r="AN357" i="8"/>
  <c r="AK357" i="8"/>
  <c r="AA357" i="8"/>
  <c r="AR356" i="8"/>
  <c r="AK356" i="8"/>
  <c r="AR355" i="8"/>
  <c r="AN355" i="8"/>
  <c r="AK355" i="8"/>
  <c r="AA355" i="8"/>
  <c r="AR354" i="8"/>
  <c r="AN354" i="8"/>
  <c r="AK354" i="8"/>
  <c r="AA354" i="8"/>
  <c r="AR353" i="8"/>
  <c r="AK353" i="8"/>
  <c r="AA353" i="8"/>
  <c r="AR352" i="8"/>
  <c r="AK352" i="8"/>
  <c r="AA352" i="8"/>
  <c r="AR351" i="8"/>
  <c r="AK351" i="8"/>
  <c r="AA351" i="8"/>
  <c r="AR350" i="8"/>
  <c r="AK350" i="8"/>
  <c r="AA350" i="8"/>
  <c r="AR349" i="8"/>
  <c r="AK349" i="8"/>
  <c r="AA349" i="8"/>
  <c r="AR348" i="8"/>
  <c r="AK348" i="8"/>
  <c r="AA348" i="8"/>
  <c r="L346" i="8"/>
  <c r="L345" i="8"/>
  <c r="L344" i="8"/>
  <c r="AR343" i="8"/>
  <c r="AK343" i="8"/>
  <c r="AA343" i="8"/>
  <c r="T342" i="8"/>
  <c r="R342" i="8" s="1"/>
  <c r="S342" i="8" s="1"/>
  <c r="AR341" i="8"/>
  <c r="AK341" i="8"/>
  <c r="AA341" i="8"/>
  <c r="AR340" i="8"/>
  <c r="AN340" i="8"/>
  <c r="AK340" i="8"/>
  <c r="AA340" i="8"/>
  <c r="AR339" i="8"/>
  <c r="AN339" i="8"/>
  <c r="AK339" i="8"/>
  <c r="AA339" i="8"/>
  <c r="AR337" i="8"/>
  <c r="AN337" i="8"/>
  <c r="AK337" i="8"/>
  <c r="AA337" i="8"/>
  <c r="AR336" i="8"/>
  <c r="AN336" i="8"/>
  <c r="AK336" i="8"/>
  <c r="AA336" i="8"/>
  <c r="L335" i="8"/>
  <c r="AR334" i="8"/>
  <c r="AN334" i="8"/>
  <c r="AK334" i="8"/>
  <c r="AA334" i="8"/>
  <c r="L333" i="8"/>
  <c r="AR332" i="8"/>
  <c r="AN332" i="8"/>
  <c r="AK332" i="8"/>
  <c r="AA332" i="8"/>
  <c r="AR331" i="8"/>
  <c r="AN331" i="8"/>
  <c r="AK331" i="8"/>
  <c r="AA331" i="8"/>
  <c r="L330" i="8"/>
  <c r="L329" i="8"/>
  <c r="L328" i="8"/>
  <c r="L327" i="8"/>
  <c r="AR326" i="8"/>
  <c r="AN326" i="8"/>
  <c r="AK326" i="8"/>
  <c r="AA326" i="8"/>
  <c r="L325" i="8"/>
  <c r="T324" i="8"/>
  <c r="AR323" i="8"/>
  <c r="AK323" i="8"/>
  <c r="AA323" i="8"/>
  <c r="L322" i="8"/>
  <c r="T321" i="8"/>
  <c r="AR320" i="8"/>
  <c r="AK320" i="8"/>
  <c r="AA320" i="8"/>
  <c r="L319" i="8"/>
  <c r="L318" i="8"/>
  <c r="L317" i="8"/>
  <c r="L316" i="8"/>
  <c r="L315" i="8"/>
  <c r="L314" i="8"/>
  <c r="T313" i="8"/>
  <c r="AR312" i="8"/>
  <c r="AK312" i="8"/>
  <c r="AA312" i="8"/>
  <c r="L311" i="8"/>
  <c r="L310" i="8"/>
  <c r="L309" i="8"/>
  <c r="L308" i="8"/>
  <c r="L307" i="8"/>
  <c r="L306" i="8"/>
  <c r="T305" i="8"/>
  <c r="AR304" i="8"/>
  <c r="AK304" i="8"/>
  <c r="AA304" i="8"/>
  <c r="M303" i="8"/>
  <c r="O303" i="8" s="1"/>
  <c r="L303" i="8"/>
  <c r="M302" i="8"/>
  <c r="O302" i="8" s="1"/>
  <c r="L302" i="8"/>
  <c r="M301" i="8"/>
  <c r="O301" i="8" s="1"/>
  <c r="L301" i="8"/>
  <c r="AR299" i="8"/>
  <c r="AN299" i="8"/>
  <c r="AK299" i="8"/>
  <c r="AA299" i="8"/>
  <c r="L298" i="8"/>
  <c r="L297" i="8"/>
  <c r="L296" i="8"/>
  <c r="AR295" i="8"/>
  <c r="AN295" i="8"/>
  <c r="AK295" i="8"/>
  <c r="AA295" i="8"/>
  <c r="AR293" i="8"/>
  <c r="AK293" i="8"/>
  <c r="AA293" i="8"/>
  <c r="AR292" i="8"/>
  <c r="AK292" i="8"/>
  <c r="AA292" i="8"/>
  <c r="AR291" i="8"/>
  <c r="AK291" i="8"/>
  <c r="AA291" i="8"/>
  <c r="AR290" i="8"/>
  <c r="AK290" i="8"/>
  <c r="AA290" i="8"/>
  <c r="AR289" i="8"/>
  <c r="AK289" i="8"/>
  <c r="AA289" i="8"/>
  <c r="AR288" i="8"/>
  <c r="AK288" i="8"/>
  <c r="AA288" i="8"/>
  <c r="AR287" i="8"/>
  <c r="AN287" i="8"/>
  <c r="AK287" i="8"/>
  <c r="AA287" i="8"/>
  <c r="AR286" i="8"/>
  <c r="AN286" i="8"/>
  <c r="AK286" i="8"/>
  <c r="AA286" i="8"/>
  <c r="AR285" i="8"/>
  <c r="AN285" i="8"/>
  <c r="AK285" i="8"/>
  <c r="AA285" i="8"/>
  <c r="AR284" i="8"/>
  <c r="AN284" i="8"/>
  <c r="AK284" i="8"/>
  <c r="AA284" i="8"/>
  <c r="AR283" i="8"/>
  <c r="AN283" i="8"/>
  <c r="AK283" i="8"/>
  <c r="AA283" i="8"/>
  <c r="AR282" i="8"/>
  <c r="AN282" i="8"/>
  <c r="AK282" i="8"/>
  <c r="AA282" i="8"/>
  <c r="AR281" i="8"/>
  <c r="AN281" i="8"/>
  <c r="AK281" i="8"/>
  <c r="AA281" i="8"/>
  <c r="AR280" i="8"/>
  <c r="AN280" i="8"/>
  <c r="AK280" i="8"/>
  <c r="AA280" i="8"/>
  <c r="AR279" i="8"/>
  <c r="AN279" i="8"/>
  <c r="AK279" i="8"/>
  <c r="AA279" i="8"/>
  <c r="AR278" i="8"/>
  <c r="AN278" i="8"/>
  <c r="AK278" i="8"/>
  <c r="AA278" i="8"/>
  <c r="AR277" i="8"/>
  <c r="AN277" i="8"/>
  <c r="AK277" i="8"/>
  <c r="AA277" i="8"/>
  <c r="AR276" i="8"/>
  <c r="AN276" i="8"/>
  <c r="AK276" i="8"/>
  <c r="AA276" i="8"/>
  <c r="AR275" i="8"/>
  <c r="AN275" i="8"/>
  <c r="AK275" i="8"/>
  <c r="AA275" i="8"/>
  <c r="AR274" i="8"/>
  <c r="AN274" i="8"/>
  <c r="AK274" i="8"/>
  <c r="AA274" i="8"/>
  <c r="AR273" i="8"/>
  <c r="AN273" i="8"/>
  <c r="AK273" i="8"/>
  <c r="AA273" i="8"/>
  <c r="AR272" i="8"/>
  <c r="AN272" i="8"/>
  <c r="AK272" i="8"/>
  <c r="AA272" i="8"/>
  <c r="AR271" i="8"/>
  <c r="AN271" i="8"/>
  <c r="AK271" i="8"/>
  <c r="AA271" i="8"/>
  <c r="AR270" i="8"/>
  <c r="AN270" i="8"/>
  <c r="AK270" i="8"/>
  <c r="AA270" i="8"/>
  <c r="AR269" i="8"/>
  <c r="AN269" i="8"/>
  <c r="AK269" i="8"/>
  <c r="AA269" i="8"/>
  <c r="AR268" i="8"/>
  <c r="AN268" i="8"/>
  <c r="AK268" i="8"/>
  <c r="AA268" i="8"/>
  <c r="AR267" i="8"/>
  <c r="AN267" i="8"/>
  <c r="AK267" i="8"/>
  <c r="AA267" i="8"/>
  <c r="AR266" i="8"/>
  <c r="AN266" i="8"/>
  <c r="AK266" i="8"/>
  <c r="AA266" i="8"/>
  <c r="AR265" i="8"/>
  <c r="AN265" i="8"/>
  <c r="AK265" i="8"/>
  <c r="AA265" i="8"/>
  <c r="AR264" i="8"/>
  <c r="AN264" i="8"/>
  <c r="AK264" i="8"/>
  <c r="AA264" i="8"/>
  <c r="AR263" i="8"/>
  <c r="AN263" i="8"/>
  <c r="AK263" i="8"/>
  <c r="AA263" i="8"/>
  <c r="AR262" i="8"/>
  <c r="AN262" i="8"/>
  <c r="AK262" i="8"/>
  <c r="AA262" i="8"/>
  <c r="AR261" i="8"/>
  <c r="AN261" i="8"/>
  <c r="AK261" i="8"/>
  <c r="AA261" i="8"/>
  <c r="AR260" i="8"/>
  <c r="AN260" i="8"/>
  <c r="AK260" i="8"/>
  <c r="AA260" i="8"/>
  <c r="AR259" i="8"/>
  <c r="AN259" i="8"/>
  <c r="AK259" i="8"/>
  <c r="AA259" i="8"/>
  <c r="AR258" i="8"/>
  <c r="AN258" i="8"/>
  <c r="AK258" i="8"/>
  <c r="AA258" i="8"/>
  <c r="AR257" i="8"/>
  <c r="AN257" i="8"/>
  <c r="AK257" i="8"/>
  <c r="AA257" i="8"/>
  <c r="AR256" i="8"/>
  <c r="AN256" i="8"/>
  <c r="AK256" i="8"/>
  <c r="AA256" i="8"/>
  <c r="AR255" i="8"/>
  <c r="AN255" i="8"/>
  <c r="AK255" i="8"/>
  <c r="AA255" i="8"/>
  <c r="G255" i="8"/>
  <c r="AR254" i="8"/>
  <c r="AN254" i="8"/>
  <c r="AK254" i="8"/>
  <c r="AA254" i="8"/>
  <c r="AR253" i="8"/>
  <c r="AN253" i="8"/>
  <c r="AK253" i="8"/>
  <c r="AA253" i="8"/>
  <c r="AR252" i="8"/>
  <c r="AN252" i="8"/>
  <c r="AK252" i="8"/>
  <c r="AA252" i="8"/>
  <c r="AR251" i="8"/>
  <c r="AN251" i="8"/>
  <c r="AK251" i="8"/>
  <c r="AA251" i="8"/>
  <c r="AR250" i="8"/>
  <c r="AN250" i="8"/>
  <c r="AK250" i="8"/>
  <c r="AA250" i="8"/>
  <c r="AR249" i="8"/>
  <c r="AN249" i="8"/>
  <c r="AK249" i="8"/>
  <c r="AA249" i="8"/>
  <c r="AR248" i="8"/>
  <c r="AN248" i="8"/>
  <c r="AK248" i="8"/>
  <c r="AA248" i="8"/>
  <c r="AR247" i="8"/>
  <c r="AN247" i="8"/>
  <c r="AK247" i="8"/>
  <c r="AA247" i="8"/>
  <c r="AR246" i="8"/>
  <c r="AN246" i="8"/>
  <c r="AK246" i="8"/>
  <c r="AA246" i="8"/>
  <c r="AR245" i="8"/>
  <c r="AN245" i="8"/>
  <c r="AK245" i="8"/>
  <c r="AA245" i="8"/>
  <c r="AR244" i="8"/>
  <c r="AN244" i="8"/>
  <c r="AK244" i="8"/>
  <c r="AA244" i="8"/>
  <c r="AR243" i="8"/>
  <c r="AN243" i="8"/>
  <c r="AK243" i="8"/>
  <c r="AA243" i="8"/>
  <c r="L242" i="8"/>
  <c r="L241" i="8"/>
  <c r="L240" i="8"/>
  <c r="L239" i="8"/>
  <c r="L238" i="8"/>
  <c r="L237" i="8"/>
  <c r="L236" i="8"/>
  <c r="T235" i="8"/>
  <c r="R235" i="8" s="1"/>
  <c r="S235" i="8" s="1"/>
  <c r="AR234" i="8"/>
  <c r="AK234" i="8"/>
  <c r="AA234" i="8"/>
  <c r="G234" i="8"/>
  <c r="L233" i="8"/>
  <c r="L232" i="8"/>
  <c r="L231" i="8"/>
  <c r="L230" i="8"/>
  <c r="L229" i="8"/>
  <c r="L228" i="8"/>
  <c r="L227" i="8"/>
  <c r="S226" i="8"/>
  <c r="AR225" i="8"/>
  <c r="AK225" i="8"/>
  <c r="AA225" i="8"/>
  <c r="G225" i="8"/>
  <c r="AR224" i="8"/>
  <c r="AN224" i="8"/>
  <c r="AK224" i="8"/>
  <c r="AA224" i="8"/>
  <c r="L223" i="8"/>
  <c r="L222" i="8"/>
  <c r="L221" i="8"/>
  <c r="L220" i="8"/>
  <c r="L219" i="8"/>
  <c r="AR218" i="8"/>
  <c r="AN218" i="8"/>
  <c r="AK218" i="8"/>
  <c r="AA218" i="8"/>
  <c r="L217" i="8"/>
  <c r="L216" i="8"/>
  <c r="L215" i="8"/>
  <c r="L214" i="8"/>
  <c r="L213" i="8"/>
  <c r="AR212" i="8"/>
  <c r="AN212" i="8"/>
  <c r="AK212" i="8"/>
  <c r="AA212" i="8"/>
  <c r="M210" i="8"/>
  <c r="O210" i="8" s="1"/>
  <c r="L210" i="8"/>
  <c r="M209" i="8"/>
  <c r="O209" i="8" s="1"/>
  <c r="L209" i="8"/>
  <c r="M208" i="8"/>
  <c r="O208" i="8" s="1"/>
  <c r="L208" i="8"/>
  <c r="M207" i="8"/>
  <c r="O207" i="8" s="1"/>
  <c r="L207" i="8"/>
  <c r="O206" i="8"/>
  <c r="O205" i="8"/>
  <c r="AR204" i="8"/>
  <c r="AN204" i="8"/>
  <c r="AK204" i="8"/>
  <c r="AA204" i="8"/>
  <c r="L203" i="8"/>
  <c r="L202" i="8"/>
  <c r="L201" i="8"/>
  <c r="L200" i="8"/>
  <c r="AR199" i="8"/>
  <c r="AN199" i="8"/>
  <c r="AK199" i="8"/>
  <c r="AA199" i="8"/>
  <c r="AR197" i="8"/>
  <c r="AK197" i="8"/>
  <c r="AA197" i="8"/>
  <c r="O197" i="8"/>
  <c r="AR196" i="8"/>
  <c r="AN196" i="8"/>
  <c r="AK196" i="8"/>
  <c r="AA196" i="8"/>
  <c r="AR195" i="8"/>
  <c r="AN195" i="8"/>
  <c r="AK195" i="8"/>
  <c r="AA195" i="8"/>
  <c r="AR194" i="8"/>
  <c r="AN194" i="8"/>
  <c r="AK194" i="8"/>
  <c r="AA194" i="8"/>
  <c r="AR193" i="8"/>
  <c r="AN193" i="8"/>
  <c r="AK193" i="8"/>
  <c r="AA193" i="8"/>
  <c r="AR192" i="8"/>
  <c r="AN192" i="8"/>
  <c r="AK192" i="8"/>
  <c r="AA192" i="8"/>
  <c r="AR191" i="8"/>
  <c r="AN191" i="8"/>
  <c r="AK191" i="8"/>
  <c r="AA191" i="8"/>
  <c r="AR190" i="8"/>
  <c r="AN190" i="8"/>
  <c r="AK190" i="8"/>
  <c r="AA190" i="8"/>
  <c r="AR189" i="8"/>
  <c r="AN189" i="8"/>
  <c r="AK189" i="8"/>
  <c r="AA189" i="8"/>
  <c r="L188" i="8"/>
  <c r="L187" i="8"/>
  <c r="L186" i="8"/>
  <c r="AR185" i="8"/>
  <c r="AN185" i="8"/>
  <c r="AK185" i="8"/>
  <c r="AA185" i="8"/>
  <c r="AR184" i="8"/>
  <c r="AN184" i="8"/>
  <c r="AK184" i="8"/>
  <c r="AA184" i="8"/>
  <c r="AR183" i="8"/>
  <c r="AN183" i="8"/>
  <c r="AK183" i="8"/>
  <c r="AA183" i="8"/>
  <c r="AR182" i="8"/>
  <c r="AN182" i="8"/>
  <c r="AK182" i="8"/>
  <c r="AA182" i="8"/>
  <c r="AR181" i="8"/>
  <c r="AN181" i="8"/>
  <c r="AK181" i="8"/>
  <c r="AA181" i="8"/>
  <c r="AR180" i="8"/>
  <c r="AN180" i="8"/>
  <c r="AK180" i="8"/>
  <c r="AA180" i="8"/>
  <c r="AR179" i="8"/>
  <c r="AN179" i="8"/>
  <c r="AK179" i="8"/>
  <c r="AA179" i="8"/>
  <c r="AR178" i="8"/>
  <c r="AN178" i="8"/>
  <c r="AK178" i="8"/>
  <c r="AA178" i="8"/>
  <c r="AR177" i="8"/>
  <c r="AN177" i="8"/>
  <c r="AK177" i="8"/>
  <c r="AA177" i="8"/>
  <c r="AR176" i="8"/>
  <c r="AN176" i="8"/>
  <c r="AK176" i="8"/>
  <c r="AA176" i="8"/>
  <c r="AR175" i="8"/>
  <c r="AN175" i="8"/>
  <c r="AK175" i="8"/>
  <c r="AA175" i="8"/>
  <c r="AR174" i="8"/>
  <c r="AN174" i="8"/>
  <c r="AK174" i="8"/>
  <c r="AA174" i="8"/>
  <c r="AR173" i="8"/>
  <c r="AN173" i="8"/>
  <c r="AK173" i="8"/>
  <c r="AA173" i="8"/>
  <c r="AR172" i="8"/>
  <c r="AN172" i="8"/>
  <c r="AK172" i="8"/>
  <c r="AA172" i="8"/>
  <c r="AR171" i="8"/>
  <c r="AN171" i="8"/>
  <c r="AK171" i="8"/>
  <c r="AA171" i="8"/>
  <c r="AR170" i="8"/>
  <c r="AN170" i="8"/>
  <c r="AK170" i="8"/>
  <c r="AA170" i="8"/>
  <c r="AR169" i="8"/>
  <c r="AN169" i="8"/>
  <c r="AK169" i="8"/>
  <c r="AA169" i="8"/>
  <c r="AR168" i="8"/>
  <c r="AN168" i="8"/>
  <c r="AK168" i="8"/>
  <c r="AA168" i="8"/>
  <c r="AR167" i="8"/>
  <c r="AN167" i="8"/>
  <c r="AK167" i="8"/>
  <c r="AA167" i="8"/>
  <c r="AR166" i="8"/>
  <c r="AN166" i="8"/>
  <c r="AK166" i="8"/>
  <c r="AA166" i="8"/>
  <c r="L165" i="8"/>
  <c r="L164" i="8"/>
  <c r="L163" i="8"/>
  <c r="AR162" i="8"/>
  <c r="AN162" i="8"/>
  <c r="AK162" i="8"/>
  <c r="AA162" i="8"/>
  <c r="L161" i="8"/>
  <c r="L160" i="8"/>
  <c r="L159" i="8"/>
  <c r="AR158" i="8"/>
  <c r="AN158" i="8"/>
  <c r="AK158" i="8"/>
  <c r="AA158" i="8"/>
  <c r="L157" i="8"/>
  <c r="L156" i="8"/>
  <c r="L155" i="8"/>
  <c r="AR154" i="8"/>
  <c r="AN154" i="8"/>
  <c r="AK154" i="8"/>
  <c r="AA154" i="8"/>
  <c r="L153" i="8"/>
  <c r="L152" i="8"/>
  <c r="L151" i="8"/>
  <c r="L150" i="8"/>
  <c r="L149" i="8"/>
  <c r="L148" i="8"/>
  <c r="L147" i="8"/>
  <c r="T146" i="8"/>
  <c r="AR145" i="8"/>
  <c r="AK145" i="8"/>
  <c r="AA145" i="8"/>
  <c r="G145" i="8"/>
  <c r="N144" i="8"/>
  <c r="L144" i="8"/>
  <c r="N143" i="8"/>
  <c r="L143" i="8"/>
  <c r="L142" i="8"/>
  <c r="AR141" i="8"/>
  <c r="AN141" i="8"/>
  <c r="AK141" i="8"/>
  <c r="AA141" i="8"/>
  <c r="AR140" i="8"/>
  <c r="AN140" i="8"/>
  <c r="AK140" i="8"/>
  <c r="AA140" i="8"/>
  <c r="N139" i="8"/>
  <c r="L139" i="8"/>
  <c r="N138" i="8"/>
  <c r="L138" i="8"/>
  <c r="L137" i="8"/>
  <c r="L136" i="8"/>
  <c r="L135" i="8"/>
  <c r="L134" i="8"/>
  <c r="AR133" i="8"/>
  <c r="AK133" i="8"/>
  <c r="AA133" i="8"/>
  <c r="L132" i="8"/>
  <c r="AR130" i="8"/>
  <c r="AK130" i="8"/>
  <c r="AA130" i="8"/>
  <c r="AR129" i="8"/>
  <c r="AN129" i="8"/>
  <c r="AK129" i="8"/>
  <c r="AA129" i="8"/>
  <c r="N127" i="8"/>
  <c r="L127" i="8"/>
  <c r="N126" i="8"/>
  <c r="L126" i="8"/>
  <c r="L125" i="8"/>
  <c r="AR124" i="8"/>
  <c r="AN124" i="8"/>
  <c r="AK124" i="8"/>
  <c r="AA124" i="8"/>
  <c r="L123" i="8"/>
  <c r="L122" i="8"/>
  <c r="L121" i="8"/>
  <c r="AR120" i="8"/>
  <c r="AN120" i="8"/>
  <c r="AK120" i="8"/>
  <c r="AA120" i="8"/>
  <c r="L119" i="8"/>
  <c r="AR117" i="8"/>
  <c r="AK117" i="8"/>
  <c r="AA117" i="8"/>
  <c r="N116" i="8"/>
  <c r="L116" i="8"/>
  <c r="N115" i="8"/>
  <c r="L115" i="8"/>
  <c r="L114" i="8"/>
  <c r="L113" i="8"/>
  <c r="L112" i="8"/>
  <c r="L111" i="8"/>
  <c r="L110" i="8"/>
  <c r="AR108" i="8"/>
  <c r="AK108" i="8"/>
  <c r="AA108" i="8"/>
  <c r="L106" i="8"/>
  <c r="L105" i="8"/>
  <c r="L104" i="8"/>
  <c r="AR103" i="8"/>
  <c r="AN103" i="8"/>
  <c r="AK103" i="8"/>
  <c r="AA103" i="8"/>
  <c r="AR101" i="8"/>
  <c r="AN101" i="8"/>
  <c r="AK101" i="8"/>
  <c r="AA101" i="8"/>
  <c r="AR99" i="8"/>
  <c r="AN99" i="8"/>
  <c r="AK99" i="8"/>
  <c r="AA99" i="8"/>
  <c r="L98" i="8"/>
  <c r="L97" i="8"/>
  <c r="L96" i="8"/>
  <c r="L95" i="8"/>
  <c r="L94" i="8"/>
  <c r="L93" i="8"/>
  <c r="L92" i="8"/>
  <c r="L91" i="8"/>
  <c r="T90" i="8"/>
  <c r="AR89" i="8"/>
  <c r="AK89" i="8"/>
  <c r="AA89" i="8"/>
  <c r="L88" i="8"/>
  <c r="L87" i="8"/>
  <c r="L86" i="8"/>
  <c r="L85" i="8"/>
  <c r="AR84" i="8"/>
  <c r="AK84" i="8"/>
  <c r="AA84" i="8"/>
  <c r="L83" i="8"/>
  <c r="L82" i="8"/>
  <c r="L81" i="8"/>
  <c r="L80" i="8"/>
  <c r="L79" i="8"/>
  <c r="L78" i="8"/>
  <c r="L77" i="8"/>
  <c r="L76" i="8"/>
  <c r="T75" i="8"/>
  <c r="AR74" i="8"/>
  <c r="AK74" i="8"/>
  <c r="AA74" i="8"/>
  <c r="L73" i="8"/>
  <c r="L72" i="8"/>
  <c r="L71" i="8"/>
  <c r="L70" i="8"/>
  <c r="AR69" i="8"/>
  <c r="AK69" i="8"/>
  <c r="AA69" i="8"/>
  <c r="AR68" i="8"/>
  <c r="AN68" i="8"/>
  <c r="AK68" i="8"/>
  <c r="AA68" i="8"/>
  <c r="AR67" i="8"/>
  <c r="AN67" i="8"/>
  <c r="AK67" i="8"/>
  <c r="AA67" i="8"/>
  <c r="AR66" i="8"/>
  <c r="AN66" i="8"/>
  <c r="AK66" i="8"/>
  <c r="AA66" i="8"/>
  <c r="AR65" i="8"/>
  <c r="AN65" i="8"/>
  <c r="AK65" i="8"/>
  <c r="AA65" i="8"/>
  <c r="G65" i="8"/>
  <c r="G67" i="8" s="1"/>
  <c r="L64" i="8"/>
  <c r="L63" i="8"/>
  <c r="AR62" i="8"/>
  <c r="AK62" i="8"/>
  <c r="AA62" i="8"/>
  <c r="AR61" i="8"/>
  <c r="AN61" i="8"/>
  <c r="AK61" i="8"/>
  <c r="AA61" i="8"/>
  <c r="AR59" i="8"/>
  <c r="AK59" i="8"/>
  <c r="AA59" i="8"/>
  <c r="G59" i="8"/>
  <c r="AR58" i="8"/>
  <c r="AK58" i="8"/>
  <c r="AA58" i="8"/>
  <c r="L57" i="8"/>
  <c r="AR56" i="8"/>
  <c r="AK56" i="8"/>
  <c r="AA56" i="8"/>
  <c r="N55" i="8"/>
  <c r="L55" i="8"/>
  <c r="N54" i="8"/>
  <c r="L54" i="8"/>
  <c r="L53" i="8"/>
  <c r="AR52" i="8"/>
  <c r="AN52" i="8"/>
  <c r="AK52" i="8"/>
  <c r="AA52" i="8"/>
  <c r="L51" i="8"/>
  <c r="L50" i="8"/>
  <c r="L49" i="8"/>
  <c r="L48" i="8"/>
  <c r="L47" i="8"/>
  <c r="L46" i="8"/>
  <c r="L45" i="8"/>
  <c r="T44" i="8"/>
  <c r="V44" i="8" s="1"/>
  <c r="AR43" i="8"/>
  <c r="AK43" i="8"/>
  <c r="AA43" i="8"/>
  <c r="L42" i="8"/>
  <c r="T41" i="8"/>
  <c r="AR40" i="8"/>
  <c r="AK40" i="8"/>
  <c r="AA40" i="8"/>
  <c r="L38" i="8"/>
  <c r="L37" i="8"/>
  <c r="L36" i="8"/>
  <c r="AR35" i="8"/>
  <c r="AN35" i="8"/>
  <c r="AK35" i="8"/>
  <c r="AA35" i="8"/>
  <c r="L34" i="8"/>
  <c r="L33" i="8"/>
  <c r="L32" i="8"/>
  <c r="AR31" i="8"/>
  <c r="AN31" i="8"/>
  <c r="AK31" i="8"/>
  <c r="AA31" i="8"/>
  <c r="AR30" i="8"/>
  <c r="AN30" i="8"/>
  <c r="AK30" i="8"/>
  <c r="AA30" i="8"/>
  <c r="L29" i="8"/>
  <c r="AR28" i="8"/>
  <c r="AK28" i="8"/>
  <c r="AA28" i="8"/>
  <c r="L27" i="8"/>
  <c r="T26" i="8"/>
  <c r="AR25" i="8"/>
  <c r="AK25" i="8"/>
  <c r="AA25" i="8"/>
  <c r="L24" i="8"/>
  <c r="T23" i="8"/>
  <c r="AR22" i="8"/>
  <c r="AK22" i="8"/>
  <c r="AA22" i="8"/>
  <c r="L21" i="8"/>
  <c r="AR20" i="8"/>
  <c r="AN20" i="8"/>
  <c r="AK20" i="8"/>
  <c r="AA20" i="8"/>
  <c r="G20" i="8"/>
  <c r="G133" i="8" s="1"/>
  <c r="L19" i="8"/>
  <c r="L18" i="8"/>
  <c r="L17" i="8"/>
  <c r="L16" i="8"/>
  <c r="L15" i="8"/>
  <c r="L14" i="8"/>
  <c r="L13" i="8"/>
  <c r="AR11" i="8"/>
  <c r="AK11" i="8"/>
  <c r="AA11" i="8"/>
  <c r="AR9" i="8"/>
  <c r="AK9" i="8"/>
  <c r="AA9" i="8"/>
  <c r="AR8" i="8"/>
  <c r="AK8" i="8"/>
  <c r="AA8" i="8"/>
  <c r="Q5" i="8"/>
  <c r="Q131" i="8" s="1"/>
  <c r="T131" i="8" s="1"/>
  <c r="R131" i="8" s="1"/>
  <c r="S131" i="8" s="1"/>
  <c r="I5" i="8"/>
  <c r="J372" i="7"/>
  <c r="F361" i="7"/>
  <c r="E361" i="7"/>
  <c r="K347" i="7"/>
  <c r="K346" i="7"/>
  <c r="K345" i="7"/>
  <c r="K344" i="7"/>
  <c r="K338" i="7"/>
  <c r="K335" i="7"/>
  <c r="K333" i="7"/>
  <c r="K330" i="7"/>
  <c r="K329" i="7"/>
  <c r="K328" i="7"/>
  <c r="K327" i="7"/>
  <c r="K325" i="7"/>
  <c r="F324" i="7"/>
  <c r="E324" i="7"/>
  <c r="K322" i="7"/>
  <c r="F321" i="7"/>
  <c r="E321" i="7"/>
  <c r="K319" i="7"/>
  <c r="K318" i="7"/>
  <c r="K317" i="7"/>
  <c r="K316" i="7"/>
  <c r="K315" i="7"/>
  <c r="K314" i="7"/>
  <c r="F313" i="7"/>
  <c r="E313" i="7"/>
  <c r="K311" i="7"/>
  <c r="K310" i="7"/>
  <c r="K309" i="7"/>
  <c r="K308" i="7"/>
  <c r="K307" i="7"/>
  <c r="K306" i="7"/>
  <c r="F305" i="7"/>
  <c r="E305" i="7"/>
  <c r="F303" i="7"/>
  <c r="E303" i="7"/>
  <c r="F302" i="7"/>
  <c r="E302" i="7"/>
  <c r="F301" i="7"/>
  <c r="E301" i="7"/>
  <c r="F300" i="7"/>
  <c r="E300" i="7"/>
  <c r="K298" i="7"/>
  <c r="K297" i="7"/>
  <c r="K296" i="7"/>
  <c r="K294" i="7"/>
  <c r="K242" i="7"/>
  <c r="K241" i="7"/>
  <c r="K240" i="7"/>
  <c r="K239" i="7"/>
  <c r="K238" i="7"/>
  <c r="K237" i="7"/>
  <c r="K236" i="7"/>
  <c r="K233" i="7"/>
  <c r="K232" i="7"/>
  <c r="K231" i="7"/>
  <c r="K230" i="7"/>
  <c r="K229" i="7"/>
  <c r="K228" i="7"/>
  <c r="K227" i="7"/>
  <c r="E226" i="7"/>
  <c r="K223" i="7"/>
  <c r="K222" i="7"/>
  <c r="K221" i="7"/>
  <c r="K220" i="7"/>
  <c r="K219" i="7"/>
  <c r="K217" i="7"/>
  <c r="K216" i="7"/>
  <c r="K215" i="7"/>
  <c r="K214" i="7"/>
  <c r="K213" i="7"/>
  <c r="K211" i="7"/>
  <c r="K210" i="7"/>
  <c r="K209" i="7"/>
  <c r="K208" i="7"/>
  <c r="K207" i="7"/>
  <c r="K206" i="7"/>
  <c r="K205" i="7"/>
  <c r="F203" i="7"/>
  <c r="E203" i="7"/>
  <c r="F202" i="7"/>
  <c r="E202" i="7"/>
  <c r="F201" i="7"/>
  <c r="E201" i="7"/>
  <c r="F200" i="7"/>
  <c r="E200" i="7"/>
  <c r="F198" i="7"/>
  <c r="E198" i="7"/>
  <c r="K188" i="7"/>
  <c r="K187" i="7"/>
  <c r="K186" i="7"/>
  <c r="K165" i="7"/>
  <c r="K164" i="7"/>
  <c r="K163" i="7"/>
  <c r="K161" i="7"/>
  <c r="K160" i="7"/>
  <c r="K159" i="7"/>
  <c r="K157" i="7"/>
  <c r="K156" i="7"/>
  <c r="K155" i="7"/>
  <c r="K153" i="7"/>
  <c r="K152" i="7"/>
  <c r="K151" i="7"/>
  <c r="K150" i="7"/>
  <c r="K149" i="7"/>
  <c r="K148" i="7"/>
  <c r="K147" i="7"/>
  <c r="F146" i="7"/>
  <c r="E146" i="7"/>
  <c r="K144" i="7"/>
  <c r="K143" i="7"/>
  <c r="K142" i="7"/>
  <c r="K139" i="7"/>
  <c r="K138" i="7"/>
  <c r="K137" i="7"/>
  <c r="K136" i="7"/>
  <c r="K135" i="7"/>
  <c r="K134" i="7"/>
  <c r="K132" i="7"/>
  <c r="K128" i="7"/>
  <c r="K127" i="7"/>
  <c r="K126" i="7"/>
  <c r="K125" i="7"/>
  <c r="K123" i="7"/>
  <c r="K122" i="7"/>
  <c r="K121" i="7"/>
  <c r="K119" i="7"/>
  <c r="K116" i="7"/>
  <c r="K115" i="7"/>
  <c r="K114" i="7"/>
  <c r="K113" i="7"/>
  <c r="K112" i="7"/>
  <c r="K111" i="7"/>
  <c r="K110" i="7"/>
  <c r="K107" i="7"/>
  <c r="K106" i="7"/>
  <c r="K105" i="7"/>
  <c r="K104" i="7"/>
  <c r="K102" i="7"/>
  <c r="K100" i="7"/>
  <c r="K98" i="7"/>
  <c r="K97" i="7"/>
  <c r="K96" i="7"/>
  <c r="K95" i="7"/>
  <c r="K94" i="7"/>
  <c r="K93" i="7"/>
  <c r="K92" i="7"/>
  <c r="K91" i="7"/>
  <c r="F90" i="7"/>
  <c r="E90" i="7"/>
  <c r="K88" i="7"/>
  <c r="K87" i="7"/>
  <c r="K86" i="7"/>
  <c r="K85" i="7"/>
  <c r="K83" i="7"/>
  <c r="K82" i="7"/>
  <c r="K81" i="7"/>
  <c r="K80" i="7"/>
  <c r="K79" i="7"/>
  <c r="K78" i="7"/>
  <c r="K77" i="7"/>
  <c r="K76" i="7"/>
  <c r="F75" i="7"/>
  <c r="E75" i="7"/>
  <c r="K73" i="7"/>
  <c r="K72" i="7"/>
  <c r="K71" i="7"/>
  <c r="K70" i="7"/>
  <c r="K64" i="7"/>
  <c r="K63" i="7"/>
  <c r="K60" i="7"/>
  <c r="K57" i="7"/>
  <c r="K55" i="7"/>
  <c r="K54" i="7"/>
  <c r="K53" i="7"/>
  <c r="K51" i="7"/>
  <c r="K50" i="7"/>
  <c r="K49" i="7"/>
  <c r="K48" i="7"/>
  <c r="K47" i="7"/>
  <c r="K46" i="7"/>
  <c r="K45" i="7"/>
  <c r="K42" i="7"/>
  <c r="F41" i="7"/>
  <c r="E41" i="7"/>
  <c r="K39" i="7"/>
  <c r="K38" i="7"/>
  <c r="K37" i="7"/>
  <c r="K36" i="7"/>
  <c r="K34" i="7"/>
  <c r="K33" i="7"/>
  <c r="K32" i="7"/>
  <c r="K29" i="7"/>
  <c r="K27" i="7"/>
  <c r="F26" i="7"/>
  <c r="E26" i="7"/>
  <c r="K24" i="7"/>
  <c r="F23" i="7"/>
  <c r="E23" i="7"/>
  <c r="K21" i="7"/>
  <c r="K19" i="7"/>
  <c r="K18" i="7"/>
  <c r="K17" i="7"/>
  <c r="K16" i="7"/>
  <c r="K15" i="7"/>
  <c r="K14" i="7"/>
  <c r="K13" i="7"/>
  <c r="K10" i="7"/>
  <c r="E5" i="7"/>
  <c r="K10" i="6"/>
  <c r="K13" i="6"/>
  <c r="K14" i="6"/>
  <c r="K15" i="6"/>
  <c r="K16" i="6"/>
  <c r="K17" i="6"/>
  <c r="K18" i="6"/>
  <c r="K19" i="6"/>
  <c r="K21" i="6"/>
  <c r="K24" i="6"/>
  <c r="K27" i="6"/>
  <c r="K29" i="6"/>
  <c r="K32" i="6"/>
  <c r="K33" i="6"/>
  <c r="K34" i="6"/>
  <c r="K36" i="6"/>
  <c r="K37" i="6"/>
  <c r="K38" i="6"/>
  <c r="K39" i="6"/>
  <c r="K42" i="6"/>
  <c r="K45" i="6"/>
  <c r="K46" i="6"/>
  <c r="K47" i="6"/>
  <c r="K48" i="6"/>
  <c r="K49" i="6"/>
  <c r="K50" i="6"/>
  <c r="K51" i="6"/>
  <c r="K53" i="6"/>
  <c r="K54" i="6"/>
  <c r="K55" i="6"/>
  <c r="K57" i="6"/>
  <c r="K60" i="6"/>
  <c r="K63" i="6"/>
  <c r="K64" i="6"/>
  <c r="K70" i="6"/>
  <c r="K71" i="6"/>
  <c r="K72" i="6"/>
  <c r="K73" i="6"/>
  <c r="K76" i="6"/>
  <c r="K77" i="6"/>
  <c r="K78" i="6"/>
  <c r="K79" i="6"/>
  <c r="K80" i="6"/>
  <c r="K81" i="6"/>
  <c r="K82" i="6"/>
  <c r="K83" i="6"/>
  <c r="K85" i="6"/>
  <c r="K86" i="6"/>
  <c r="K87" i="6"/>
  <c r="K88" i="6"/>
  <c r="K91" i="6"/>
  <c r="K92" i="6"/>
  <c r="K93" i="6"/>
  <c r="K94" i="6"/>
  <c r="K95" i="6"/>
  <c r="K96" i="6"/>
  <c r="K97" i="6"/>
  <c r="K98" i="6"/>
  <c r="K100" i="6"/>
  <c r="K102" i="6"/>
  <c r="K104" i="6"/>
  <c r="K105" i="6"/>
  <c r="K106" i="6"/>
  <c r="K107" i="6"/>
  <c r="K110" i="6"/>
  <c r="K111" i="6"/>
  <c r="K112" i="6"/>
  <c r="K113" i="6"/>
  <c r="K114" i="6"/>
  <c r="K115" i="6"/>
  <c r="K116" i="6"/>
  <c r="K119" i="6"/>
  <c r="K121" i="6"/>
  <c r="K122" i="6"/>
  <c r="K123" i="6"/>
  <c r="K125" i="6"/>
  <c r="K126" i="6"/>
  <c r="K127" i="6"/>
  <c r="K128" i="6"/>
  <c r="K132" i="6"/>
  <c r="K134" i="6"/>
  <c r="K135" i="6"/>
  <c r="K136" i="6"/>
  <c r="K137" i="6"/>
  <c r="K138" i="6"/>
  <c r="K139" i="6"/>
  <c r="K142" i="6"/>
  <c r="K143" i="6"/>
  <c r="K144" i="6"/>
  <c r="K147" i="6"/>
  <c r="K148" i="6"/>
  <c r="K149" i="6"/>
  <c r="K150" i="6"/>
  <c r="K151" i="6"/>
  <c r="K152" i="6"/>
  <c r="K153" i="6"/>
  <c r="K155" i="6"/>
  <c r="K156" i="6"/>
  <c r="K157" i="6"/>
  <c r="K159" i="6"/>
  <c r="K160" i="6"/>
  <c r="K161" i="6"/>
  <c r="K163" i="6"/>
  <c r="K164" i="6"/>
  <c r="K165" i="6"/>
  <c r="K186" i="6"/>
  <c r="K187" i="6"/>
  <c r="K188" i="6"/>
  <c r="K205" i="6"/>
  <c r="K206" i="6"/>
  <c r="K207" i="6"/>
  <c r="K208" i="6"/>
  <c r="K209" i="6"/>
  <c r="K210" i="6"/>
  <c r="K211" i="6"/>
  <c r="K213" i="6"/>
  <c r="K214" i="6"/>
  <c r="K215" i="6"/>
  <c r="K216" i="6"/>
  <c r="K217" i="6"/>
  <c r="K219" i="6"/>
  <c r="K220" i="6"/>
  <c r="K221" i="6"/>
  <c r="K222" i="6"/>
  <c r="K223" i="6"/>
  <c r="K227" i="6"/>
  <c r="K228" i="6"/>
  <c r="K229" i="6"/>
  <c r="K230" i="6"/>
  <c r="K231" i="6"/>
  <c r="K232" i="6"/>
  <c r="K233" i="6"/>
  <c r="K236" i="6"/>
  <c r="K237" i="6"/>
  <c r="K238" i="6"/>
  <c r="K239" i="6"/>
  <c r="K240" i="6"/>
  <c r="K241" i="6"/>
  <c r="K242" i="6"/>
  <c r="K294" i="6"/>
  <c r="K296" i="6"/>
  <c r="K297" i="6"/>
  <c r="K298" i="6"/>
  <c r="K307" i="6"/>
  <c r="K308" i="6"/>
  <c r="K309" i="6"/>
  <c r="K310" i="6"/>
  <c r="K311" i="6"/>
  <c r="K312" i="6"/>
  <c r="K315" i="6"/>
  <c r="K316" i="6"/>
  <c r="K317" i="6"/>
  <c r="K318" i="6"/>
  <c r="K319" i="6"/>
  <c r="K320" i="6"/>
  <c r="K323" i="6"/>
  <c r="K326" i="6"/>
  <c r="K328" i="6"/>
  <c r="K329" i="6"/>
  <c r="K330" i="6"/>
  <c r="K331" i="6"/>
  <c r="K334" i="6"/>
  <c r="K337" i="6"/>
  <c r="K342" i="6"/>
  <c r="K348" i="6"/>
  <c r="K349" i="6"/>
  <c r="K350" i="6"/>
  <c r="K351" i="6"/>
  <c r="Y390" i="1"/>
  <c r="AA366" i="8" l="1"/>
  <c r="AA368" i="8" s="1"/>
  <c r="AR366" i="8"/>
  <c r="R44" i="8"/>
  <c r="S44" i="8" s="1"/>
  <c r="G300" i="7"/>
  <c r="K300" i="7" s="1"/>
  <c r="G301" i="7"/>
  <c r="K301" i="7" s="1"/>
  <c r="G302" i="7"/>
  <c r="K302" i="7" s="1"/>
  <c r="G303" i="7"/>
  <c r="K303" i="7" s="1"/>
  <c r="G305" i="7"/>
  <c r="K305" i="7" s="1"/>
  <c r="G313" i="7"/>
  <c r="K313" i="7" s="1"/>
  <c r="G321" i="7"/>
  <c r="K321" i="7" s="1"/>
  <c r="G23" i="7"/>
  <c r="K23" i="7" s="1"/>
  <c r="G41" i="7"/>
  <c r="K41" i="7" s="1"/>
  <c r="G146" i="7"/>
  <c r="K146" i="7" s="1"/>
  <c r="G26" i="7"/>
  <c r="K26" i="7" s="1"/>
  <c r="G75" i="7"/>
  <c r="K75" i="7" s="1"/>
  <c r="G90" i="7"/>
  <c r="K90" i="7" s="1"/>
  <c r="G198" i="7"/>
  <c r="K198" i="7" s="1"/>
  <c r="G200" i="7"/>
  <c r="K200" i="7" s="1"/>
  <c r="G201" i="7"/>
  <c r="K201" i="7" s="1"/>
  <c r="G202" i="7"/>
  <c r="K202" i="7" s="1"/>
  <c r="G203" i="7"/>
  <c r="K203" i="7" s="1"/>
  <c r="G324" i="7"/>
  <c r="K324" i="7" s="1"/>
  <c r="G361" i="7"/>
  <c r="K361" i="7" s="1"/>
  <c r="O299" i="8"/>
  <c r="I118" i="8"/>
  <c r="J118" i="8" s="1"/>
  <c r="P118" i="8" s="1"/>
  <c r="I109" i="8"/>
  <c r="J109" i="8" s="1"/>
  <c r="O204" i="8"/>
  <c r="Q109" i="8"/>
  <c r="T109" i="8" s="1"/>
  <c r="R109" i="8" s="1"/>
  <c r="S109" i="8" s="1"/>
  <c r="Q226" i="8"/>
  <c r="T226" i="8" s="1"/>
  <c r="Q12" i="8"/>
  <c r="T12" i="8" s="1"/>
  <c r="R12" i="8" s="1"/>
  <c r="S12" i="8" s="1"/>
  <c r="Q358" i="8"/>
  <c r="T358" i="8" s="1"/>
  <c r="R358" i="8" s="1"/>
  <c r="S358" i="8" s="1"/>
  <c r="AO9" i="1"/>
  <c r="AO11" i="1"/>
  <c r="AO20" i="1"/>
  <c r="AO22" i="1"/>
  <c r="AO25" i="1"/>
  <c r="AO28" i="1"/>
  <c r="AO30" i="1"/>
  <c r="AO31" i="1"/>
  <c r="AO35" i="1"/>
  <c r="AO40" i="1"/>
  <c r="AO43" i="1"/>
  <c r="AO52" i="1"/>
  <c r="AO56" i="1"/>
  <c r="AO58" i="1"/>
  <c r="AO59" i="1"/>
  <c r="AO61" i="1"/>
  <c r="AO62" i="1"/>
  <c r="AO65" i="1"/>
  <c r="AO66" i="1"/>
  <c r="AO67" i="1"/>
  <c r="AO68" i="1"/>
  <c r="AO69" i="1"/>
  <c r="AO74" i="1"/>
  <c r="AO84" i="1"/>
  <c r="AO89" i="1"/>
  <c r="AO99" i="1"/>
  <c r="AO101" i="1"/>
  <c r="AO103" i="1"/>
  <c r="AO108" i="1"/>
  <c r="AO117" i="1"/>
  <c r="AO120" i="1"/>
  <c r="AO124" i="1"/>
  <c r="AO129" i="1"/>
  <c r="AO130" i="1"/>
  <c r="AO133" i="1"/>
  <c r="AO140" i="1"/>
  <c r="AO141" i="1"/>
  <c r="AO145" i="1"/>
  <c r="AO154" i="1"/>
  <c r="AO158" i="1"/>
  <c r="AO162" i="1"/>
  <c r="AO166" i="1"/>
  <c r="AO167" i="1"/>
  <c r="AO168" i="1"/>
  <c r="AO169" i="1"/>
  <c r="AO170" i="1"/>
  <c r="AO171" i="1"/>
  <c r="AO172" i="1"/>
  <c r="AO173" i="1"/>
  <c r="AO174" i="1"/>
  <c r="AO175" i="1"/>
  <c r="AO176" i="1"/>
  <c r="AO177" i="1"/>
  <c r="AO178" i="1"/>
  <c r="AO179" i="1"/>
  <c r="AO180" i="1"/>
  <c r="AO181" i="1"/>
  <c r="AO182" i="1"/>
  <c r="AO183" i="1"/>
  <c r="AO184" i="1"/>
  <c r="AO185" i="1"/>
  <c r="AO189" i="1"/>
  <c r="AO190" i="1"/>
  <c r="AO191" i="1"/>
  <c r="AO192" i="1"/>
  <c r="AO193" i="1"/>
  <c r="AO194" i="1"/>
  <c r="AO195" i="1"/>
  <c r="AO196" i="1"/>
  <c r="AO197" i="1"/>
  <c r="AO199" i="1"/>
  <c r="AO204" i="1"/>
  <c r="AO212" i="1"/>
  <c r="AO218" i="1"/>
  <c r="AO224" i="1"/>
  <c r="AO225" i="1"/>
  <c r="AO234"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5" i="1"/>
  <c r="AO299" i="1"/>
  <c r="AO308" i="1"/>
  <c r="AO316" i="1"/>
  <c r="AO324" i="1"/>
  <c r="AO327" i="1"/>
  <c r="AO330" i="1"/>
  <c r="AO335" i="1"/>
  <c r="AO344" i="1"/>
  <c r="AO345" i="1"/>
  <c r="AO352" i="1"/>
  <c r="AO353" i="1"/>
  <c r="AO354" i="1"/>
  <c r="AO356" i="1"/>
  <c r="AO361" i="1"/>
  <c r="AO362" i="1"/>
  <c r="AO363" i="1"/>
  <c r="AO364" i="1"/>
  <c r="AO365" i="1"/>
  <c r="AO366" i="1"/>
  <c r="AO367" i="1"/>
  <c r="AO368" i="1"/>
  <c r="AO369" i="1"/>
  <c r="AO370" i="1"/>
  <c r="AO372" i="1"/>
  <c r="AO373" i="1"/>
  <c r="AO375" i="1"/>
  <c r="AO376" i="1"/>
  <c r="AO377" i="1"/>
  <c r="AO8" i="1"/>
  <c r="AM379" i="1"/>
  <c r="AN379" i="1"/>
  <c r="Q118" i="8" l="1"/>
  <c r="T118" i="8" s="1"/>
  <c r="R118" i="8" s="1"/>
  <c r="S118" i="8" s="1"/>
  <c r="AO379" i="1"/>
  <c r="AH224" i="1"/>
  <c r="AH9" i="1"/>
  <c r="AH11" i="1"/>
  <c r="AH20" i="1"/>
  <c r="AH22" i="1"/>
  <c r="AH25" i="1"/>
  <c r="AH28" i="1"/>
  <c r="AH30" i="1"/>
  <c r="AH31" i="1"/>
  <c r="AH35" i="1"/>
  <c r="AH40" i="1"/>
  <c r="AH43" i="1"/>
  <c r="AH52" i="1"/>
  <c r="AH56" i="1"/>
  <c r="AH58" i="1"/>
  <c r="AH59" i="1"/>
  <c r="AH61" i="1"/>
  <c r="AH62" i="1"/>
  <c r="AH65" i="1"/>
  <c r="AH66" i="1"/>
  <c r="AH67" i="1"/>
  <c r="AH68" i="1"/>
  <c r="AH69" i="1"/>
  <c r="AH74" i="1"/>
  <c r="AH84" i="1"/>
  <c r="AH89" i="1"/>
  <c r="AH99" i="1"/>
  <c r="AH101" i="1"/>
  <c r="AH103" i="1"/>
  <c r="AH108" i="1"/>
  <c r="AH117" i="1"/>
  <c r="AH120" i="1"/>
  <c r="AH124" i="1"/>
  <c r="AH129" i="1"/>
  <c r="AH130" i="1"/>
  <c r="AH133" i="1"/>
  <c r="AH140" i="1"/>
  <c r="AH141" i="1"/>
  <c r="AH145" i="1"/>
  <c r="AH154" i="1"/>
  <c r="AH158" i="1"/>
  <c r="AH162" i="1"/>
  <c r="AH166" i="1"/>
  <c r="AH167" i="1"/>
  <c r="AH168" i="1"/>
  <c r="AH169" i="1"/>
  <c r="AH170" i="1"/>
  <c r="AH171" i="1"/>
  <c r="AH172" i="1"/>
  <c r="AH173" i="1"/>
  <c r="AH174" i="1"/>
  <c r="AH175" i="1"/>
  <c r="AH176" i="1"/>
  <c r="AH177" i="1"/>
  <c r="AH178" i="1"/>
  <c r="AH179" i="1"/>
  <c r="AH180" i="1"/>
  <c r="AH181" i="1"/>
  <c r="AH182" i="1"/>
  <c r="AH183" i="1"/>
  <c r="AH184" i="1"/>
  <c r="AH185" i="1"/>
  <c r="AH189" i="1"/>
  <c r="AH190" i="1"/>
  <c r="AH191" i="1"/>
  <c r="AH192" i="1"/>
  <c r="AH193" i="1"/>
  <c r="AH194" i="1"/>
  <c r="AH195" i="1"/>
  <c r="AH196" i="1"/>
  <c r="AH197" i="1"/>
  <c r="AH199" i="1"/>
  <c r="AH204" i="1"/>
  <c r="AH212" i="1"/>
  <c r="AH218" i="1"/>
  <c r="AH225" i="1"/>
  <c r="AH234"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5" i="1"/>
  <c r="AH299" i="1"/>
  <c r="AH308" i="1"/>
  <c r="AH316" i="1"/>
  <c r="AH324" i="1"/>
  <c r="AH327" i="1"/>
  <c r="AH330" i="1"/>
  <c r="AH335" i="1"/>
  <c r="AH344" i="1"/>
  <c r="AH345" i="1"/>
  <c r="AH352" i="1"/>
  <c r="AH353" i="1"/>
  <c r="AH354" i="1"/>
  <c r="AH356" i="1"/>
  <c r="AH361" i="1"/>
  <c r="AH362" i="1"/>
  <c r="AH363" i="1"/>
  <c r="AH364" i="1"/>
  <c r="AH365" i="1"/>
  <c r="AH366" i="1"/>
  <c r="AH367" i="1"/>
  <c r="AH368" i="1"/>
  <c r="AH369" i="1"/>
  <c r="AH370" i="1"/>
  <c r="AH372" i="1"/>
  <c r="AH373" i="1"/>
  <c r="AH375" i="1"/>
  <c r="AH376" i="1"/>
  <c r="AH377" i="1"/>
  <c r="AH8" i="1"/>
  <c r="AB379" i="1" l="1"/>
  <c r="T374" i="1"/>
  <c r="T355" i="1"/>
  <c r="T328" i="1"/>
  <c r="T325" i="1"/>
  <c r="T317" i="1"/>
  <c r="T309" i="1"/>
  <c r="T235" i="1"/>
  <c r="T146" i="1"/>
  <c r="T44" i="1"/>
  <c r="T41" i="1"/>
  <c r="T26" i="1"/>
  <c r="T23" i="1"/>
  <c r="F303" i="6" l="1"/>
  <c r="E303" i="6"/>
  <c r="F302" i="6"/>
  <c r="E302" i="6"/>
  <c r="K302" i="6" s="1"/>
  <c r="F301" i="6"/>
  <c r="E301" i="6"/>
  <c r="F300" i="6"/>
  <c r="E300" i="6"/>
  <c r="K300" i="6" s="1"/>
  <c r="L303" i="1"/>
  <c r="L302" i="1"/>
  <c r="L301" i="1"/>
  <c r="F198" i="6"/>
  <c r="E198" i="6"/>
  <c r="O197" i="1"/>
  <c r="K301" i="6" l="1"/>
  <c r="K303" i="6"/>
  <c r="G198" i="6"/>
  <c r="K198" i="6" s="1"/>
  <c r="E200" i="6"/>
  <c r="F200" i="6"/>
  <c r="E201" i="6"/>
  <c r="F201" i="6"/>
  <c r="E202" i="6"/>
  <c r="F202" i="6"/>
  <c r="E203" i="6"/>
  <c r="F203" i="6"/>
  <c r="O210" i="1"/>
  <c r="L210" i="1"/>
  <c r="L209" i="1"/>
  <c r="L208" i="1"/>
  <c r="L207" i="1"/>
  <c r="O205" i="1"/>
  <c r="G203" i="6" l="1"/>
  <c r="K203" i="6" s="1"/>
  <c r="G201" i="6"/>
  <c r="K201" i="6" s="1"/>
  <c r="G202" i="6"/>
  <c r="K202" i="6" s="1"/>
  <c r="G200" i="6"/>
  <c r="K200" i="6" s="1"/>
  <c r="Q5" i="1"/>
  <c r="I5" i="1" l="1"/>
  <c r="I304" i="1" s="1"/>
  <c r="J304" i="1" s="1"/>
  <c r="P304" i="1" s="1"/>
  <c r="R355" i="1"/>
  <c r="G20" i="1"/>
  <c r="G234" i="1"/>
  <c r="N143" i="1"/>
  <c r="N144" i="1"/>
  <c r="N126" i="1"/>
  <c r="N127" i="1"/>
  <c r="G65" i="1"/>
  <c r="N54" i="1"/>
  <c r="N55" i="1"/>
  <c r="E365" i="6"/>
  <c r="F365" i="6"/>
  <c r="P371" i="1"/>
  <c r="E325" i="6"/>
  <c r="F325" i="6"/>
  <c r="E322" i="6"/>
  <c r="F322" i="6"/>
  <c r="E314" i="6"/>
  <c r="F314" i="6"/>
  <c r="E306" i="6"/>
  <c r="F306" i="6"/>
  <c r="G225" i="1"/>
  <c r="E146" i="6"/>
  <c r="F146" i="6"/>
  <c r="G145" i="1"/>
  <c r="G133" i="1"/>
  <c r="N138" i="1"/>
  <c r="N139" i="1"/>
  <c r="N115" i="1"/>
  <c r="N116" i="1"/>
  <c r="G59" i="1"/>
  <c r="E41" i="6"/>
  <c r="F41" i="6"/>
  <c r="E26" i="6"/>
  <c r="F26" i="6"/>
  <c r="E23" i="6"/>
  <c r="F23" i="6"/>
  <c r="Q12" i="1"/>
  <c r="E5" i="6"/>
  <c r="O8" i="5"/>
  <c r="O7" i="5"/>
  <c r="O6" i="5"/>
  <c r="O12" i="5"/>
  <c r="O11" i="5"/>
  <c r="O10" i="5"/>
  <c r="O9" i="5"/>
  <c r="G11" i="3"/>
  <c r="G13" i="3"/>
  <c r="L123" i="1"/>
  <c r="L122" i="1"/>
  <c r="L121" i="1"/>
  <c r="G23" i="3"/>
  <c r="G9" i="3"/>
  <c r="G30" i="3"/>
  <c r="G27" i="3"/>
  <c r="G29" i="3"/>
  <c r="G15" i="3"/>
  <c r="G31" i="3"/>
  <c r="D12" i="2"/>
  <c r="F12" i="2"/>
  <c r="I12" i="2"/>
  <c r="B27" i="2"/>
  <c r="L220" i="1"/>
  <c r="L213" i="1"/>
  <c r="G26" i="3"/>
  <c r="L29" i="1"/>
  <c r="D4" i="4"/>
  <c r="F4" i="4" s="1"/>
  <c r="G4" i="4"/>
  <c r="H4" i="4"/>
  <c r="D5" i="4"/>
  <c r="F5" i="4" s="1"/>
  <c r="G5" i="4"/>
  <c r="H5" i="4"/>
  <c r="D8" i="4"/>
  <c r="F8" i="4" s="1"/>
  <c r="G8" i="4"/>
  <c r="H8" i="4"/>
  <c r="D7" i="4"/>
  <c r="F7" i="4" s="1"/>
  <c r="G7" i="4"/>
  <c r="H7" i="4"/>
  <c r="D6" i="4"/>
  <c r="F6" i="4" s="1"/>
  <c r="G6" i="4"/>
  <c r="H6" i="4"/>
  <c r="D9" i="4"/>
  <c r="F9" i="4" s="1"/>
  <c r="G9" i="4"/>
  <c r="H9" i="4"/>
  <c r="G10" i="3"/>
  <c r="L358" i="1"/>
  <c r="L359" i="1"/>
  <c r="L357" i="1"/>
  <c r="G16" i="3"/>
  <c r="L334" i="1"/>
  <c r="G22" i="3"/>
  <c r="L329" i="1"/>
  <c r="L326" i="1"/>
  <c r="L323" i="1"/>
  <c r="G24" i="3"/>
  <c r="L315" i="1"/>
  <c r="L132" i="1"/>
  <c r="L139" i="1"/>
  <c r="L138" i="1"/>
  <c r="L137" i="1"/>
  <c r="L136" i="1"/>
  <c r="L135" i="1"/>
  <c r="L134" i="1"/>
  <c r="L119" i="1"/>
  <c r="L115" i="1"/>
  <c r="L116" i="1"/>
  <c r="L114" i="1"/>
  <c r="L113" i="1"/>
  <c r="L112" i="1"/>
  <c r="L111" i="1"/>
  <c r="L110" i="1"/>
  <c r="L98" i="1"/>
  <c r="L88" i="1"/>
  <c r="L83" i="1"/>
  <c r="L73" i="1"/>
  <c r="L57" i="1"/>
  <c r="L46" i="1"/>
  <c r="L47" i="1"/>
  <c r="L48" i="1"/>
  <c r="L49" i="1"/>
  <c r="L50" i="1"/>
  <c r="L51" i="1"/>
  <c r="L45" i="1"/>
  <c r="L42" i="1"/>
  <c r="L27" i="1"/>
  <c r="L21" i="1"/>
  <c r="D20" i="2"/>
  <c r="L341" i="1"/>
  <c r="L337" i="1"/>
  <c r="L333" i="1"/>
  <c r="L332" i="1"/>
  <c r="L331" i="1"/>
  <c r="L322" i="1"/>
  <c r="L321" i="1"/>
  <c r="L314" i="1"/>
  <c r="L313" i="1"/>
  <c r="L298" i="1"/>
  <c r="L297" i="1"/>
  <c r="L296" i="1"/>
  <c r="L223" i="1"/>
  <c r="L222" i="1"/>
  <c r="L217" i="1"/>
  <c r="L216" i="1"/>
  <c r="L203" i="1"/>
  <c r="L202" i="1"/>
  <c r="L201" i="1"/>
  <c r="L200" i="1"/>
  <c r="L188" i="1"/>
  <c r="L187" i="1"/>
  <c r="L186" i="1"/>
  <c r="L165" i="1"/>
  <c r="L164" i="1"/>
  <c r="L161" i="1"/>
  <c r="L160" i="1"/>
  <c r="L163" i="1"/>
  <c r="L64" i="1"/>
  <c r="L63" i="1"/>
  <c r="L242" i="1"/>
  <c r="L241" i="1"/>
  <c r="L240" i="1"/>
  <c r="L239" i="1"/>
  <c r="L238" i="1"/>
  <c r="L237" i="1"/>
  <c r="L236" i="1"/>
  <c r="L233" i="1"/>
  <c r="L232" i="1"/>
  <c r="L231" i="1"/>
  <c r="L230" i="1"/>
  <c r="L229" i="1"/>
  <c r="L228" i="1"/>
  <c r="L227" i="1"/>
  <c r="L157" i="1"/>
  <c r="L156" i="1"/>
  <c r="L151" i="1"/>
  <c r="L152" i="1"/>
  <c r="L153" i="1"/>
  <c r="L144" i="1"/>
  <c r="L143" i="1"/>
  <c r="L106" i="1"/>
  <c r="L105" i="1"/>
  <c r="L104" i="1"/>
  <c r="L127" i="1"/>
  <c r="L126" i="1"/>
  <c r="L55" i="1"/>
  <c r="L54" i="1"/>
  <c r="L38" i="1"/>
  <c r="L37" i="1"/>
  <c r="L34" i="1"/>
  <c r="L33" i="1"/>
  <c r="L18" i="1"/>
  <c r="L19" i="1"/>
  <c r="L142" i="1"/>
  <c r="L125" i="1"/>
  <c r="L53" i="1"/>
  <c r="L36" i="1"/>
  <c r="L32" i="1"/>
  <c r="I12" i="3"/>
  <c r="G14" i="3"/>
  <c r="I14" i="3" s="1"/>
  <c r="B22" i="2"/>
  <c r="L320" i="1"/>
  <c r="L319" i="1"/>
  <c r="L318" i="1"/>
  <c r="L311" i="1"/>
  <c r="L312" i="1"/>
  <c r="L310" i="1"/>
  <c r="L221" i="1"/>
  <c r="L219" i="1"/>
  <c r="L215" i="1"/>
  <c r="L214" i="1"/>
  <c r="L159" i="1"/>
  <c r="L155" i="1"/>
  <c r="L70" i="1"/>
  <c r="L148" i="1"/>
  <c r="L149" i="1"/>
  <c r="L150" i="1"/>
  <c r="L147" i="1"/>
  <c r="L97" i="1"/>
  <c r="L96" i="1"/>
  <c r="L95" i="1"/>
  <c r="L94" i="1"/>
  <c r="L93" i="1"/>
  <c r="L92" i="1"/>
  <c r="L91" i="1"/>
  <c r="L87" i="1"/>
  <c r="L86" i="1"/>
  <c r="L85" i="1"/>
  <c r="L82" i="1"/>
  <c r="L81" i="1"/>
  <c r="L80" i="1"/>
  <c r="L79" i="1"/>
  <c r="L78" i="1"/>
  <c r="L77" i="1"/>
  <c r="L76" i="1"/>
  <c r="L72" i="1"/>
  <c r="L71" i="1"/>
  <c r="L24" i="1"/>
  <c r="L14" i="1"/>
  <c r="L15" i="1"/>
  <c r="L16" i="1"/>
  <c r="L17" i="1"/>
  <c r="L13" i="1"/>
  <c r="G8" i="3"/>
  <c r="I8" i="3" s="1"/>
  <c r="G25" i="3"/>
  <c r="I25" i="3" s="1"/>
  <c r="D15" i="2"/>
  <c r="D14" i="2"/>
  <c r="D26" i="2"/>
  <c r="B19" i="2"/>
  <c r="B28" i="2"/>
  <c r="E17" i="2"/>
  <c r="B18" i="2"/>
  <c r="J374" i="1"/>
  <c r="Q304" i="1" l="1"/>
  <c r="X304" i="1" s="1"/>
  <c r="I338" i="1"/>
  <c r="J338" i="1" s="1"/>
  <c r="P338" i="1" s="1"/>
  <c r="Q338" i="1" s="1"/>
  <c r="T338" i="1" s="1"/>
  <c r="V338" i="1" s="1"/>
  <c r="I342" i="1"/>
  <c r="J342" i="1" s="1"/>
  <c r="P342" i="1" s="1"/>
  <c r="F17" i="2"/>
  <c r="G17" i="2"/>
  <c r="H17" i="2" s="1"/>
  <c r="I17" i="2" s="1"/>
  <c r="B31" i="2"/>
  <c r="D25" i="2"/>
  <c r="D16" i="2"/>
  <c r="M329" i="1"/>
  <c r="O329" i="1" s="1"/>
  <c r="O327" i="1" s="1"/>
  <c r="M323" i="1"/>
  <c r="O323" i="1" s="1"/>
  <c r="I24" i="3"/>
  <c r="M334" i="1"/>
  <c r="O334" i="1" s="1"/>
  <c r="I22" i="3"/>
  <c r="M358" i="1"/>
  <c r="O358" i="1" s="1"/>
  <c r="I16" i="3"/>
  <c r="M357" i="1"/>
  <c r="I10" i="3"/>
  <c r="M29" i="1"/>
  <c r="O29" i="1" s="1"/>
  <c r="O28" i="1" s="1"/>
  <c r="I26" i="3"/>
  <c r="M64" i="1"/>
  <c r="I31" i="3"/>
  <c r="M76" i="1"/>
  <c r="M70" i="1"/>
  <c r="O70" i="1" s="1"/>
  <c r="I29" i="3"/>
  <c r="M91" i="1"/>
  <c r="O91" i="1" s="1"/>
  <c r="M85" i="1"/>
  <c r="O85" i="1" s="1"/>
  <c r="I30" i="3"/>
  <c r="M229" i="1"/>
  <c r="O229" i="1" s="1"/>
  <c r="M136" i="1"/>
  <c r="O136" i="1" s="1"/>
  <c r="M93" i="1"/>
  <c r="O93" i="1" s="1"/>
  <c r="M78" i="1"/>
  <c r="O78" i="1" s="1"/>
  <c r="M320" i="1"/>
  <c r="O320" i="1" s="1"/>
  <c r="M312" i="1"/>
  <c r="O312" i="1" s="1"/>
  <c r="M238" i="1"/>
  <c r="O238" i="1" s="1"/>
  <c r="M149" i="1"/>
  <c r="O149" i="1" s="1"/>
  <c r="M112" i="1"/>
  <c r="O112" i="1" s="1"/>
  <c r="M47" i="1"/>
  <c r="O47" i="1" s="1"/>
  <c r="M24" i="1"/>
  <c r="M15" i="1"/>
  <c r="O15" i="1" s="1"/>
  <c r="M237" i="1"/>
  <c r="O237" i="1" s="1"/>
  <c r="M148" i="1"/>
  <c r="M134" i="1"/>
  <c r="O134" i="1" s="1"/>
  <c r="M318" i="1"/>
  <c r="O318" i="1" s="1"/>
  <c r="M310" i="1"/>
  <c r="O310" i="1" s="1"/>
  <c r="M228" i="1"/>
  <c r="O228" i="1" s="1"/>
  <c r="M110" i="1"/>
  <c r="O110" i="1" s="1"/>
  <c r="M92" i="1"/>
  <c r="O92" i="1" s="1"/>
  <c r="M77" i="1"/>
  <c r="O77" i="1" s="1"/>
  <c r="M45" i="1"/>
  <c r="O45" i="1" s="1"/>
  <c r="M13" i="1"/>
  <c r="O13" i="1" s="1"/>
  <c r="I5" i="3"/>
  <c r="M332" i="1"/>
  <c r="O332" i="1" s="1"/>
  <c r="M321" i="1"/>
  <c r="O321" i="1" s="1"/>
  <c r="M313" i="1"/>
  <c r="O313" i="1" s="1"/>
  <c r="M241" i="1"/>
  <c r="O241" i="1" s="1"/>
  <c r="M222" i="1"/>
  <c r="O222" i="1" s="1"/>
  <c r="M201" i="1"/>
  <c r="O201" i="1" s="1"/>
  <c r="M187" i="1"/>
  <c r="O187" i="1" s="1"/>
  <c r="M160" i="1"/>
  <c r="O160" i="1" s="1"/>
  <c r="M152" i="1"/>
  <c r="O152" i="1" s="1"/>
  <c r="M138" i="1"/>
  <c r="O138" i="1" s="1"/>
  <c r="M122" i="1"/>
  <c r="O122" i="1" s="1"/>
  <c r="M37" i="1"/>
  <c r="O37" i="1" s="1"/>
  <c r="M18" i="1"/>
  <c r="O18" i="1" s="1"/>
  <c r="M302" i="1"/>
  <c r="O302" i="1" s="1"/>
  <c r="M297" i="1"/>
  <c r="O297" i="1" s="1"/>
  <c r="M232" i="1"/>
  <c r="O232" i="1" s="1"/>
  <c r="M216" i="1"/>
  <c r="O216" i="1" s="1"/>
  <c r="M208" i="1"/>
  <c r="O208" i="1" s="1"/>
  <c r="M164" i="1"/>
  <c r="O164" i="1" s="1"/>
  <c r="M156" i="1"/>
  <c r="O156" i="1" s="1"/>
  <c r="M143" i="1"/>
  <c r="O143" i="1" s="1"/>
  <c r="M126" i="1"/>
  <c r="O126" i="1" s="1"/>
  <c r="M116" i="1"/>
  <c r="M105" i="1"/>
  <c r="O105" i="1" s="1"/>
  <c r="M54" i="1"/>
  <c r="O54" i="1" s="1"/>
  <c r="M51" i="1"/>
  <c r="O51" i="1" s="1"/>
  <c r="M33" i="1"/>
  <c r="O33" i="1" s="1"/>
  <c r="I13" i="3"/>
  <c r="D28" i="3"/>
  <c r="M63" i="1"/>
  <c r="O63" i="1" s="1"/>
  <c r="I15" i="3"/>
  <c r="M206" i="1"/>
  <c r="O206" i="1" s="1"/>
  <c r="M98" i="1"/>
  <c r="O98" i="1" s="1"/>
  <c r="M88" i="1"/>
  <c r="O88" i="1" s="1"/>
  <c r="M83" i="1"/>
  <c r="M73" i="1"/>
  <c r="O73" i="1" s="1"/>
  <c r="I27" i="3"/>
  <c r="M239" i="1"/>
  <c r="O239" i="1" s="1"/>
  <c r="M215" i="1"/>
  <c r="O215" i="1" s="1"/>
  <c r="M150" i="1"/>
  <c r="O150" i="1" s="1"/>
  <c r="M95" i="1"/>
  <c r="O95" i="1" s="1"/>
  <c r="M80" i="1"/>
  <c r="O80" i="1" s="1"/>
  <c r="M21" i="1"/>
  <c r="O21" i="1" s="1"/>
  <c r="O20" i="1" s="1"/>
  <c r="M230" i="1"/>
  <c r="O230" i="1" s="1"/>
  <c r="M221" i="1"/>
  <c r="O221" i="1" s="1"/>
  <c r="M137" i="1"/>
  <c r="O137" i="1" s="1"/>
  <c r="M114" i="1"/>
  <c r="O114" i="1" s="1"/>
  <c r="M49" i="1"/>
  <c r="O49" i="1" s="1"/>
  <c r="M17" i="1"/>
  <c r="O17" i="1" s="1"/>
  <c r="I9" i="3"/>
  <c r="M319" i="1"/>
  <c r="O319" i="1" s="1"/>
  <c r="M311" i="1"/>
  <c r="O311" i="1" s="1"/>
  <c r="M227" i="1"/>
  <c r="M111" i="1"/>
  <c r="O111" i="1" s="1"/>
  <c r="M46" i="1"/>
  <c r="O46" i="1" s="1"/>
  <c r="M359" i="1"/>
  <c r="O359" i="1" s="1"/>
  <c r="M236" i="1"/>
  <c r="O236" i="1" s="1"/>
  <c r="M147" i="1"/>
  <c r="O147" i="1" s="1"/>
  <c r="M135" i="1"/>
  <c r="O135" i="1" s="1"/>
  <c r="M94" i="1"/>
  <c r="O94" i="1" s="1"/>
  <c r="M79" i="1"/>
  <c r="O79" i="1" s="1"/>
  <c r="M14" i="1"/>
  <c r="O14" i="1" s="1"/>
  <c r="I7" i="3"/>
  <c r="M315" i="1"/>
  <c r="O315" i="1" s="1"/>
  <c r="M119" i="1"/>
  <c r="O119" i="1" s="1"/>
  <c r="O117" i="1" s="1"/>
  <c r="M42" i="1"/>
  <c r="O42" i="1" s="1"/>
  <c r="O40" i="1" s="1"/>
  <c r="M27" i="1"/>
  <c r="O27" i="1" s="1"/>
  <c r="O25" i="1" s="1"/>
  <c r="M326" i="1"/>
  <c r="O326" i="1" s="1"/>
  <c r="O324" i="1" s="1"/>
  <c r="M132" i="1"/>
  <c r="O132" i="1" s="1"/>
  <c r="O130" i="1" s="1"/>
  <c r="M57" i="1"/>
  <c r="O57" i="1" s="1"/>
  <c r="O56" i="1" s="1"/>
  <c r="I23" i="3"/>
  <c r="M303" i="1"/>
  <c r="O303" i="1" s="1"/>
  <c r="M298" i="1"/>
  <c r="O298" i="1" s="1"/>
  <c r="M233" i="1"/>
  <c r="O233" i="1" s="1"/>
  <c r="M217" i="1"/>
  <c r="O217" i="1" s="1"/>
  <c r="M209" i="1"/>
  <c r="O209" i="1" s="1"/>
  <c r="M165" i="1"/>
  <c r="O165" i="1" s="1"/>
  <c r="M157" i="1"/>
  <c r="O157" i="1" s="1"/>
  <c r="M144" i="1"/>
  <c r="O144" i="1" s="1"/>
  <c r="M127" i="1"/>
  <c r="O127" i="1" s="1"/>
  <c r="M115" i="1"/>
  <c r="O115" i="1" s="1"/>
  <c r="M106" i="1"/>
  <c r="O106" i="1" s="1"/>
  <c r="M55" i="1"/>
  <c r="M50" i="1"/>
  <c r="O50" i="1" s="1"/>
  <c r="M34" i="1"/>
  <c r="O34" i="1" s="1"/>
  <c r="M333" i="1"/>
  <c r="O333" i="1" s="1"/>
  <c r="M322" i="1"/>
  <c r="O322" i="1" s="1"/>
  <c r="M314" i="1"/>
  <c r="O314" i="1" s="1"/>
  <c r="M242" i="1"/>
  <c r="O242" i="1" s="1"/>
  <c r="M223" i="1"/>
  <c r="O223" i="1" s="1"/>
  <c r="M202" i="1"/>
  <c r="O202" i="1" s="1"/>
  <c r="M188" i="1"/>
  <c r="O188" i="1" s="1"/>
  <c r="M161" i="1"/>
  <c r="O161" i="1" s="1"/>
  <c r="M153" i="1"/>
  <c r="O153" i="1" s="1"/>
  <c r="M139" i="1"/>
  <c r="O139" i="1" s="1"/>
  <c r="M123" i="1"/>
  <c r="O123" i="1" s="1"/>
  <c r="M38" i="1"/>
  <c r="O38" i="1" s="1"/>
  <c r="M19" i="1"/>
  <c r="O19" i="1" s="1"/>
  <c r="O340" i="1"/>
  <c r="M301" i="1"/>
  <c r="O301" i="1" s="1"/>
  <c r="M296" i="1"/>
  <c r="O296" i="1" s="1"/>
  <c r="M207" i="1"/>
  <c r="O207" i="1" s="1"/>
  <c r="M163" i="1"/>
  <c r="O163" i="1" s="1"/>
  <c r="M155" i="1"/>
  <c r="O155" i="1" s="1"/>
  <c r="M142" i="1"/>
  <c r="O142" i="1" s="1"/>
  <c r="M125" i="1"/>
  <c r="O125" i="1" s="1"/>
  <c r="M104" i="1"/>
  <c r="O104" i="1" s="1"/>
  <c r="M53" i="1"/>
  <c r="O53" i="1" s="1"/>
  <c r="M32" i="1"/>
  <c r="O32" i="1" s="1"/>
  <c r="M337" i="1"/>
  <c r="M331" i="1"/>
  <c r="O331" i="1" s="1"/>
  <c r="M219" i="1"/>
  <c r="O219" i="1" s="1"/>
  <c r="M214" i="1"/>
  <c r="O214" i="1" s="1"/>
  <c r="M200" i="1"/>
  <c r="O200" i="1" s="1"/>
  <c r="M186" i="1"/>
  <c r="O186" i="1" s="1"/>
  <c r="M159" i="1"/>
  <c r="O159" i="1" s="1"/>
  <c r="M121" i="1"/>
  <c r="O121" i="1" s="1"/>
  <c r="M96" i="1"/>
  <c r="O96" i="1" s="1"/>
  <c r="M86" i="1"/>
  <c r="O86" i="1" s="1"/>
  <c r="M81" i="1"/>
  <c r="O81" i="1" s="1"/>
  <c r="M71" i="1"/>
  <c r="O71" i="1" s="1"/>
  <c r="M36" i="1"/>
  <c r="O36" i="1" s="1"/>
  <c r="I11" i="3"/>
  <c r="M345" i="8"/>
  <c r="O345" i="8" s="1"/>
  <c r="M330" i="8"/>
  <c r="O330" i="8" s="1"/>
  <c r="I6" i="4"/>
  <c r="J6" i="4" s="1"/>
  <c r="O348" i="8" s="1"/>
  <c r="O64" i="1"/>
  <c r="M64" i="8"/>
  <c r="O64" i="8" s="1"/>
  <c r="M76" i="8"/>
  <c r="O76" i="8" s="1"/>
  <c r="M70" i="8"/>
  <c r="O70" i="8" s="1"/>
  <c r="M314" i="8"/>
  <c r="O314" i="8" s="1"/>
  <c r="M306" i="8"/>
  <c r="O306" i="8" s="1"/>
  <c r="M228" i="8"/>
  <c r="O228" i="8" s="1"/>
  <c r="M237" i="8"/>
  <c r="O237" i="8" s="1"/>
  <c r="M148" i="8"/>
  <c r="O148" i="8" s="1"/>
  <c r="M134" i="8"/>
  <c r="O134" i="8" s="1"/>
  <c r="M110" i="8"/>
  <c r="O110" i="8" s="1"/>
  <c r="M92" i="8"/>
  <c r="O92" i="8" s="1"/>
  <c r="M77" i="8"/>
  <c r="O77" i="8" s="1"/>
  <c r="M13" i="8"/>
  <c r="O13" i="8" s="1"/>
  <c r="M45" i="8"/>
  <c r="O45" i="8" s="1"/>
  <c r="M241" i="8"/>
  <c r="O241" i="8" s="1"/>
  <c r="M328" i="8"/>
  <c r="O328" i="8" s="1"/>
  <c r="M317" i="8"/>
  <c r="O317" i="8" s="1"/>
  <c r="M309" i="8"/>
  <c r="O309" i="8" s="1"/>
  <c r="M297" i="8"/>
  <c r="O297" i="8" s="1"/>
  <c r="M232" i="8"/>
  <c r="O232" i="8" s="1"/>
  <c r="M222" i="8"/>
  <c r="O222" i="8" s="1"/>
  <c r="M187" i="8"/>
  <c r="O187" i="8" s="1"/>
  <c r="M143" i="8"/>
  <c r="O143" i="8" s="1"/>
  <c r="M126" i="8"/>
  <c r="O126" i="8" s="1"/>
  <c r="M122" i="8"/>
  <c r="O122" i="8" s="1"/>
  <c r="M116" i="8"/>
  <c r="O116" i="8" s="1"/>
  <c r="M216" i="8"/>
  <c r="O216" i="8" s="1"/>
  <c r="M201" i="8"/>
  <c r="O201" i="8" s="1"/>
  <c r="M164" i="8"/>
  <c r="O164" i="8" s="1"/>
  <c r="M160" i="8"/>
  <c r="O160" i="8" s="1"/>
  <c r="M156" i="8"/>
  <c r="O156" i="8" s="1"/>
  <c r="M152" i="8"/>
  <c r="O152" i="8" s="1"/>
  <c r="M138" i="8"/>
  <c r="O138" i="8" s="1"/>
  <c r="M51" i="8"/>
  <c r="O51" i="8" s="1"/>
  <c r="M37" i="8"/>
  <c r="O37" i="8" s="1"/>
  <c r="M33" i="8"/>
  <c r="O33" i="8" s="1"/>
  <c r="M105" i="8"/>
  <c r="O105" i="8" s="1"/>
  <c r="M54" i="8"/>
  <c r="O54" i="8" s="1"/>
  <c r="M18" i="8"/>
  <c r="O18" i="8" s="1"/>
  <c r="M327" i="8"/>
  <c r="O327" i="8" s="1"/>
  <c r="M335" i="8"/>
  <c r="O335" i="8" s="1"/>
  <c r="O334" i="8" s="1"/>
  <c r="M333" i="8"/>
  <c r="O333" i="8" s="1"/>
  <c r="O332" i="8" s="1"/>
  <c r="M296" i="8"/>
  <c r="O296" i="8" s="1"/>
  <c r="M219" i="8"/>
  <c r="O219" i="8" s="1"/>
  <c r="M214" i="8"/>
  <c r="O214" i="8" s="1"/>
  <c r="M200" i="8"/>
  <c r="O200" i="8" s="1"/>
  <c r="M186" i="8"/>
  <c r="O186" i="8" s="1"/>
  <c r="M142" i="8"/>
  <c r="O142" i="8" s="1"/>
  <c r="M163" i="8"/>
  <c r="O163" i="8" s="1"/>
  <c r="M159" i="8"/>
  <c r="O159" i="8" s="1"/>
  <c r="M155" i="8"/>
  <c r="O155" i="8" s="1"/>
  <c r="M125" i="8"/>
  <c r="O125" i="8" s="1"/>
  <c r="M121" i="8"/>
  <c r="O121" i="8" s="1"/>
  <c r="M96" i="8"/>
  <c r="O96" i="8" s="1"/>
  <c r="M81" i="8"/>
  <c r="O81" i="8" s="1"/>
  <c r="M104" i="8"/>
  <c r="O104" i="8" s="1"/>
  <c r="M86" i="8"/>
  <c r="O86" i="8" s="1"/>
  <c r="M71" i="8"/>
  <c r="O71" i="8" s="1"/>
  <c r="M53" i="8"/>
  <c r="O53" i="8" s="1"/>
  <c r="M36" i="8"/>
  <c r="O36" i="8" s="1"/>
  <c r="M32" i="8"/>
  <c r="O32" i="8" s="1"/>
  <c r="E346" i="6"/>
  <c r="E342" i="7"/>
  <c r="M319" i="8"/>
  <c r="O319" i="8" s="1"/>
  <c r="M325" i="8"/>
  <c r="O325" i="8" s="1"/>
  <c r="O323" i="8" s="1"/>
  <c r="O357" i="1"/>
  <c r="M344" i="8"/>
  <c r="O344" i="8" s="1"/>
  <c r="I4" i="4"/>
  <c r="J4" i="4" s="1"/>
  <c r="O360" i="8" s="1"/>
  <c r="M29" i="8"/>
  <c r="O29" i="8" s="1"/>
  <c r="O28" i="8" s="1"/>
  <c r="M63" i="8"/>
  <c r="O63" i="8" s="1"/>
  <c r="M88" i="8"/>
  <c r="O88" i="8" s="1"/>
  <c r="M73" i="8"/>
  <c r="O73" i="8" s="1"/>
  <c r="M98" i="8"/>
  <c r="O98" i="8" s="1"/>
  <c r="M83" i="8"/>
  <c r="O83" i="8" s="1"/>
  <c r="M91" i="8"/>
  <c r="O91" i="8" s="1"/>
  <c r="M85" i="8"/>
  <c r="O85" i="8" s="1"/>
  <c r="M239" i="8"/>
  <c r="O239" i="8" s="1"/>
  <c r="M215" i="8"/>
  <c r="O215" i="8" s="1"/>
  <c r="M150" i="8"/>
  <c r="O150" i="8" s="1"/>
  <c r="M230" i="8"/>
  <c r="O230" i="8" s="1"/>
  <c r="M221" i="8"/>
  <c r="O221" i="8" s="1"/>
  <c r="M137" i="8"/>
  <c r="O137" i="8" s="1"/>
  <c r="M114" i="8"/>
  <c r="O114" i="8" s="1"/>
  <c r="M80" i="8"/>
  <c r="O80" i="8" s="1"/>
  <c r="M21" i="8"/>
  <c r="O21" i="8" s="1"/>
  <c r="O20" i="8" s="1"/>
  <c r="M17" i="8"/>
  <c r="O17" i="8" s="1"/>
  <c r="M95" i="8"/>
  <c r="O95" i="8" s="1"/>
  <c r="M49" i="8"/>
  <c r="O49" i="8" s="1"/>
  <c r="M316" i="8"/>
  <c r="O316" i="8" s="1"/>
  <c r="M308" i="8"/>
  <c r="O308" i="8" s="1"/>
  <c r="M238" i="8"/>
  <c r="O238" i="8" s="1"/>
  <c r="M149" i="8"/>
  <c r="O149" i="8" s="1"/>
  <c r="M136" i="8"/>
  <c r="O136" i="8" s="1"/>
  <c r="M112" i="8"/>
  <c r="O112" i="8" s="1"/>
  <c r="M229" i="8"/>
  <c r="O229" i="8" s="1"/>
  <c r="M93" i="8"/>
  <c r="O93" i="8" s="1"/>
  <c r="M47" i="8"/>
  <c r="O47" i="8" s="1"/>
  <c r="M78" i="8"/>
  <c r="O78" i="8" s="1"/>
  <c r="M24" i="8"/>
  <c r="O24" i="8" s="1"/>
  <c r="O22" i="8" s="1"/>
  <c r="M15" i="8"/>
  <c r="O15" i="8" s="1"/>
  <c r="M315" i="8"/>
  <c r="O315" i="8" s="1"/>
  <c r="M307" i="8"/>
  <c r="O307" i="8" s="1"/>
  <c r="M346" i="8"/>
  <c r="O346" i="8" s="1"/>
  <c r="M227" i="8"/>
  <c r="O227" i="8" s="1"/>
  <c r="M135" i="8"/>
  <c r="O135" i="8" s="1"/>
  <c r="M236" i="8"/>
  <c r="O236" i="8" s="1"/>
  <c r="M147" i="8"/>
  <c r="O147" i="8" s="1"/>
  <c r="M111" i="8"/>
  <c r="O111" i="8" s="1"/>
  <c r="M94" i="8"/>
  <c r="O94" i="8" s="1"/>
  <c r="M79" i="8"/>
  <c r="O79" i="8" s="1"/>
  <c r="M46" i="8"/>
  <c r="O46" i="8" s="1"/>
  <c r="M14" i="8"/>
  <c r="O14" i="8" s="1"/>
  <c r="M322" i="8"/>
  <c r="O322" i="8" s="1"/>
  <c r="O320" i="8" s="1"/>
  <c r="M311" i="8"/>
  <c r="O311" i="8" s="1"/>
  <c r="M132" i="8"/>
  <c r="O132" i="8" s="1"/>
  <c r="O130" i="8" s="1"/>
  <c r="M119" i="8"/>
  <c r="O119" i="8" s="1"/>
  <c r="O117" i="8" s="1"/>
  <c r="M57" i="8"/>
  <c r="O57" i="8" s="1"/>
  <c r="O56" i="8" s="1"/>
  <c r="M42" i="8"/>
  <c r="O42" i="8" s="1"/>
  <c r="O40" i="8" s="1"/>
  <c r="M27" i="8"/>
  <c r="O27" i="8" s="1"/>
  <c r="O25" i="8" s="1"/>
  <c r="M318" i="8"/>
  <c r="O318" i="8" s="1"/>
  <c r="M310" i="8"/>
  <c r="O310" i="8" s="1"/>
  <c r="M298" i="8"/>
  <c r="O298" i="8" s="1"/>
  <c r="M329" i="8"/>
  <c r="O329" i="8" s="1"/>
  <c r="M223" i="8"/>
  <c r="O223" i="8" s="1"/>
  <c r="M165" i="8"/>
  <c r="O165" i="8" s="1"/>
  <c r="M161" i="8"/>
  <c r="O161" i="8" s="1"/>
  <c r="M157" i="8"/>
  <c r="O157" i="8" s="1"/>
  <c r="M153" i="8"/>
  <c r="O153" i="8" s="1"/>
  <c r="M139" i="8"/>
  <c r="O139" i="8" s="1"/>
  <c r="M123" i="8"/>
  <c r="O123" i="8" s="1"/>
  <c r="M242" i="8"/>
  <c r="O242" i="8" s="1"/>
  <c r="M233" i="8"/>
  <c r="O233" i="8" s="1"/>
  <c r="M217" i="8"/>
  <c r="O217" i="8" s="1"/>
  <c r="M202" i="8"/>
  <c r="O202" i="8" s="1"/>
  <c r="M188" i="8"/>
  <c r="O188" i="8" s="1"/>
  <c r="M144" i="8"/>
  <c r="O144" i="8" s="1"/>
  <c r="M127" i="8"/>
  <c r="O127" i="8" s="1"/>
  <c r="M115" i="8"/>
  <c r="O115" i="8" s="1"/>
  <c r="M106" i="8"/>
  <c r="O106" i="8" s="1"/>
  <c r="M55" i="8"/>
  <c r="O55" i="8" s="1"/>
  <c r="M38" i="8"/>
  <c r="O38" i="8" s="1"/>
  <c r="M34" i="8"/>
  <c r="O34" i="8" s="1"/>
  <c r="M50" i="8"/>
  <c r="O50" i="8" s="1"/>
  <c r="M19" i="8"/>
  <c r="O19" i="8" s="1"/>
  <c r="F26" i="2"/>
  <c r="F14" i="2"/>
  <c r="F20" i="2"/>
  <c r="D22" i="2"/>
  <c r="F22" i="2" s="1"/>
  <c r="D21" i="2"/>
  <c r="I7" i="4"/>
  <c r="J7" i="4" s="1"/>
  <c r="I5" i="4"/>
  <c r="J5" i="4" s="1"/>
  <c r="K5" i="4" s="1"/>
  <c r="D23" i="2"/>
  <c r="I8" i="4"/>
  <c r="J8" i="4" s="1"/>
  <c r="O350" i="8" s="1"/>
  <c r="D24" i="2"/>
  <c r="I9" i="4"/>
  <c r="J9" i="4" s="1"/>
  <c r="K9" i="4" s="1"/>
  <c r="I118" i="1"/>
  <c r="J118" i="1" s="1"/>
  <c r="P118" i="1" s="1"/>
  <c r="Q118" i="1" s="1"/>
  <c r="I109" i="1"/>
  <c r="J109" i="1" s="1"/>
  <c r="D18" i="2"/>
  <c r="D28" i="2"/>
  <c r="E28" i="2"/>
  <c r="E31" i="2" s="1"/>
  <c r="O363" i="1"/>
  <c r="F25" i="2"/>
  <c r="O83" i="1"/>
  <c r="O227" i="1"/>
  <c r="O55" i="1"/>
  <c r="D19" i="2"/>
  <c r="K7" i="4"/>
  <c r="D27" i="2"/>
  <c r="O76" i="1"/>
  <c r="O116" i="1"/>
  <c r="O337" i="1"/>
  <c r="O336" i="1" s="1"/>
  <c r="O24" i="1"/>
  <c r="O22" i="1" s="1"/>
  <c r="Q226" i="1"/>
  <c r="Q131" i="1"/>
  <c r="T131" i="1" s="1"/>
  <c r="R131" i="1" s="1"/>
  <c r="G23" i="6"/>
  <c r="K23" i="6" s="1"/>
  <c r="Q109" i="1"/>
  <c r="O148" i="1"/>
  <c r="T12" i="1"/>
  <c r="R12" i="1" s="1"/>
  <c r="G67" i="1"/>
  <c r="G314" i="6"/>
  <c r="K314" i="6" s="1"/>
  <c r="G365" i="6"/>
  <c r="K365" i="6" s="1"/>
  <c r="G41" i="6"/>
  <c r="K41" i="6" s="1"/>
  <c r="G322" i="6"/>
  <c r="K322" i="6" s="1"/>
  <c r="G306" i="6"/>
  <c r="K306" i="6" s="1"/>
  <c r="G325" i="6"/>
  <c r="K325" i="6" s="1"/>
  <c r="G26" i="6"/>
  <c r="K26" i="6" s="1"/>
  <c r="G146" i="6"/>
  <c r="K146" i="6" s="1"/>
  <c r="E226" i="6"/>
  <c r="S355" i="1"/>
  <c r="Q371" i="1"/>
  <c r="R338" i="1" l="1"/>
  <c r="Y304" i="1"/>
  <c r="T304" i="1" s="1"/>
  <c r="S338" i="1"/>
  <c r="F335" i="6" s="1"/>
  <c r="E335" i="6"/>
  <c r="Q342" i="1"/>
  <c r="T342" i="1" s="1"/>
  <c r="O356" i="1"/>
  <c r="O62" i="1"/>
  <c r="K6" i="4"/>
  <c r="O373" i="1"/>
  <c r="F16" i="2"/>
  <c r="G16" i="2" s="1"/>
  <c r="H16" i="2" s="1"/>
  <c r="I16" i="2" s="1"/>
  <c r="D31" i="2"/>
  <c r="O299" i="1"/>
  <c r="K4" i="4"/>
  <c r="O361" i="1"/>
  <c r="O204" i="1"/>
  <c r="G28" i="3"/>
  <c r="O185" i="1"/>
  <c r="O162" i="1"/>
  <c r="O158" i="1"/>
  <c r="O154" i="1"/>
  <c r="K8" i="4"/>
  <c r="O364" i="1" s="1"/>
  <c r="O343" i="8"/>
  <c r="O31" i="8"/>
  <c r="O52" i="8"/>
  <c r="O120" i="8"/>
  <c r="O154" i="8"/>
  <c r="O162" i="8"/>
  <c r="O185" i="8"/>
  <c r="O295" i="8"/>
  <c r="O133" i="8"/>
  <c r="O304" i="8"/>
  <c r="F346" i="6"/>
  <c r="G346" i="6" s="1"/>
  <c r="K346" i="6" s="1"/>
  <c r="F342" i="7"/>
  <c r="G342" i="7" s="1"/>
  <c r="K342" i="7" s="1"/>
  <c r="S131" i="1"/>
  <c r="E131" i="7"/>
  <c r="S12" i="1"/>
  <c r="E12" i="7"/>
  <c r="O362" i="1"/>
  <c r="O349" i="8"/>
  <c r="O35" i="8"/>
  <c r="O103" i="8"/>
  <c r="O124" i="8"/>
  <c r="O158" i="8"/>
  <c r="O141" i="8"/>
  <c r="O326" i="8"/>
  <c r="O312" i="8"/>
  <c r="O62" i="8"/>
  <c r="S226" i="1"/>
  <c r="T226" i="1"/>
  <c r="T371" i="1"/>
  <c r="R371" i="1" s="1"/>
  <c r="E358" i="7" s="1"/>
  <c r="T109" i="1"/>
  <c r="R109" i="1" s="1"/>
  <c r="E109" i="7" s="1"/>
  <c r="T118" i="1"/>
  <c r="G22" i="2"/>
  <c r="G25" i="2"/>
  <c r="F23" i="2"/>
  <c r="G20" i="2"/>
  <c r="G14" i="2"/>
  <c r="G26" i="2"/>
  <c r="F27" i="2"/>
  <c r="G27" i="2" s="1"/>
  <c r="F18" i="2"/>
  <c r="G18" i="2" s="1"/>
  <c r="F24" i="2"/>
  <c r="F21" i="2"/>
  <c r="F15" i="2"/>
  <c r="F28" i="2"/>
  <c r="G28" i="2" s="1"/>
  <c r="O316" i="1"/>
  <c r="O120" i="1"/>
  <c r="O141" i="1"/>
  <c r="O330" i="1"/>
  <c r="O295" i="1"/>
  <c r="O133" i="1"/>
  <c r="O124" i="1"/>
  <c r="O35" i="1"/>
  <c r="O103" i="1"/>
  <c r="O308" i="1"/>
  <c r="O52" i="1"/>
  <c r="O31" i="1"/>
  <c r="E12" i="6"/>
  <c r="E131" i="6"/>
  <c r="F19" i="2"/>
  <c r="R44" i="1"/>
  <c r="E44" i="7" s="1"/>
  <c r="G335" i="6" l="1"/>
  <c r="V304" i="1"/>
  <c r="R304" i="1"/>
  <c r="R342" i="1"/>
  <c r="V342" i="1"/>
  <c r="F31" i="2"/>
  <c r="M220" i="1"/>
  <c r="O220" i="1" s="1"/>
  <c r="O218" i="1" s="1"/>
  <c r="M213" i="1"/>
  <c r="O213" i="1" s="1"/>
  <c r="O212" i="1" s="1"/>
  <c r="M220" i="8"/>
  <c r="O220" i="8" s="1"/>
  <c r="O218" i="8" s="1"/>
  <c r="M213" i="8"/>
  <c r="O213" i="8" s="1"/>
  <c r="O212" i="8" s="1"/>
  <c r="I28" i="3"/>
  <c r="O351" i="8"/>
  <c r="F12" i="6"/>
  <c r="G12" i="6" s="1"/>
  <c r="K12" i="6" s="1"/>
  <c r="F12" i="7"/>
  <c r="G12" i="7" s="1"/>
  <c r="K12" i="7" s="1"/>
  <c r="F131" i="6"/>
  <c r="G131" i="6" s="1"/>
  <c r="K131" i="6" s="1"/>
  <c r="F131" i="7"/>
  <c r="G131" i="7" s="1"/>
  <c r="K131" i="7" s="1"/>
  <c r="F226" i="6"/>
  <c r="G226" i="6" s="1"/>
  <c r="K226" i="6" s="1"/>
  <c r="F226" i="7"/>
  <c r="G226" i="7" s="1"/>
  <c r="K226" i="7" s="1"/>
  <c r="R118" i="1"/>
  <c r="E362" i="6"/>
  <c r="S371" i="1"/>
  <c r="E109" i="6"/>
  <c r="S109" i="1"/>
  <c r="H18" i="2"/>
  <c r="G15" i="2"/>
  <c r="G21" i="2"/>
  <c r="G24" i="2"/>
  <c r="H26" i="2"/>
  <c r="H14" i="2"/>
  <c r="H20" i="2"/>
  <c r="G23" i="2"/>
  <c r="H25" i="2"/>
  <c r="H22" i="2"/>
  <c r="H27" i="2"/>
  <c r="G19" i="2"/>
  <c r="H28" i="2"/>
  <c r="E44" i="6"/>
  <c r="S44" i="1"/>
  <c r="S304" i="1" l="1"/>
  <c r="F304" i="6" s="1"/>
  <c r="E304" i="6"/>
  <c r="S342" i="1"/>
  <c r="F338" i="6" s="1"/>
  <c r="E338" i="6"/>
  <c r="G31" i="2"/>
  <c r="F44" i="6"/>
  <c r="G44" i="6" s="1"/>
  <c r="K44" i="6" s="1"/>
  <c r="F44" i="7"/>
  <c r="G44" i="7" s="1"/>
  <c r="K44" i="7" s="1"/>
  <c r="F109" i="6"/>
  <c r="G109" i="6" s="1"/>
  <c r="K109" i="6" s="1"/>
  <c r="F109" i="7"/>
  <c r="G109" i="7" s="1"/>
  <c r="K109" i="7" s="1"/>
  <c r="F362" i="6"/>
  <c r="G362" i="6" s="1"/>
  <c r="K362" i="6" s="1"/>
  <c r="F358" i="7"/>
  <c r="G358" i="7" s="1"/>
  <c r="K358" i="7" s="1"/>
  <c r="E118" i="6"/>
  <c r="E118" i="7"/>
  <c r="S118" i="1"/>
  <c r="I22" i="2"/>
  <c r="I25" i="2"/>
  <c r="H23" i="2"/>
  <c r="I20" i="2"/>
  <c r="F349" i="1" s="1"/>
  <c r="H349" i="1" s="1"/>
  <c r="I349" i="1" s="1"/>
  <c r="J349" i="1" s="1"/>
  <c r="P349" i="1" s="1"/>
  <c r="Q349" i="1" s="1"/>
  <c r="T349" i="1" s="1"/>
  <c r="AD349" i="1" s="1"/>
  <c r="I14" i="2"/>
  <c r="I26" i="2"/>
  <c r="F346" i="1" s="1"/>
  <c r="H346" i="1" s="1"/>
  <c r="I346" i="1" s="1"/>
  <c r="J346" i="1" s="1"/>
  <c r="P346" i="1" s="1"/>
  <c r="Q346" i="1" s="1"/>
  <c r="R346" i="1" s="1"/>
  <c r="S346" i="1" s="1"/>
  <c r="T346" i="1" s="1"/>
  <c r="H24" i="2"/>
  <c r="H21" i="2"/>
  <c r="H15" i="2"/>
  <c r="I18" i="2"/>
  <c r="H19" i="2"/>
  <c r="I27" i="2"/>
  <c r="I28" i="2"/>
  <c r="G304" i="6" l="1"/>
  <c r="G338" i="6"/>
  <c r="F212" i="1"/>
  <c r="F30" i="1"/>
  <c r="R349" i="1"/>
  <c r="S349" i="1" s="1"/>
  <c r="V349" i="1"/>
  <c r="H31" i="2"/>
  <c r="F359" i="8"/>
  <c r="H359" i="8" s="1"/>
  <c r="I359" i="8" s="1"/>
  <c r="J359" i="8" s="1"/>
  <c r="P359" i="8" s="1"/>
  <c r="F363" i="8"/>
  <c r="H363" i="8" s="1"/>
  <c r="I363" i="8" s="1"/>
  <c r="J363" i="8" s="1"/>
  <c r="P363" i="8" s="1"/>
  <c r="F8" i="8"/>
  <c r="H8" i="8" s="1"/>
  <c r="F9" i="8"/>
  <c r="H9" i="8" s="1"/>
  <c r="I9" i="8" s="1"/>
  <c r="J9" i="8" s="1"/>
  <c r="P9" i="8" s="1"/>
  <c r="F291" i="8"/>
  <c r="H291" i="8" s="1"/>
  <c r="I291" i="8" s="1"/>
  <c r="J291" i="8" s="1"/>
  <c r="P291" i="8" s="1"/>
  <c r="F290" i="8"/>
  <c r="H290" i="8" s="1"/>
  <c r="F293" i="8"/>
  <c r="H293" i="8" s="1"/>
  <c r="I293" i="8" s="1"/>
  <c r="J293" i="8" s="1"/>
  <c r="P293" i="8" s="1"/>
  <c r="F292" i="8"/>
  <c r="H292" i="8" s="1"/>
  <c r="F289" i="8"/>
  <c r="H289" i="8" s="1"/>
  <c r="I289" i="8" s="1"/>
  <c r="J289" i="8" s="1"/>
  <c r="P289" i="8" s="1"/>
  <c r="F288" i="8"/>
  <c r="H288" i="8" s="1"/>
  <c r="F358" i="8"/>
  <c r="F354" i="8"/>
  <c r="H354" i="8" s="1"/>
  <c r="I354" i="8" s="1"/>
  <c r="J354" i="8" s="1"/>
  <c r="P354" i="8" s="1"/>
  <c r="F357" i="8"/>
  <c r="H357" i="8" s="1"/>
  <c r="I357" i="8" s="1"/>
  <c r="J357" i="8" s="1"/>
  <c r="P357" i="8" s="1"/>
  <c r="F341" i="8"/>
  <c r="F339" i="8"/>
  <c r="H339" i="8" s="1"/>
  <c r="F287" i="8"/>
  <c r="H287" i="8" s="1"/>
  <c r="F285" i="8"/>
  <c r="H285" i="8" s="1"/>
  <c r="I285" i="8" s="1"/>
  <c r="J285" i="8" s="1"/>
  <c r="P285" i="8" s="1"/>
  <c r="F283" i="8"/>
  <c r="H283" i="8" s="1"/>
  <c r="I283" i="8" s="1"/>
  <c r="J283" i="8" s="1"/>
  <c r="P283" i="8" s="1"/>
  <c r="F281" i="8"/>
  <c r="H281" i="8" s="1"/>
  <c r="I281" i="8" s="1"/>
  <c r="J281" i="8" s="1"/>
  <c r="P281" i="8" s="1"/>
  <c r="F279" i="8"/>
  <c r="H279" i="8" s="1"/>
  <c r="I279" i="8" s="1"/>
  <c r="J279" i="8" s="1"/>
  <c r="P279" i="8" s="1"/>
  <c r="F277" i="8"/>
  <c r="H277" i="8" s="1"/>
  <c r="I277" i="8" s="1"/>
  <c r="J277" i="8" s="1"/>
  <c r="P277" i="8" s="1"/>
  <c r="F275" i="8"/>
  <c r="H275" i="8" s="1"/>
  <c r="I275" i="8" s="1"/>
  <c r="J275" i="8" s="1"/>
  <c r="P275" i="8" s="1"/>
  <c r="F273" i="8"/>
  <c r="H273" i="8" s="1"/>
  <c r="I273" i="8" s="1"/>
  <c r="J273" i="8" s="1"/>
  <c r="P273" i="8" s="1"/>
  <c r="F271" i="8"/>
  <c r="H271" i="8" s="1"/>
  <c r="I271" i="8" s="1"/>
  <c r="J271" i="8" s="1"/>
  <c r="P271" i="8" s="1"/>
  <c r="F269" i="8"/>
  <c r="H269" i="8" s="1"/>
  <c r="I269" i="8" s="1"/>
  <c r="J269" i="8" s="1"/>
  <c r="P269" i="8" s="1"/>
  <c r="F267" i="8"/>
  <c r="H267" i="8" s="1"/>
  <c r="F265" i="8"/>
  <c r="H265" i="8" s="1"/>
  <c r="F263" i="8"/>
  <c r="H263" i="8" s="1"/>
  <c r="F262" i="8"/>
  <c r="H262" i="8" s="1"/>
  <c r="I262" i="8" s="1"/>
  <c r="J262" i="8" s="1"/>
  <c r="P262" i="8" s="1"/>
  <c r="F261" i="8"/>
  <c r="H261" i="8" s="1"/>
  <c r="F259" i="8"/>
  <c r="H259" i="8" s="1"/>
  <c r="F257" i="8"/>
  <c r="H257" i="8" s="1"/>
  <c r="F247" i="8"/>
  <c r="H247" i="8" s="1"/>
  <c r="F245" i="8"/>
  <c r="H245" i="8" s="1"/>
  <c r="I245" i="8" s="1"/>
  <c r="J245" i="8" s="1"/>
  <c r="P245" i="8" s="1"/>
  <c r="F243" i="8"/>
  <c r="H243" i="8" s="1"/>
  <c r="I243" i="8" s="1"/>
  <c r="J243" i="8" s="1"/>
  <c r="P243" i="8" s="1"/>
  <c r="F340" i="8"/>
  <c r="H340" i="8" s="1"/>
  <c r="F286" i="8"/>
  <c r="H286" i="8" s="1"/>
  <c r="I286" i="8" s="1"/>
  <c r="J286" i="8" s="1"/>
  <c r="P286" i="8" s="1"/>
  <c r="F284" i="8"/>
  <c r="H284" i="8" s="1"/>
  <c r="I284" i="8" s="1"/>
  <c r="J284" i="8" s="1"/>
  <c r="P284" i="8" s="1"/>
  <c r="F282" i="8"/>
  <c r="H282" i="8" s="1"/>
  <c r="I282" i="8" s="1"/>
  <c r="J282" i="8" s="1"/>
  <c r="P282" i="8" s="1"/>
  <c r="F280" i="8"/>
  <c r="H280" i="8" s="1"/>
  <c r="I280" i="8" s="1"/>
  <c r="J280" i="8" s="1"/>
  <c r="P280" i="8" s="1"/>
  <c r="F278" i="8"/>
  <c r="H278" i="8" s="1"/>
  <c r="I278" i="8" s="1"/>
  <c r="J278" i="8" s="1"/>
  <c r="P278" i="8" s="1"/>
  <c r="F276" i="8"/>
  <c r="H276" i="8" s="1"/>
  <c r="I276" i="8" s="1"/>
  <c r="J276" i="8" s="1"/>
  <c r="P276" i="8" s="1"/>
  <c r="F274" i="8"/>
  <c r="H274" i="8" s="1"/>
  <c r="I274" i="8" s="1"/>
  <c r="J274" i="8" s="1"/>
  <c r="P274" i="8" s="1"/>
  <c r="F272" i="8"/>
  <c r="H272" i="8" s="1"/>
  <c r="I272" i="8" s="1"/>
  <c r="J272" i="8" s="1"/>
  <c r="P272" i="8" s="1"/>
  <c r="F270" i="8"/>
  <c r="H270" i="8" s="1"/>
  <c r="I270" i="8" s="1"/>
  <c r="J270" i="8" s="1"/>
  <c r="P270" i="8" s="1"/>
  <c r="F268" i="8"/>
  <c r="H268" i="8" s="1"/>
  <c r="I268" i="8" s="1"/>
  <c r="J268" i="8" s="1"/>
  <c r="P268" i="8" s="1"/>
  <c r="F266" i="8"/>
  <c r="H266" i="8" s="1"/>
  <c r="F264" i="8"/>
  <c r="H264" i="8" s="1"/>
  <c r="F260" i="8"/>
  <c r="H260" i="8" s="1"/>
  <c r="F258" i="8"/>
  <c r="H258" i="8" s="1"/>
  <c r="F256" i="8"/>
  <c r="H256" i="8" s="1"/>
  <c r="F255" i="8"/>
  <c r="H255" i="8" s="1"/>
  <c r="I255" i="8" s="1"/>
  <c r="J255" i="8" s="1"/>
  <c r="P255" i="8" s="1"/>
  <c r="F254" i="8"/>
  <c r="H254" i="8" s="1"/>
  <c r="F253" i="8"/>
  <c r="H253" i="8" s="1"/>
  <c r="I253" i="8" s="1"/>
  <c r="J253" i="8" s="1"/>
  <c r="P253" i="8" s="1"/>
  <c r="F252" i="8"/>
  <c r="H252" i="8" s="1"/>
  <c r="I252" i="8" s="1"/>
  <c r="J252" i="8" s="1"/>
  <c r="P252" i="8" s="1"/>
  <c r="F251" i="8"/>
  <c r="H251" i="8" s="1"/>
  <c r="I251" i="8" s="1"/>
  <c r="J251" i="8" s="1"/>
  <c r="P251" i="8" s="1"/>
  <c r="F250" i="8"/>
  <c r="H250" i="8" s="1"/>
  <c r="F249" i="8"/>
  <c r="H249" i="8" s="1"/>
  <c r="I249" i="8" s="1"/>
  <c r="J249" i="8" s="1"/>
  <c r="P249" i="8" s="1"/>
  <c r="F248" i="8"/>
  <c r="H248" i="8" s="1"/>
  <c r="I248" i="8" s="1"/>
  <c r="J248" i="8" s="1"/>
  <c r="P248" i="8" s="1"/>
  <c r="F244" i="8"/>
  <c r="H244" i="8" s="1"/>
  <c r="I244" i="8" s="1"/>
  <c r="J244" i="8" s="1"/>
  <c r="P244" i="8" s="1"/>
  <c r="F234" i="8"/>
  <c r="F225" i="8"/>
  <c r="F224" i="8"/>
  <c r="H224" i="8" s="1"/>
  <c r="F212" i="8"/>
  <c r="H212" i="8" s="1"/>
  <c r="F133" i="8"/>
  <c r="H133" i="8" s="1"/>
  <c r="I133" i="8" s="1"/>
  <c r="J133" i="8" s="1"/>
  <c r="P133" i="8" s="1"/>
  <c r="F131" i="8"/>
  <c r="F124" i="8"/>
  <c r="H124" i="8" s="1"/>
  <c r="I124" i="8" s="1"/>
  <c r="J124" i="8" s="1"/>
  <c r="P124" i="8" s="1"/>
  <c r="F120" i="8"/>
  <c r="H120" i="8" s="1"/>
  <c r="I120" i="8" s="1"/>
  <c r="J120" i="8" s="1"/>
  <c r="P120" i="8" s="1"/>
  <c r="F118" i="8"/>
  <c r="F246" i="8"/>
  <c r="H246" i="8" s="1"/>
  <c r="I246" i="8" s="1"/>
  <c r="J246" i="8" s="1"/>
  <c r="P246" i="8" s="1"/>
  <c r="F218" i="8"/>
  <c r="H218" i="8" s="1"/>
  <c r="F145" i="8"/>
  <c r="F141" i="8"/>
  <c r="H141" i="8" s="1"/>
  <c r="F109" i="8"/>
  <c r="F103" i="8"/>
  <c r="H103" i="8" s="1"/>
  <c r="F99" i="8"/>
  <c r="H99" i="8" s="1"/>
  <c r="I99" i="8" s="1"/>
  <c r="J99" i="8" s="1"/>
  <c r="P99" i="8" s="1"/>
  <c r="F89" i="8"/>
  <c r="F68" i="8"/>
  <c r="H68" i="8" s="1"/>
  <c r="I68" i="8" s="1"/>
  <c r="J68" i="8" s="1"/>
  <c r="P68" i="8" s="1"/>
  <c r="F67" i="8"/>
  <c r="H67" i="8" s="1"/>
  <c r="I67" i="8" s="1"/>
  <c r="J67" i="8" s="1"/>
  <c r="P67" i="8" s="1"/>
  <c r="F66" i="8"/>
  <c r="H66" i="8" s="1"/>
  <c r="I66" i="8" s="1"/>
  <c r="J66" i="8" s="1"/>
  <c r="P66" i="8" s="1"/>
  <c r="F65" i="8"/>
  <c r="H65" i="8" s="1"/>
  <c r="F56" i="8"/>
  <c r="H56" i="8" s="1"/>
  <c r="I56" i="8" s="1"/>
  <c r="J56" i="8" s="1"/>
  <c r="P56" i="8" s="1"/>
  <c r="F35" i="8"/>
  <c r="H35" i="8" s="1"/>
  <c r="I35" i="8" s="1"/>
  <c r="J35" i="8" s="1"/>
  <c r="P35" i="8" s="1"/>
  <c r="F31" i="8"/>
  <c r="H31" i="8" s="1"/>
  <c r="I31" i="8" s="1"/>
  <c r="J31" i="8" s="1"/>
  <c r="P31" i="8" s="1"/>
  <c r="F28" i="8"/>
  <c r="H28" i="8" s="1"/>
  <c r="I28" i="8" s="1"/>
  <c r="J28" i="8" s="1"/>
  <c r="P28" i="8" s="1"/>
  <c r="F26" i="8"/>
  <c r="F23" i="8"/>
  <c r="F12" i="8"/>
  <c r="F84" i="8"/>
  <c r="H84" i="8" s="1"/>
  <c r="I84" i="8" s="1"/>
  <c r="J84" i="8" s="1"/>
  <c r="F74" i="8"/>
  <c r="F69" i="8"/>
  <c r="H69" i="8" s="1"/>
  <c r="I69" i="8" s="1"/>
  <c r="J69" i="8" s="1"/>
  <c r="F52" i="8"/>
  <c r="H52" i="8" s="1"/>
  <c r="I52" i="8" s="1"/>
  <c r="J52" i="8" s="1"/>
  <c r="P52" i="8" s="1"/>
  <c r="F44" i="8"/>
  <c r="F41" i="8"/>
  <c r="F20" i="8"/>
  <c r="H20" i="8" s="1"/>
  <c r="I20" i="8" s="1"/>
  <c r="J20" i="8" s="1"/>
  <c r="P20" i="8" s="1"/>
  <c r="F342" i="8"/>
  <c r="H342" i="8" s="1"/>
  <c r="I342" i="8" s="1"/>
  <c r="J342" i="8" s="1"/>
  <c r="F324" i="8"/>
  <c r="F343" i="8"/>
  <c r="H343" i="8" s="1"/>
  <c r="F321" i="8"/>
  <c r="F313" i="8"/>
  <c r="F305" i="8"/>
  <c r="F235" i="8"/>
  <c r="H235" i="8" s="1"/>
  <c r="F146" i="8"/>
  <c r="F117" i="8"/>
  <c r="F226" i="8"/>
  <c r="H226" i="8" s="1"/>
  <c r="F130" i="8"/>
  <c r="H130" i="8" s="1"/>
  <c r="I130" i="8" s="1"/>
  <c r="J130" i="8" s="1"/>
  <c r="P130" i="8" s="1"/>
  <c r="F40" i="8"/>
  <c r="F108" i="8"/>
  <c r="H108" i="8" s="1"/>
  <c r="F90" i="8"/>
  <c r="H90" i="8" s="1"/>
  <c r="I90" i="8" s="1"/>
  <c r="J90" i="8" s="1"/>
  <c r="F75" i="8"/>
  <c r="H75" i="8" s="1"/>
  <c r="I75" i="8" s="1"/>
  <c r="J75" i="8" s="1"/>
  <c r="F62" i="8"/>
  <c r="H62" i="8" s="1"/>
  <c r="I62" i="8" s="1"/>
  <c r="J62" i="8" s="1"/>
  <c r="P62" i="8" s="1"/>
  <c r="F43" i="8"/>
  <c r="F25" i="8"/>
  <c r="F22" i="8"/>
  <c r="F11" i="8"/>
  <c r="F351" i="8"/>
  <c r="H351" i="8" s="1"/>
  <c r="I351" i="8" s="1"/>
  <c r="J351" i="8" s="1"/>
  <c r="P351" i="8" s="1"/>
  <c r="F350" i="8"/>
  <c r="H350" i="8" s="1"/>
  <c r="I350" i="8" s="1"/>
  <c r="J350" i="8" s="1"/>
  <c r="P350" i="8" s="1"/>
  <c r="F356" i="8"/>
  <c r="H356" i="8" s="1"/>
  <c r="I356" i="8" s="1"/>
  <c r="J356" i="8" s="1"/>
  <c r="P356" i="8" s="1"/>
  <c r="F353" i="8"/>
  <c r="H353" i="8" s="1"/>
  <c r="F118" i="6"/>
  <c r="G118" i="6" s="1"/>
  <c r="K118" i="6" s="1"/>
  <c r="F118" i="7"/>
  <c r="G118" i="7" s="1"/>
  <c r="K118" i="7" s="1"/>
  <c r="F11" i="5"/>
  <c r="H11" i="5" s="1"/>
  <c r="I11" i="5" s="1"/>
  <c r="J11" i="5" s="1"/>
  <c r="P11" i="5" s="1"/>
  <c r="G20" i="9" s="1"/>
  <c r="F12" i="5"/>
  <c r="H12" i="5" s="1"/>
  <c r="I12" i="5" s="1"/>
  <c r="J12" i="5" s="1"/>
  <c r="P12" i="5" s="1"/>
  <c r="R12" i="5" s="1"/>
  <c r="F6" i="5"/>
  <c r="H6" i="5" s="1"/>
  <c r="I6" i="5" s="1"/>
  <c r="J6" i="5" s="1"/>
  <c r="P6" i="5" s="1"/>
  <c r="R6" i="5" s="1"/>
  <c r="F7" i="5"/>
  <c r="H7" i="5" s="1"/>
  <c r="I7" i="5" s="1"/>
  <c r="J7" i="5" s="1"/>
  <c r="P7" i="5" s="1"/>
  <c r="R7" i="5" s="1"/>
  <c r="F10" i="5"/>
  <c r="H10" i="5" s="1"/>
  <c r="I10" i="5" s="1"/>
  <c r="J10" i="5" s="1"/>
  <c r="P10" i="5" s="1"/>
  <c r="R10" i="5" s="1"/>
  <c r="I19" i="2"/>
  <c r="F9" i="1"/>
  <c r="H9" i="1" s="1"/>
  <c r="I9" i="1" s="1"/>
  <c r="J9" i="1" s="1"/>
  <c r="P9" i="1" s="1"/>
  <c r="Q9" i="1" s="1"/>
  <c r="F376" i="1"/>
  <c r="H376" i="1" s="1"/>
  <c r="I376" i="1" s="1"/>
  <c r="J376" i="1" s="1"/>
  <c r="P376" i="1" s="1"/>
  <c r="F8" i="1"/>
  <c r="H8" i="1" s="1"/>
  <c r="I8" i="1" s="1"/>
  <c r="J8" i="1" s="1"/>
  <c r="P8" i="1" s="1"/>
  <c r="F372" i="1"/>
  <c r="H372" i="1" s="1"/>
  <c r="I372" i="1" s="1"/>
  <c r="J372" i="1" s="1"/>
  <c r="P372" i="1" s="1"/>
  <c r="I15" i="2"/>
  <c r="F350" i="1" s="1"/>
  <c r="H350" i="1" s="1"/>
  <c r="I350" i="1" s="1"/>
  <c r="J350" i="1" s="1"/>
  <c r="P350" i="1" s="1"/>
  <c r="Q350" i="1" s="1"/>
  <c r="T350" i="1" s="1"/>
  <c r="AD350" i="1" s="1"/>
  <c r="I21" i="2"/>
  <c r="F355" i="8" s="1"/>
  <c r="H355" i="8" s="1"/>
  <c r="I355" i="8" s="1"/>
  <c r="J355" i="8" s="1"/>
  <c r="P355" i="8" s="1"/>
  <c r="I24" i="2"/>
  <c r="F166" i="1" s="1"/>
  <c r="F361" i="8"/>
  <c r="F360" i="8"/>
  <c r="F291" i="1"/>
  <c r="H291" i="1" s="1"/>
  <c r="F290" i="1"/>
  <c r="H290" i="1" s="1"/>
  <c r="F292" i="1"/>
  <c r="H292" i="1" s="1"/>
  <c r="F289" i="1"/>
  <c r="H289" i="1" s="1"/>
  <c r="F293" i="1"/>
  <c r="H293" i="1" s="1"/>
  <c r="I293" i="1" s="1"/>
  <c r="J293" i="1" s="1"/>
  <c r="P293" i="1" s="1"/>
  <c r="F288" i="1"/>
  <c r="H288" i="1" s="1"/>
  <c r="I288" i="1" s="1"/>
  <c r="J288" i="1" s="1"/>
  <c r="P288" i="1" s="1"/>
  <c r="F369" i="1"/>
  <c r="H369" i="1" s="1"/>
  <c r="F366" i="1"/>
  <c r="H366" i="1" s="1"/>
  <c r="I366" i="1" s="1"/>
  <c r="J366" i="1" s="1"/>
  <c r="P366" i="1" s="1"/>
  <c r="I23" i="2"/>
  <c r="F23" i="1"/>
  <c r="F141" i="1"/>
  <c r="H141" i="1" s="1"/>
  <c r="I141" i="1" s="1"/>
  <c r="J141" i="1" s="1"/>
  <c r="P141" i="1" s="1"/>
  <c r="F31" i="1"/>
  <c r="H31" i="1" s="1"/>
  <c r="I31" i="1" s="1"/>
  <c r="J31" i="1" s="1"/>
  <c r="P31" i="1" s="1"/>
  <c r="F370" i="1"/>
  <c r="F281" i="1"/>
  <c r="H281" i="1" s="1"/>
  <c r="I281" i="1" s="1"/>
  <c r="J281" i="1" s="1"/>
  <c r="P281" i="1" s="1"/>
  <c r="F285" i="1"/>
  <c r="H285" i="1" s="1"/>
  <c r="I285" i="1" s="1"/>
  <c r="J285" i="1" s="1"/>
  <c r="P285" i="1" s="1"/>
  <c r="F274" i="1"/>
  <c r="H274" i="1" s="1"/>
  <c r="I274" i="1" s="1"/>
  <c r="J274" i="1" s="1"/>
  <c r="P274" i="1" s="1"/>
  <c r="F278" i="1"/>
  <c r="H278" i="1" s="1"/>
  <c r="I278" i="1" s="1"/>
  <c r="J278" i="1" s="1"/>
  <c r="P278" i="1" s="1"/>
  <c r="F263" i="1"/>
  <c r="H263" i="1" s="1"/>
  <c r="I263" i="1" s="1"/>
  <c r="J263" i="1" s="1"/>
  <c r="P263" i="1" s="1"/>
  <c r="F267" i="1"/>
  <c r="H267" i="1" s="1"/>
  <c r="I267" i="1" s="1"/>
  <c r="J267" i="1" s="1"/>
  <c r="P267" i="1" s="1"/>
  <c r="F271" i="1"/>
  <c r="H271" i="1" s="1"/>
  <c r="I271" i="1" s="1"/>
  <c r="J271" i="1" s="1"/>
  <c r="P271" i="1" s="1"/>
  <c r="F253" i="1"/>
  <c r="H253" i="1" s="1"/>
  <c r="I253" i="1" s="1"/>
  <c r="J253" i="1" s="1"/>
  <c r="P253" i="1" s="1"/>
  <c r="F257" i="1"/>
  <c r="H257" i="1" s="1"/>
  <c r="I257" i="1" s="1"/>
  <c r="J257" i="1" s="1"/>
  <c r="P257" i="1" s="1"/>
  <c r="F261" i="1"/>
  <c r="H261" i="1" s="1"/>
  <c r="I261" i="1" s="1"/>
  <c r="J261" i="1" s="1"/>
  <c r="P261" i="1" s="1"/>
  <c r="F247" i="1"/>
  <c r="H247" i="1" s="1"/>
  <c r="I247" i="1" s="1"/>
  <c r="J247" i="1" s="1"/>
  <c r="P247" i="1" s="1"/>
  <c r="F251" i="1"/>
  <c r="H251" i="1" s="1"/>
  <c r="I251" i="1" s="1"/>
  <c r="J251" i="1" s="1"/>
  <c r="P251" i="1" s="1"/>
  <c r="F131" i="1"/>
  <c r="F84" i="1"/>
  <c r="H84" i="1" s="1"/>
  <c r="I84" i="1" s="1"/>
  <c r="J84" i="1" s="1"/>
  <c r="F28" i="1"/>
  <c r="H28" i="1" s="1"/>
  <c r="I28" i="1" s="1"/>
  <c r="J28" i="1" s="1"/>
  <c r="P28" i="1" s="1"/>
  <c r="F282" i="1"/>
  <c r="H282" i="1" s="1"/>
  <c r="I282" i="1" s="1"/>
  <c r="J282" i="1" s="1"/>
  <c r="P282" i="1" s="1"/>
  <c r="F277" i="1"/>
  <c r="H277" i="1" s="1"/>
  <c r="I277" i="1" s="1"/>
  <c r="J277" i="1" s="1"/>
  <c r="P277" i="1" s="1"/>
  <c r="F266" i="1"/>
  <c r="H266" i="1" s="1"/>
  <c r="I266" i="1" s="1"/>
  <c r="J266" i="1" s="1"/>
  <c r="P266" i="1" s="1"/>
  <c r="F252" i="1"/>
  <c r="H252" i="1" s="1"/>
  <c r="I252" i="1" s="1"/>
  <c r="J252" i="1" s="1"/>
  <c r="P252" i="1" s="1"/>
  <c r="F244" i="1"/>
  <c r="H244" i="1" s="1"/>
  <c r="I244" i="1" s="1"/>
  <c r="J244" i="1" s="1"/>
  <c r="P244" i="1" s="1"/>
  <c r="F243" i="1"/>
  <c r="H243" i="1" s="1"/>
  <c r="I243" i="1" s="1"/>
  <c r="J243" i="1" s="1"/>
  <c r="P243" i="1" s="1"/>
  <c r="F145" i="1"/>
  <c r="F103" i="1"/>
  <c r="H103" i="1" s="1"/>
  <c r="I103" i="1" s="1"/>
  <c r="J103" i="1" s="1"/>
  <c r="P103" i="1" s="1"/>
  <c r="F74" i="1"/>
  <c r="F56" i="1"/>
  <c r="H56" i="1" s="1"/>
  <c r="I56" i="1" s="1"/>
  <c r="J56" i="1" s="1"/>
  <c r="P56" i="1" s="1"/>
  <c r="F8" i="5"/>
  <c r="H8" i="5" s="1"/>
  <c r="I8" i="5" s="1"/>
  <c r="J8" i="5" s="1"/>
  <c r="P8" i="5" s="1"/>
  <c r="F20" i="1"/>
  <c r="H20" i="1" s="1"/>
  <c r="I20" i="1" s="1"/>
  <c r="J20" i="1" s="1"/>
  <c r="P20" i="1" s="1"/>
  <c r="F52" i="1"/>
  <c r="H52" i="1" s="1"/>
  <c r="I52" i="1" s="1"/>
  <c r="J52" i="1" s="1"/>
  <c r="P52" i="1" s="1"/>
  <c r="F284" i="1"/>
  <c r="H284" i="1" s="1"/>
  <c r="I284" i="1" s="1"/>
  <c r="J284" i="1" s="1"/>
  <c r="P284" i="1" s="1"/>
  <c r="F279" i="1"/>
  <c r="H279" i="1" s="1"/>
  <c r="I279" i="1" s="1"/>
  <c r="J279" i="1" s="1"/>
  <c r="P279" i="1" s="1"/>
  <c r="F268" i="1"/>
  <c r="H268" i="1" s="1"/>
  <c r="I268" i="1" s="1"/>
  <c r="J268" i="1" s="1"/>
  <c r="P268" i="1" s="1"/>
  <c r="F254" i="1"/>
  <c r="H254" i="1" s="1"/>
  <c r="I254" i="1" s="1"/>
  <c r="J254" i="1" s="1"/>
  <c r="P254" i="1" s="1"/>
  <c r="F260" i="1"/>
  <c r="H260" i="1" s="1"/>
  <c r="I260" i="1" s="1"/>
  <c r="J260" i="1" s="1"/>
  <c r="P260" i="1" s="1"/>
  <c r="F250" i="1"/>
  <c r="H250" i="1" s="1"/>
  <c r="I250" i="1" s="1"/>
  <c r="J250" i="1" s="1"/>
  <c r="P250" i="1" s="1"/>
  <c r="H212" i="1"/>
  <c r="I212" i="1" s="1"/>
  <c r="J212" i="1" s="1"/>
  <c r="P212" i="1" s="1"/>
  <c r="F118" i="1"/>
  <c r="F69" i="1"/>
  <c r="H69" i="1" s="1"/>
  <c r="I69" i="1" s="1"/>
  <c r="J69" i="1" s="1"/>
  <c r="F44" i="1"/>
  <c r="F35" i="1"/>
  <c r="H35" i="1" s="1"/>
  <c r="I35" i="1" s="1"/>
  <c r="J35" i="1" s="1"/>
  <c r="P35" i="1" s="1"/>
  <c r="F234" i="1"/>
  <c r="F68" i="1"/>
  <c r="H68" i="1" s="1"/>
  <c r="I68" i="1" s="1"/>
  <c r="J68" i="1" s="1"/>
  <c r="P68" i="1" s="1"/>
  <c r="F26" i="1"/>
  <c r="F352" i="1"/>
  <c r="H352" i="1" s="1"/>
  <c r="I352" i="1" s="1"/>
  <c r="J352" i="1" s="1"/>
  <c r="P352" i="1" s="1"/>
  <c r="F283" i="1"/>
  <c r="H283" i="1" s="1"/>
  <c r="I283" i="1" s="1"/>
  <c r="J283" i="1" s="1"/>
  <c r="P283" i="1" s="1"/>
  <c r="F287" i="1"/>
  <c r="H287" i="1" s="1"/>
  <c r="I287" i="1" s="1"/>
  <c r="J287" i="1" s="1"/>
  <c r="P287" i="1" s="1"/>
  <c r="F276" i="1"/>
  <c r="H276" i="1" s="1"/>
  <c r="I276" i="1" s="1"/>
  <c r="J276" i="1" s="1"/>
  <c r="P276" i="1" s="1"/>
  <c r="F280" i="1"/>
  <c r="H280" i="1" s="1"/>
  <c r="I280" i="1" s="1"/>
  <c r="J280" i="1" s="1"/>
  <c r="P280" i="1" s="1"/>
  <c r="F265" i="1"/>
  <c r="H265" i="1" s="1"/>
  <c r="I265" i="1" s="1"/>
  <c r="J265" i="1" s="1"/>
  <c r="P265" i="1" s="1"/>
  <c r="F269" i="1"/>
  <c r="H269" i="1" s="1"/>
  <c r="I269" i="1" s="1"/>
  <c r="J269" i="1" s="1"/>
  <c r="P269" i="1" s="1"/>
  <c r="F273" i="1"/>
  <c r="H273" i="1" s="1"/>
  <c r="I273" i="1" s="1"/>
  <c r="J273" i="1" s="1"/>
  <c r="P273" i="1" s="1"/>
  <c r="F255" i="1"/>
  <c r="H255" i="1" s="1"/>
  <c r="I255" i="1" s="1"/>
  <c r="J255" i="1" s="1"/>
  <c r="P255" i="1" s="1"/>
  <c r="F259" i="1"/>
  <c r="H259" i="1" s="1"/>
  <c r="I259" i="1" s="1"/>
  <c r="J259" i="1" s="1"/>
  <c r="P259" i="1" s="1"/>
  <c r="F245" i="1"/>
  <c r="H245" i="1" s="1"/>
  <c r="I245" i="1" s="1"/>
  <c r="J245" i="1" s="1"/>
  <c r="P245" i="1" s="1"/>
  <c r="F249" i="1"/>
  <c r="H249" i="1" s="1"/>
  <c r="I249" i="1" s="1"/>
  <c r="J249" i="1" s="1"/>
  <c r="P249" i="1" s="1"/>
  <c r="F224" i="1"/>
  <c r="H224" i="1" s="1"/>
  <c r="I224" i="1" s="1"/>
  <c r="J224" i="1" s="1"/>
  <c r="P224" i="1" s="1"/>
  <c r="F99" i="1"/>
  <c r="H99" i="1" s="1"/>
  <c r="I99" i="1" s="1"/>
  <c r="J99" i="1" s="1"/>
  <c r="P99" i="1" s="1"/>
  <c r="F124" i="1"/>
  <c r="H124" i="1" s="1"/>
  <c r="I124" i="1" s="1"/>
  <c r="J124" i="1" s="1"/>
  <c r="P124" i="1" s="1"/>
  <c r="F354" i="1"/>
  <c r="F286" i="1"/>
  <c r="H286" i="1" s="1"/>
  <c r="I286" i="1" s="1"/>
  <c r="J286" i="1" s="1"/>
  <c r="P286" i="1" s="1"/>
  <c r="F262" i="1"/>
  <c r="H262" i="1" s="1"/>
  <c r="I262" i="1" s="1"/>
  <c r="J262" i="1" s="1"/>
  <c r="P262" i="1" s="1"/>
  <c r="F270" i="1"/>
  <c r="H270" i="1" s="1"/>
  <c r="I270" i="1" s="1"/>
  <c r="J270" i="1" s="1"/>
  <c r="P270" i="1" s="1"/>
  <c r="F258" i="1"/>
  <c r="H258" i="1" s="1"/>
  <c r="I258" i="1" s="1"/>
  <c r="J258" i="1" s="1"/>
  <c r="P258" i="1" s="1"/>
  <c r="F248" i="1"/>
  <c r="H248" i="1" s="1"/>
  <c r="I248" i="1" s="1"/>
  <c r="J248" i="1" s="1"/>
  <c r="P248" i="1" s="1"/>
  <c r="F218" i="1"/>
  <c r="H218" i="1" s="1"/>
  <c r="I218" i="1" s="1"/>
  <c r="J218" i="1" s="1"/>
  <c r="P218" i="1" s="1"/>
  <c r="F120" i="1"/>
  <c r="H120" i="1" s="1"/>
  <c r="I120" i="1" s="1"/>
  <c r="J120" i="1" s="1"/>
  <c r="P120" i="1" s="1"/>
  <c r="F89" i="1"/>
  <c r="F66" i="1"/>
  <c r="H66" i="1" s="1"/>
  <c r="I66" i="1" s="1"/>
  <c r="J66" i="1" s="1"/>
  <c r="P66" i="1" s="1"/>
  <c r="F9" i="5"/>
  <c r="H9" i="5" s="1"/>
  <c r="I9" i="5" s="1"/>
  <c r="J9" i="5" s="1"/>
  <c r="P9" i="5" s="1"/>
  <c r="G19" i="9" s="1"/>
  <c r="F12" i="1"/>
  <c r="F65" i="1"/>
  <c r="H65" i="1" s="1"/>
  <c r="I65" i="1" s="1"/>
  <c r="J65" i="1" s="1"/>
  <c r="P65" i="1" s="1"/>
  <c r="F353" i="1"/>
  <c r="H353" i="1" s="1"/>
  <c r="I353" i="1" s="1"/>
  <c r="J353" i="1" s="1"/>
  <c r="P353" i="1" s="1"/>
  <c r="F275" i="1"/>
  <c r="H275" i="1" s="1"/>
  <c r="I275" i="1" s="1"/>
  <c r="J275" i="1" s="1"/>
  <c r="P275" i="1" s="1"/>
  <c r="F264" i="1"/>
  <c r="H264" i="1" s="1"/>
  <c r="I264" i="1" s="1"/>
  <c r="J264" i="1" s="1"/>
  <c r="P264" i="1" s="1"/>
  <c r="F272" i="1"/>
  <c r="H272" i="1" s="1"/>
  <c r="I272" i="1" s="1"/>
  <c r="J272" i="1" s="1"/>
  <c r="P272" i="1" s="1"/>
  <c r="F256" i="1"/>
  <c r="H256" i="1" s="1"/>
  <c r="I256" i="1" s="1"/>
  <c r="J256" i="1" s="1"/>
  <c r="P256" i="1" s="1"/>
  <c r="F246" i="1"/>
  <c r="H246" i="1" s="1"/>
  <c r="I246" i="1" s="1"/>
  <c r="J246" i="1" s="1"/>
  <c r="P246" i="1" s="1"/>
  <c r="F225" i="1"/>
  <c r="F133" i="1"/>
  <c r="H133" i="1" s="1"/>
  <c r="I133" i="1" s="1"/>
  <c r="J133" i="1" s="1"/>
  <c r="P133" i="1" s="1"/>
  <c r="F109" i="1"/>
  <c r="F67" i="1"/>
  <c r="H67" i="1" s="1"/>
  <c r="F41" i="1"/>
  <c r="F364" i="1"/>
  <c r="H364" i="1" s="1"/>
  <c r="I364" i="1" s="1"/>
  <c r="J364" i="1" s="1"/>
  <c r="P364" i="1" s="1"/>
  <c r="F363" i="1"/>
  <c r="H363" i="1" s="1"/>
  <c r="I363" i="1" s="1"/>
  <c r="J363" i="1" s="1"/>
  <c r="P363" i="1" s="1"/>
  <c r="F371" i="1"/>
  <c r="F367" i="1"/>
  <c r="H367" i="1" s="1"/>
  <c r="I367" i="1" s="1"/>
  <c r="J367" i="1" s="1"/>
  <c r="P367" i="1" s="1"/>
  <c r="F226" i="1"/>
  <c r="F11" i="1"/>
  <c r="F355" i="1"/>
  <c r="F117" i="1"/>
  <c r="F75" i="1"/>
  <c r="F62" i="1"/>
  <c r="H62" i="1" s="1"/>
  <c r="I62" i="1" s="1"/>
  <c r="J62" i="1" s="1"/>
  <c r="P62" i="1" s="1"/>
  <c r="F40" i="1"/>
  <c r="F317" i="1"/>
  <c r="F235" i="1"/>
  <c r="F325" i="1"/>
  <c r="F90" i="1"/>
  <c r="F22" i="1"/>
  <c r="H22" i="1" s="1"/>
  <c r="I22" i="1" s="1"/>
  <c r="J22" i="1" s="1"/>
  <c r="P22" i="1" s="1"/>
  <c r="F130" i="1"/>
  <c r="F25" i="1"/>
  <c r="F309" i="1"/>
  <c r="F43" i="1"/>
  <c r="F146" i="1"/>
  <c r="H145" i="1" s="1"/>
  <c r="I145" i="1" s="1"/>
  <c r="J145" i="1" s="1"/>
  <c r="F108" i="1"/>
  <c r="H108" i="1" s="1"/>
  <c r="I108" i="1" s="1"/>
  <c r="J108" i="1" s="1"/>
  <c r="F328" i="1"/>
  <c r="F356" i="1"/>
  <c r="H356" i="1" s="1"/>
  <c r="I356" i="1" s="1"/>
  <c r="J356" i="1" s="1"/>
  <c r="P356" i="1" s="1"/>
  <c r="Q254" i="1" l="1"/>
  <c r="X254" i="1" s="1"/>
  <c r="H130" i="1"/>
  <c r="I130" i="1" s="1"/>
  <c r="J130" i="1" s="1"/>
  <c r="P130" i="1" s="1"/>
  <c r="Q130" i="1" s="1"/>
  <c r="V350" i="1"/>
  <c r="R350" i="1"/>
  <c r="G341" i="6"/>
  <c r="Q8" i="1"/>
  <c r="T8" i="1" s="1"/>
  <c r="H11" i="1"/>
  <c r="I11" i="1" s="1"/>
  <c r="J11" i="1" s="1"/>
  <c r="I31" i="2"/>
  <c r="H22" i="8"/>
  <c r="I22" i="8" s="1"/>
  <c r="J22" i="8" s="1"/>
  <c r="P22" i="8" s="1"/>
  <c r="Q22" i="8" s="1"/>
  <c r="AB22" i="8" s="1"/>
  <c r="H43" i="8"/>
  <c r="I43" i="8" s="1"/>
  <c r="J43" i="8" s="1"/>
  <c r="H117" i="8"/>
  <c r="I117" i="8" s="1"/>
  <c r="J117" i="8" s="1"/>
  <c r="P117" i="8" s="1"/>
  <c r="Q117" i="8" s="1"/>
  <c r="AB117" i="8" s="1"/>
  <c r="AC117" i="8" s="1"/>
  <c r="H43" i="1"/>
  <c r="I43" i="1" s="1"/>
  <c r="J43" i="1" s="1"/>
  <c r="H25" i="1"/>
  <c r="I25" i="1" s="1"/>
  <c r="J25" i="1" s="1"/>
  <c r="P25" i="1" s="1"/>
  <c r="Q25" i="1" s="1"/>
  <c r="H117" i="1"/>
  <c r="I117" i="1" s="1"/>
  <c r="J117" i="1" s="1"/>
  <c r="P117" i="1" s="1"/>
  <c r="Q117" i="1" s="1"/>
  <c r="H11" i="8"/>
  <c r="I11" i="8" s="1"/>
  <c r="J11" i="8" s="1"/>
  <c r="H25" i="8"/>
  <c r="I25" i="8" s="1"/>
  <c r="J25" i="8" s="1"/>
  <c r="P25" i="8" s="1"/>
  <c r="H40" i="8"/>
  <c r="I40" i="8" s="1"/>
  <c r="J40" i="8" s="1"/>
  <c r="P40" i="8" s="1"/>
  <c r="Q40" i="8" s="1"/>
  <c r="AB40" i="8" s="1"/>
  <c r="G18" i="9"/>
  <c r="G17" i="9"/>
  <c r="Q355" i="8"/>
  <c r="AB355" i="8" s="1"/>
  <c r="F352" i="8"/>
  <c r="H352" i="8" s="1"/>
  <c r="I352" i="8" s="1"/>
  <c r="J352" i="8" s="1"/>
  <c r="P352" i="8" s="1"/>
  <c r="F58" i="8"/>
  <c r="H58" i="8" s="1"/>
  <c r="I58" i="8" s="1"/>
  <c r="J58" i="8" s="1"/>
  <c r="P58" i="8" s="1"/>
  <c r="F59" i="8"/>
  <c r="H59" i="8" s="1"/>
  <c r="Q356" i="8"/>
  <c r="AB356" i="8" s="1"/>
  <c r="Q351" i="8"/>
  <c r="AB351" i="8" s="1"/>
  <c r="I108" i="8"/>
  <c r="J108" i="8" s="1"/>
  <c r="Q130" i="8"/>
  <c r="AB130" i="8" s="1"/>
  <c r="I235" i="8"/>
  <c r="J235" i="8" s="1"/>
  <c r="I343" i="8"/>
  <c r="J343" i="8" s="1"/>
  <c r="P343" i="8" s="1"/>
  <c r="Q52" i="8"/>
  <c r="AB52" i="8" s="1"/>
  <c r="H74" i="8"/>
  <c r="I74" i="8" s="1"/>
  <c r="J74" i="8" s="1"/>
  <c r="Q31" i="8"/>
  <c r="AB31" i="8" s="1"/>
  <c r="Q56" i="8"/>
  <c r="AB56" i="8" s="1"/>
  <c r="Q66" i="8"/>
  <c r="AB66" i="8" s="1"/>
  <c r="Q68" i="8"/>
  <c r="AB68" i="8" s="1"/>
  <c r="Q99" i="8"/>
  <c r="AB99" i="8" s="1"/>
  <c r="H145" i="8"/>
  <c r="I145" i="8" s="1"/>
  <c r="J145" i="8" s="1"/>
  <c r="Q246" i="8"/>
  <c r="AB246" i="8" s="1"/>
  <c r="Q120" i="8"/>
  <c r="AB120" i="8" s="1"/>
  <c r="I212" i="8"/>
  <c r="J212" i="8" s="1"/>
  <c r="P212" i="8" s="1"/>
  <c r="H225" i="8"/>
  <c r="I225" i="8" s="1"/>
  <c r="J225" i="8" s="1"/>
  <c r="Q244" i="8"/>
  <c r="AB244" i="8" s="1"/>
  <c r="Q249" i="8"/>
  <c r="AB249" i="8" s="1"/>
  <c r="Q251" i="8"/>
  <c r="AB251" i="8" s="1"/>
  <c r="Q253" i="8"/>
  <c r="AB253" i="8" s="1"/>
  <c r="Q255" i="8"/>
  <c r="AB255" i="8" s="1"/>
  <c r="I258" i="8"/>
  <c r="J258" i="8" s="1"/>
  <c r="P258" i="8" s="1"/>
  <c r="I264" i="8"/>
  <c r="J264" i="8" s="1"/>
  <c r="P264" i="8" s="1"/>
  <c r="Q268" i="8"/>
  <c r="AB268" i="8" s="1"/>
  <c r="Q272" i="8"/>
  <c r="AB272" i="8" s="1"/>
  <c r="Q276" i="8"/>
  <c r="AB276" i="8" s="1"/>
  <c r="Q280" i="8"/>
  <c r="AB280" i="8" s="1"/>
  <c r="Q284" i="8"/>
  <c r="AB284" i="8" s="1"/>
  <c r="I340" i="8"/>
  <c r="J340" i="8" s="1"/>
  <c r="P340" i="8" s="1"/>
  <c r="Q245" i="8"/>
  <c r="AB245" i="8" s="1"/>
  <c r="I257" i="8"/>
  <c r="J257" i="8" s="1"/>
  <c r="P257" i="8" s="1"/>
  <c r="I261" i="8"/>
  <c r="J261" i="8" s="1"/>
  <c r="P261" i="8" s="1"/>
  <c r="I263" i="8"/>
  <c r="J263" i="8" s="1"/>
  <c r="P263" i="8" s="1"/>
  <c r="I267" i="8"/>
  <c r="J267" i="8" s="1"/>
  <c r="P267" i="8" s="1"/>
  <c r="Q271" i="8"/>
  <c r="AB271" i="8" s="1"/>
  <c r="Q275" i="8"/>
  <c r="AB275" i="8" s="1"/>
  <c r="Q279" i="8"/>
  <c r="AB279" i="8" s="1"/>
  <c r="Q283" i="8"/>
  <c r="AB283" i="8" s="1"/>
  <c r="I287" i="8"/>
  <c r="J287" i="8" s="1"/>
  <c r="P287" i="8" s="1"/>
  <c r="H341" i="8"/>
  <c r="Q354" i="8"/>
  <c r="AB354" i="8" s="1"/>
  <c r="I288" i="8"/>
  <c r="J288" i="8" s="1"/>
  <c r="P288" i="8" s="1"/>
  <c r="I292" i="8"/>
  <c r="J292" i="8" s="1"/>
  <c r="P292" i="8" s="1"/>
  <c r="I290" i="8"/>
  <c r="J290" i="8" s="1"/>
  <c r="P290" i="8" s="1"/>
  <c r="Q9" i="8"/>
  <c r="AB9" i="8" s="1"/>
  <c r="Q363" i="8"/>
  <c r="AB363" i="8" s="1"/>
  <c r="H360" i="8"/>
  <c r="F364" i="8"/>
  <c r="H364" i="8" s="1"/>
  <c r="F336" i="8"/>
  <c r="H336" i="8" s="1"/>
  <c r="F334" i="8"/>
  <c r="H334" i="8" s="1"/>
  <c r="F332" i="8"/>
  <c r="H332" i="8" s="1"/>
  <c r="F320" i="8"/>
  <c r="H320" i="8" s="1"/>
  <c r="I320" i="8" s="1"/>
  <c r="J320" i="8" s="1"/>
  <c r="P320" i="8" s="1"/>
  <c r="F312" i="8"/>
  <c r="H312" i="8" s="1"/>
  <c r="I312" i="8" s="1"/>
  <c r="J312" i="8" s="1"/>
  <c r="P312" i="8" s="1"/>
  <c r="F304" i="8"/>
  <c r="H304" i="8" s="1"/>
  <c r="I304" i="8" s="1"/>
  <c r="J304" i="8" s="1"/>
  <c r="P304" i="8" s="1"/>
  <c r="F295" i="8"/>
  <c r="H295" i="8" s="1"/>
  <c r="F362" i="8"/>
  <c r="H362" i="8" s="1"/>
  <c r="I362" i="8" s="1"/>
  <c r="J362" i="8" s="1"/>
  <c r="P362" i="8" s="1"/>
  <c r="F337" i="8"/>
  <c r="H337" i="8" s="1"/>
  <c r="F331" i="8"/>
  <c r="H331" i="8" s="1"/>
  <c r="F326" i="8"/>
  <c r="H326" i="8" s="1"/>
  <c r="I326" i="8" s="1"/>
  <c r="J326" i="8" s="1"/>
  <c r="P326" i="8" s="1"/>
  <c r="F323" i="8"/>
  <c r="H323" i="8" s="1"/>
  <c r="F299" i="8"/>
  <c r="H299" i="8" s="1"/>
  <c r="F197" i="8"/>
  <c r="H197" i="8" s="1"/>
  <c r="I197" i="8" s="1"/>
  <c r="J197" i="8" s="1"/>
  <c r="P197" i="8" s="1"/>
  <c r="F195" i="8"/>
  <c r="H195" i="8" s="1"/>
  <c r="I195" i="8" s="1"/>
  <c r="J195" i="8" s="1"/>
  <c r="P195" i="8" s="1"/>
  <c r="F193" i="8"/>
  <c r="H193" i="8" s="1"/>
  <c r="I193" i="8" s="1"/>
  <c r="J193" i="8" s="1"/>
  <c r="P193" i="8" s="1"/>
  <c r="F191" i="8"/>
  <c r="H191" i="8" s="1"/>
  <c r="I191" i="8" s="1"/>
  <c r="J191" i="8" s="1"/>
  <c r="P191" i="8" s="1"/>
  <c r="F189" i="8"/>
  <c r="H189" i="8" s="1"/>
  <c r="I189" i="8" s="1"/>
  <c r="J189" i="8" s="1"/>
  <c r="P189" i="8" s="1"/>
  <c r="F185" i="8"/>
  <c r="H185" i="8" s="1"/>
  <c r="I185" i="8" s="1"/>
  <c r="J185" i="8" s="1"/>
  <c r="P185" i="8" s="1"/>
  <c r="F183" i="8"/>
  <c r="H183" i="8" s="1"/>
  <c r="I183" i="8" s="1"/>
  <c r="J183" i="8" s="1"/>
  <c r="P183" i="8" s="1"/>
  <c r="F181" i="8"/>
  <c r="H181" i="8" s="1"/>
  <c r="I181" i="8" s="1"/>
  <c r="J181" i="8" s="1"/>
  <c r="P181" i="8" s="1"/>
  <c r="F179" i="8"/>
  <c r="H179" i="8" s="1"/>
  <c r="I179" i="8" s="1"/>
  <c r="J179" i="8" s="1"/>
  <c r="P179" i="8" s="1"/>
  <c r="F177" i="8"/>
  <c r="H177" i="8" s="1"/>
  <c r="I177" i="8" s="1"/>
  <c r="J177" i="8" s="1"/>
  <c r="P177" i="8" s="1"/>
  <c r="F175" i="8"/>
  <c r="H175" i="8" s="1"/>
  <c r="I175" i="8" s="1"/>
  <c r="J175" i="8" s="1"/>
  <c r="P175" i="8" s="1"/>
  <c r="F173" i="8"/>
  <c r="H173" i="8" s="1"/>
  <c r="F171" i="8"/>
  <c r="H171" i="8" s="1"/>
  <c r="F169" i="8"/>
  <c r="H169" i="8" s="1"/>
  <c r="F167" i="8"/>
  <c r="H167" i="8" s="1"/>
  <c r="F140" i="8"/>
  <c r="H140" i="8" s="1"/>
  <c r="F204" i="8"/>
  <c r="H204" i="8" s="1"/>
  <c r="F199" i="8"/>
  <c r="H199" i="8" s="1"/>
  <c r="F196" i="8"/>
  <c r="H196" i="8" s="1"/>
  <c r="F194" i="8"/>
  <c r="H194" i="8" s="1"/>
  <c r="F192" i="8"/>
  <c r="H192" i="8" s="1"/>
  <c r="F190" i="8"/>
  <c r="H190" i="8" s="1"/>
  <c r="F184" i="8"/>
  <c r="H184" i="8" s="1"/>
  <c r="F182" i="8"/>
  <c r="H182" i="8" s="1"/>
  <c r="F180" i="8"/>
  <c r="H180" i="8" s="1"/>
  <c r="F178" i="8"/>
  <c r="H178" i="8" s="1"/>
  <c r="F176" i="8"/>
  <c r="H176" i="8" s="1"/>
  <c r="F174" i="8"/>
  <c r="H174" i="8" s="1"/>
  <c r="F172" i="8"/>
  <c r="H172" i="8" s="1"/>
  <c r="F170" i="8"/>
  <c r="H170" i="8" s="1"/>
  <c r="F168" i="8"/>
  <c r="H168" i="8" s="1"/>
  <c r="F166" i="8"/>
  <c r="H166" i="8" s="1"/>
  <c r="F162" i="8"/>
  <c r="H162" i="8" s="1"/>
  <c r="F158" i="8"/>
  <c r="H158" i="8" s="1"/>
  <c r="F154" i="8"/>
  <c r="H154" i="8" s="1"/>
  <c r="F129" i="8"/>
  <c r="H129" i="8" s="1"/>
  <c r="I129" i="8" s="1"/>
  <c r="J129" i="8" s="1"/>
  <c r="P129" i="8" s="1"/>
  <c r="F61" i="8"/>
  <c r="H61" i="8" s="1"/>
  <c r="I61" i="8" s="1"/>
  <c r="J61" i="8" s="1"/>
  <c r="P61" i="8" s="1"/>
  <c r="F30" i="8"/>
  <c r="H30" i="8" s="1"/>
  <c r="I30" i="8" s="1"/>
  <c r="J30" i="8" s="1"/>
  <c r="P30" i="8" s="1"/>
  <c r="F101" i="8"/>
  <c r="H101" i="8" s="1"/>
  <c r="I101" i="8" s="1"/>
  <c r="J101" i="8" s="1"/>
  <c r="P101" i="8" s="1"/>
  <c r="F349" i="8"/>
  <c r="H349" i="8" s="1"/>
  <c r="I349" i="8" s="1"/>
  <c r="J349" i="8" s="1"/>
  <c r="P349" i="8" s="1"/>
  <c r="F348" i="8"/>
  <c r="H348" i="8" s="1"/>
  <c r="I348" i="8" s="1"/>
  <c r="J348" i="8" s="1"/>
  <c r="P348" i="8" s="1"/>
  <c r="I353" i="8"/>
  <c r="J353" i="8" s="1"/>
  <c r="P353" i="8" s="1"/>
  <c r="Q350" i="8"/>
  <c r="AB350" i="8" s="1"/>
  <c r="Q25" i="8"/>
  <c r="AB25" i="8" s="1"/>
  <c r="Q62" i="8"/>
  <c r="AB62" i="8" s="1"/>
  <c r="I226" i="8"/>
  <c r="J226" i="8" s="1"/>
  <c r="Q20" i="8"/>
  <c r="AB20" i="8" s="1"/>
  <c r="Q28" i="8"/>
  <c r="AB28" i="8" s="1"/>
  <c r="Q35" i="8"/>
  <c r="AB35" i="8" s="1"/>
  <c r="I65" i="8"/>
  <c r="J65" i="8" s="1"/>
  <c r="P65" i="8" s="1"/>
  <c r="Q67" i="8"/>
  <c r="AB67" i="8" s="1"/>
  <c r="H89" i="8"/>
  <c r="I89" i="8" s="1"/>
  <c r="J89" i="8" s="1"/>
  <c r="I103" i="8"/>
  <c r="J103" i="8" s="1"/>
  <c r="P103" i="8" s="1"/>
  <c r="I141" i="8"/>
  <c r="J141" i="8" s="1"/>
  <c r="P141" i="8" s="1"/>
  <c r="I218" i="8"/>
  <c r="J218" i="8" s="1"/>
  <c r="P218" i="8" s="1"/>
  <c r="Q124" i="8"/>
  <c r="AB124" i="8" s="1"/>
  <c r="Q133" i="8"/>
  <c r="AB133" i="8" s="1"/>
  <c r="I224" i="8"/>
  <c r="J224" i="8" s="1"/>
  <c r="P224" i="8" s="1"/>
  <c r="H234" i="8"/>
  <c r="I234" i="8" s="1"/>
  <c r="J234" i="8" s="1"/>
  <c r="Q248" i="8"/>
  <c r="AB248" i="8" s="1"/>
  <c r="I250" i="8"/>
  <c r="J250" i="8" s="1"/>
  <c r="P250" i="8" s="1"/>
  <c r="Q252" i="8"/>
  <c r="AB252" i="8" s="1"/>
  <c r="I254" i="8"/>
  <c r="J254" i="8" s="1"/>
  <c r="P254" i="8" s="1"/>
  <c r="I256" i="8"/>
  <c r="J256" i="8" s="1"/>
  <c r="P256" i="8" s="1"/>
  <c r="I260" i="8"/>
  <c r="J260" i="8" s="1"/>
  <c r="P260" i="8" s="1"/>
  <c r="I266" i="8"/>
  <c r="J266" i="8" s="1"/>
  <c r="P266" i="8" s="1"/>
  <c r="Q270" i="8"/>
  <c r="AB270" i="8" s="1"/>
  <c r="Q274" i="8"/>
  <c r="AB274" i="8" s="1"/>
  <c r="Q278" i="8"/>
  <c r="AB278" i="8" s="1"/>
  <c r="Q282" i="8"/>
  <c r="AB282" i="8" s="1"/>
  <c r="Q286" i="8"/>
  <c r="AB286" i="8" s="1"/>
  <c r="Q243" i="8"/>
  <c r="AB243" i="8" s="1"/>
  <c r="I247" i="8"/>
  <c r="J247" i="8" s="1"/>
  <c r="P247" i="8" s="1"/>
  <c r="I259" i="8"/>
  <c r="J259" i="8" s="1"/>
  <c r="P259" i="8" s="1"/>
  <c r="Q262" i="8"/>
  <c r="AB262" i="8" s="1"/>
  <c r="I265" i="8"/>
  <c r="J265" i="8" s="1"/>
  <c r="P265" i="8" s="1"/>
  <c r="Q269" i="8"/>
  <c r="AB269" i="8" s="1"/>
  <c r="Q273" i="8"/>
  <c r="AB273" i="8" s="1"/>
  <c r="Q277" i="8"/>
  <c r="AB277" i="8" s="1"/>
  <c r="Q281" i="8"/>
  <c r="AB281" i="8" s="1"/>
  <c r="Q285" i="8"/>
  <c r="AB285" i="8" s="1"/>
  <c r="I339" i="8"/>
  <c r="J339" i="8" s="1"/>
  <c r="P339" i="8" s="1"/>
  <c r="Q357" i="8"/>
  <c r="AB357" i="8" s="1"/>
  <c r="Q289" i="8"/>
  <c r="AB289" i="8" s="1"/>
  <c r="Q293" i="8"/>
  <c r="AB293" i="8" s="1"/>
  <c r="Q291" i="8"/>
  <c r="AB291" i="8" s="1"/>
  <c r="I8" i="8"/>
  <c r="J8" i="8" s="1"/>
  <c r="P8" i="8" s="1"/>
  <c r="Q359" i="8"/>
  <c r="AB359" i="8" s="1"/>
  <c r="H40" i="1"/>
  <c r="I40" i="1" s="1"/>
  <c r="J40" i="1" s="1"/>
  <c r="P40" i="1" s="1"/>
  <c r="Q40" i="1" s="1"/>
  <c r="Q133" i="1"/>
  <c r="Q246" i="1"/>
  <c r="X246" i="1" s="1"/>
  <c r="Q272" i="1"/>
  <c r="X272" i="1" s="1"/>
  <c r="Q275" i="1"/>
  <c r="X275" i="1" s="1"/>
  <c r="Q65" i="1"/>
  <c r="Q258" i="1"/>
  <c r="X258" i="1" s="1"/>
  <c r="Q262" i="1"/>
  <c r="X262" i="1" s="1"/>
  <c r="Y262" i="1" s="1"/>
  <c r="Q99" i="1"/>
  <c r="Q249" i="1"/>
  <c r="X249" i="1" s="1"/>
  <c r="Q259" i="1"/>
  <c r="X259" i="1" s="1"/>
  <c r="Q265" i="1"/>
  <c r="X265" i="1" s="1"/>
  <c r="Q276" i="1"/>
  <c r="X276" i="1" s="1"/>
  <c r="Q283" i="1"/>
  <c r="X283" i="1" s="1"/>
  <c r="Q279" i="1"/>
  <c r="X279" i="1" s="1"/>
  <c r="Q52" i="1"/>
  <c r="Q244" i="1"/>
  <c r="X244" i="1" s="1"/>
  <c r="Q266" i="1"/>
  <c r="X266" i="1" s="1"/>
  <c r="Q282" i="1"/>
  <c r="X282" i="1" s="1"/>
  <c r="Q251" i="1"/>
  <c r="X251" i="1" s="1"/>
  <c r="Q261" i="1"/>
  <c r="X261" i="1" s="1"/>
  <c r="Q267" i="1"/>
  <c r="X267" i="1" s="1"/>
  <c r="Q278" i="1"/>
  <c r="X278" i="1" s="1"/>
  <c r="Q141" i="1"/>
  <c r="Q293" i="1"/>
  <c r="X293" i="1" s="1"/>
  <c r="Q264" i="1"/>
  <c r="X264" i="1" s="1"/>
  <c r="Q353" i="1"/>
  <c r="Q66" i="1"/>
  <c r="Q120" i="1"/>
  <c r="Q248" i="1"/>
  <c r="X248" i="1" s="1"/>
  <c r="Q124" i="1"/>
  <c r="Q224" i="1"/>
  <c r="X224" i="1" s="1"/>
  <c r="Q245" i="1"/>
  <c r="X245" i="1" s="1"/>
  <c r="Q269" i="1"/>
  <c r="X269" i="1" s="1"/>
  <c r="Q280" i="1"/>
  <c r="X280" i="1" s="1"/>
  <c r="Q352" i="1"/>
  <c r="X352" i="1" s="1"/>
  <c r="Y352" i="1" s="1"/>
  <c r="Q68" i="1"/>
  <c r="Q260" i="1"/>
  <c r="X260" i="1" s="1"/>
  <c r="Q103" i="1"/>
  <c r="Q277" i="1"/>
  <c r="X277" i="1" s="1"/>
  <c r="Q28" i="1"/>
  <c r="Q247" i="1"/>
  <c r="X247" i="1" s="1"/>
  <c r="Q263" i="1"/>
  <c r="X263" i="1" s="1"/>
  <c r="Q274" i="1"/>
  <c r="X274" i="1" s="1"/>
  <c r="Q366" i="1"/>
  <c r="Q372" i="1"/>
  <c r="Q376" i="1"/>
  <c r="Q367" i="1"/>
  <c r="Q364" i="1"/>
  <c r="Q256" i="1"/>
  <c r="X256" i="1" s="1"/>
  <c r="Q270" i="1"/>
  <c r="X270" i="1" s="1"/>
  <c r="Q286" i="1"/>
  <c r="X286" i="1" s="1"/>
  <c r="Q255" i="1"/>
  <c r="X255" i="1" s="1"/>
  <c r="Q287" i="1"/>
  <c r="X287" i="1" s="1"/>
  <c r="Q35" i="1"/>
  <c r="Q212" i="1"/>
  <c r="Q268" i="1"/>
  <c r="X268" i="1" s="1"/>
  <c r="Q284" i="1"/>
  <c r="X284" i="1" s="1"/>
  <c r="Q20" i="1"/>
  <c r="Q56" i="1"/>
  <c r="Q243" i="1"/>
  <c r="X243" i="1" s="1"/>
  <c r="Q252" i="1"/>
  <c r="X252" i="1" s="1"/>
  <c r="Y252" i="1" s="1"/>
  <c r="Q257" i="1"/>
  <c r="X257" i="1" s="1"/>
  <c r="Q271" i="1"/>
  <c r="X271" i="1" s="1"/>
  <c r="Q281" i="1"/>
  <c r="X281" i="1" s="1"/>
  <c r="Q31" i="1"/>
  <c r="I292" i="1"/>
  <c r="J292" i="1" s="1"/>
  <c r="P292" i="1" s="1"/>
  <c r="I291" i="1"/>
  <c r="J291" i="1" s="1"/>
  <c r="P291" i="1" s="1"/>
  <c r="F365" i="1"/>
  <c r="H365" i="1" s="1"/>
  <c r="I365" i="1" s="1"/>
  <c r="J365" i="1" s="1"/>
  <c r="P365" i="1" s="1"/>
  <c r="F58" i="1"/>
  <c r="H58" i="1" s="1"/>
  <c r="I58" i="1" s="1"/>
  <c r="J58" i="1" s="1"/>
  <c r="P58" i="1" s="1"/>
  <c r="F59" i="1"/>
  <c r="H59" i="1" s="1"/>
  <c r="I59" i="1" s="1"/>
  <c r="J59" i="1" s="1"/>
  <c r="P59" i="1" s="1"/>
  <c r="Q363" i="1"/>
  <c r="I67" i="1"/>
  <c r="J67" i="1" s="1"/>
  <c r="P67" i="1" s="1"/>
  <c r="R9" i="5"/>
  <c r="Q218" i="1"/>
  <c r="X218" i="1" s="1"/>
  <c r="Q273" i="1"/>
  <c r="X273" i="1" s="1"/>
  <c r="Q250" i="1"/>
  <c r="X250" i="1" s="1"/>
  <c r="R8" i="5"/>
  <c r="Q253" i="1"/>
  <c r="X253" i="1" s="1"/>
  <c r="Q285" i="1"/>
  <c r="X285" i="1" s="1"/>
  <c r="I369" i="1"/>
  <c r="J369" i="1" s="1"/>
  <c r="P369" i="1" s="1"/>
  <c r="Q288" i="1"/>
  <c r="X288" i="1" s="1"/>
  <c r="I289" i="1"/>
  <c r="J289" i="1" s="1"/>
  <c r="P289" i="1" s="1"/>
  <c r="I290" i="1"/>
  <c r="J290" i="1" s="1"/>
  <c r="P290" i="1" s="1"/>
  <c r="F373" i="1"/>
  <c r="F374" i="1"/>
  <c r="F204" i="1"/>
  <c r="H204" i="1" s="1"/>
  <c r="I204" i="1" s="1"/>
  <c r="J204" i="1" s="1"/>
  <c r="P204" i="1" s="1"/>
  <c r="F197" i="1"/>
  <c r="H197" i="1" s="1"/>
  <c r="I197" i="1" s="1"/>
  <c r="J197" i="1" s="1"/>
  <c r="P197" i="1" s="1"/>
  <c r="F299" i="1"/>
  <c r="H299" i="1" s="1"/>
  <c r="I299" i="1" s="1"/>
  <c r="J299" i="1" s="1"/>
  <c r="P299" i="1" s="1"/>
  <c r="F335" i="1"/>
  <c r="H335" i="1" s="1"/>
  <c r="I335" i="1" s="1"/>
  <c r="J335" i="1" s="1"/>
  <c r="P335" i="1" s="1"/>
  <c r="F177" i="1"/>
  <c r="H177" i="1" s="1"/>
  <c r="I177" i="1" s="1"/>
  <c r="J177" i="1" s="1"/>
  <c r="P177" i="1" s="1"/>
  <c r="F61" i="1"/>
  <c r="H61" i="1" s="1"/>
  <c r="F344" i="1"/>
  <c r="H344" i="1" s="1"/>
  <c r="I344" i="1" s="1"/>
  <c r="J344" i="1" s="1"/>
  <c r="P344" i="1" s="1"/>
  <c r="F316" i="1"/>
  <c r="H316" i="1" s="1"/>
  <c r="I316" i="1" s="1"/>
  <c r="J316" i="1" s="1"/>
  <c r="P316" i="1" s="1"/>
  <c r="F295" i="1"/>
  <c r="H295" i="1" s="1"/>
  <c r="I295" i="1" s="1"/>
  <c r="J295" i="1" s="1"/>
  <c r="P295" i="1" s="1"/>
  <c r="F192" i="1"/>
  <c r="H192" i="1" s="1"/>
  <c r="I192" i="1" s="1"/>
  <c r="J192" i="1" s="1"/>
  <c r="P192" i="1" s="1"/>
  <c r="F169" i="1"/>
  <c r="H169" i="1" s="1"/>
  <c r="I169" i="1" s="1"/>
  <c r="J169" i="1" s="1"/>
  <c r="P169" i="1" s="1"/>
  <c r="F173" i="1"/>
  <c r="H173" i="1" s="1"/>
  <c r="I173" i="1" s="1"/>
  <c r="J173" i="1" s="1"/>
  <c r="P173" i="1" s="1"/>
  <c r="F179" i="1"/>
  <c r="H179" i="1" s="1"/>
  <c r="I179" i="1" s="1"/>
  <c r="J179" i="1" s="1"/>
  <c r="P179" i="1" s="1"/>
  <c r="F184" i="1"/>
  <c r="H184" i="1" s="1"/>
  <c r="F129" i="1"/>
  <c r="H129" i="1" s="1"/>
  <c r="F195" i="1"/>
  <c r="H195" i="1" s="1"/>
  <c r="I195" i="1" s="1"/>
  <c r="J195" i="1" s="1"/>
  <c r="P195" i="1" s="1"/>
  <c r="F345" i="1"/>
  <c r="H345" i="1" s="1"/>
  <c r="F199" i="1"/>
  <c r="H199" i="1" s="1"/>
  <c r="I199" i="1" s="1"/>
  <c r="J199" i="1" s="1"/>
  <c r="F191" i="1"/>
  <c r="H191" i="1" s="1"/>
  <c r="I191" i="1" s="1"/>
  <c r="J191" i="1" s="1"/>
  <c r="P191" i="1" s="1"/>
  <c r="F175" i="1"/>
  <c r="H175" i="1" s="1"/>
  <c r="I175" i="1" s="1"/>
  <c r="J175" i="1" s="1"/>
  <c r="P175" i="1" s="1"/>
  <c r="F185" i="1"/>
  <c r="H185" i="1" s="1"/>
  <c r="F154" i="1"/>
  <c r="H154" i="1" s="1"/>
  <c r="F158" i="1"/>
  <c r="H158" i="1" s="1"/>
  <c r="I158" i="1" s="1"/>
  <c r="J158" i="1" s="1"/>
  <c r="P158" i="1" s="1"/>
  <c r="H166" i="1"/>
  <c r="I166" i="1" s="1"/>
  <c r="J166" i="1" s="1"/>
  <c r="P166" i="1" s="1"/>
  <c r="F330" i="1"/>
  <c r="H330" i="1" s="1"/>
  <c r="I330" i="1" s="1"/>
  <c r="J330" i="1" s="1"/>
  <c r="P330" i="1" s="1"/>
  <c r="F193" i="1"/>
  <c r="H193" i="1" s="1"/>
  <c r="I193" i="1" s="1"/>
  <c r="J193" i="1" s="1"/>
  <c r="P193" i="1" s="1"/>
  <c r="F172" i="1"/>
  <c r="H172" i="1" s="1"/>
  <c r="I172" i="1" s="1"/>
  <c r="J172" i="1" s="1"/>
  <c r="P172" i="1" s="1"/>
  <c r="F183" i="1"/>
  <c r="H183" i="1" s="1"/>
  <c r="I183" i="1" s="1"/>
  <c r="J183" i="1" s="1"/>
  <c r="P183" i="1" s="1"/>
  <c r="F377" i="1"/>
  <c r="H377" i="1" s="1"/>
  <c r="F190" i="1"/>
  <c r="H190" i="1" s="1"/>
  <c r="I190" i="1" s="1"/>
  <c r="J190" i="1" s="1"/>
  <c r="P190" i="1" s="1"/>
  <c r="F167" i="1"/>
  <c r="H167" i="1" s="1"/>
  <c r="I167" i="1" s="1"/>
  <c r="J167" i="1" s="1"/>
  <c r="P167" i="1" s="1"/>
  <c r="H30" i="1"/>
  <c r="F327" i="1"/>
  <c r="H327" i="1" s="1"/>
  <c r="I327" i="1" s="1"/>
  <c r="J327" i="1" s="1"/>
  <c r="P327" i="1" s="1"/>
  <c r="F308" i="1"/>
  <c r="F194" i="1"/>
  <c r="H194" i="1" s="1"/>
  <c r="I194" i="1" s="1"/>
  <c r="J194" i="1" s="1"/>
  <c r="P194" i="1" s="1"/>
  <c r="F189" i="1"/>
  <c r="H189" i="1" s="1"/>
  <c r="I189" i="1" s="1"/>
  <c r="J189" i="1" s="1"/>
  <c r="P189" i="1" s="1"/>
  <c r="F171" i="1"/>
  <c r="H171" i="1" s="1"/>
  <c r="I171" i="1" s="1"/>
  <c r="J171" i="1" s="1"/>
  <c r="P171" i="1" s="1"/>
  <c r="F176" i="1"/>
  <c r="H176" i="1" s="1"/>
  <c r="I176" i="1" s="1"/>
  <c r="J176" i="1" s="1"/>
  <c r="P176" i="1" s="1"/>
  <c r="F182" i="1"/>
  <c r="H182" i="1" s="1"/>
  <c r="I182" i="1" s="1"/>
  <c r="J182" i="1" s="1"/>
  <c r="P182" i="1" s="1"/>
  <c r="F140" i="1"/>
  <c r="H140" i="1" s="1"/>
  <c r="I140" i="1" s="1"/>
  <c r="J140" i="1" s="1"/>
  <c r="P140" i="1" s="1"/>
  <c r="F375" i="1"/>
  <c r="H375" i="1" s="1"/>
  <c r="I375" i="1" s="1"/>
  <c r="J375" i="1" s="1"/>
  <c r="P375" i="1" s="1"/>
  <c r="F174" i="1"/>
  <c r="H174" i="1" s="1"/>
  <c r="I174" i="1" s="1"/>
  <c r="J174" i="1" s="1"/>
  <c r="P174" i="1" s="1"/>
  <c r="F336" i="1"/>
  <c r="H336" i="1" s="1"/>
  <c r="F196" i="1"/>
  <c r="H196" i="1" s="1"/>
  <c r="F170" i="1"/>
  <c r="H170" i="1" s="1"/>
  <c r="I170" i="1" s="1"/>
  <c r="J170" i="1" s="1"/>
  <c r="P170" i="1" s="1"/>
  <c r="F180" i="1"/>
  <c r="H180" i="1" s="1"/>
  <c r="F162" i="1"/>
  <c r="H162" i="1" s="1"/>
  <c r="I162" i="1" s="1"/>
  <c r="J162" i="1" s="1"/>
  <c r="P162" i="1" s="1"/>
  <c r="F101" i="1"/>
  <c r="H101" i="1" s="1"/>
  <c r="F181" i="1"/>
  <c r="H181" i="1" s="1"/>
  <c r="I181" i="1" s="1"/>
  <c r="J181" i="1" s="1"/>
  <c r="P181" i="1" s="1"/>
  <c r="F340" i="1"/>
  <c r="H340" i="1" s="1"/>
  <c r="F324" i="1"/>
  <c r="H324" i="1" s="1"/>
  <c r="I324" i="1" s="1"/>
  <c r="J324" i="1" s="1"/>
  <c r="P324" i="1" s="1"/>
  <c r="F168" i="1"/>
  <c r="H168" i="1" s="1"/>
  <c r="F178" i="1"/>
  <c r="H178" i="1" s="1"/>
  <c r="F368" i="1"/>
  <c r="H368" i="1" s="1"/>
  <c r="F361" i="1"/>
  <c r="H361" i="1" s="1"/>
  <c r="I361" i="1" s="1"/>
  <c r="J361" i="1" s="1"/>
  <c r="P361" i="1" s="1"/>
  <c r="F362" i="1"/>
  <c r="H362" i="1" s="1"/>
  <c r="I362" i="1" s="1"/>
  <c r="J362" i="1" s="1"/>
  <c r="P362" i="1" s="1"/>
  <c r="R11" i="5"/>
  <c r="H308" i="1"/>
  <c r="I308" i="1" s="1"/>
  <c r="J308" i="1" s="1"/>
  <c r="P308" i="1" s="1"/>
  <c r="H370" i="1"/>
  <c r="I370" i="1" s="1"/>
  <c r="J370" i="1" s="1"/>
  <c r="P370" i="1" s="1"/>
  <c r="Q356" i="1"/>
  <c r="Q22" i="1"/>
  <c r="Q62" i="1"/>
  <c r="H226" i="1"/>
  <c r="I226" i="1" s="1"/>
  <c r="J226" i="1" s="1"/>
  <c r="H225" i="1"/>
  <c r="I225" i="1" s="1"/>
  <c r="J225" i="1" s="1"/>
  <c r="H90" i="1"/>
  <c r="I90" i="1" s="1"/>
  <c r="J90" i="1" s="1"/>
  <c r="H89" i="1"/>
  <c r="I89" i="1" s="1"/>
  <c r="J89" i="1" s="1"/>
  <c r="H235" i="1"/>
  <c r="I235" i="1" s="1"/>
  <c r="J235" i="1" s="1"/>
  <c r="R235" i="1" s="1"/>
  <c r="E235" i="7" s="1"/>
  <c r="H234" i="1"/>
  <c r="I234" i="1" s="1"/>
  <c r="J234" i="1" s="1"/>
  <c r="H75" i="1"/>
  <c r="I75" i="1" s="1"/>
  <c r="J75" i="1" s="1"/>
  <c r="H74" i="1"/>
  <c r="I74" i="1" s="1"/>
  <c r="J74" i="1" s="1"/>
  <c r="H355" i="1"/>
  <c r="I355" i="1" s="1"/>
  <c r="J355" i="1" s="1"/>
  <c r="H354" i="1"/>
  <c r="I354" i="1" s="1"/>
  <c r="J354" i="1" s="1"/>
  <c r="P354" i="1" s="1"/>
  <c r="T260" i="1" l="1"/>
  <c r="AT8" i="1"/>
  <c r="AW8" i="1"/>
  <c r="X212" i="1"/>
  <c r="E341" i="6"/>
  <c r="S350" i="1"/>
  <c r="F341" i="6" s="1"/>
  <c r="AQ62" i="1"/>
  <c r="AQ285" i="1"/>
  <c r="AQ31" i="1"/>
  <c r="AQ56" i="1"/>
  <c r="AQ287" i="1"/>
  <c r="AQ20" i="1"/>
  <c r="AQ35" i="1"/>
  <c r="AQ376" i="1"/>
  <c r="AQ366" i="1"/>
  <c r="AQ28" i="1"/>
  <c r="AQ103" i="1"/>
  <c r="AQ68" i="1"/>
  <c r="AQ124" i="1"/>
  <c r="AQ120" i="1"/>
  <c r="AQ353" i="1"/>
  <c r="AQ251" i="1"/>
  <c r="AQ52" i="1"/>
  <c r="Z9" i="1"/>
  <c r="AQ252" i="1"/>
  <c r="AQ293" i="1"/>
  <c r="AQ99" i="1"/>
  <c r="T117" i="8"/>
  <c r="X117" i="8" s="1"/>
  <c r="AC285" i="8"/>
  <c r="AD285" i="8" s="1"/>
  <c r="AC277" i="8"/>
  <c r="AD277" i="8" s="1"/>
  <c r="AC269" i="8"/>
  <c r="AD269" i="8" s="1"/>
  <c r="Q260" i="8"/>
  <c r="AB260" i="8" s="1"/>
  <c r="Q254" i="8"/>
  <c r="AB254" i="8" s="1"/>
  <c r="Q250" i="8"/>
  <c r="AB250" i="8" s="1"/>
  <c r="AC133" i="8"/>
  <c r="AD133" i="8" s="1"/>
  <c r="Q292" i="8"/>
  <c r="AB292" i="8" s="1"/>
  <c r="Q267" i="8"/>
  <c r="AB267" i="8" s="1"/>
  <c r="Q261" i="8"/>
  <c r="AB261" i="8" s="1"/>
  <c r="AC255" i="8"/>
  <c r="AC244" i="8"/>
  <c r="AT244" i="8" s="1"/>
  <c r="Q212" i="8"/>
  <c r="AB212" i="8" s="1"/>
  <c r="AC52" i="8"/>
  <c r="AT52" i="8" s="1"/>
  <c r="AC130" i="8"/>
  <c r="AD130" i="8" s="1"/>
  <c r="Q339" i="8"/>
  <c r="AB339" i="8" s="1"/>
  <c r="AC281" i="8"/>
  <c r="AT281" i="8" s="1"/>
  <c r="AC273" i="8"/>
  <c r="AT273" i="8" s="1"/>
  <c r="Q265" i="8"/>
  <c r="AB265" i="8" s="1"/>
  <c r="Q266" i="8"/>
  <c r="AB266" i="8" s="1"/>
  <c r="Q256" i="8"/>
  <c r="AB256" i="8" s="1"/>
  <c r="Q224" i="8"/>
  <c r="AB224" i="8" s="1"/>
  <c r="Q287" i="8"/>
  <c r="AB287" i="8" s="1"/>
  <c r="Q263" i="8"/>
  <c r="AB263" i="8" s="1"/>
  <c r="Q257" i="8"/>
  <c r="AB257" i="8" s="1"/>
  <c r="Q340" i="8"/>
  <c r="AB340" i="8" s="1"/>
  <c r="Q258" i="8"/>
  <c r="AB258" i="8" s="1"/>
  <c r="AC120" i="8"/>
  <c r="AC351" i="8"/>
  <c r="AD351" i="8" s="1"/>
  <c r="M240" i="8"/>
  <c r="O240" i="8" s="1"/>
  <c r="O234" i="8" s="1"/>
  <c r="P234" i="8" s="1"/>
  <c r="M231" i="8"/>
  <c r="O231" i="8" s="1"/>
  <c r="O225" i="8" s="1"/>
  <c r="M113" i="8"/>
  <c r="O113" i="8" s="1"/>
  <c r="O108" i="8" s="1"/>
  <c r="P108" i="8" s="1"/>
  <c r="M151" i="8"/>
  <c r="O151" i="8" s="1"/>
  <c r="O145" i="8" s="1"/>
  <c r="M48" i="8"/>
  <c r="O48" i="8" s="1"/>
  <c r="O43" i="8" s="1"/>
  <c r="P43" i="8" s="1"/>
  <c r="M16" i="8"/>
  <c r="O16" i="8" s="1"/>
  <c r="O11" i="8" s="1"/>
  <c r="P11" i="8" s="1"/>
  <c r="AC359" i="8"/>
  <c r="AC291" i="8"/>
  <c r="AC293" i="8"/>
  <c r="AC289" i="8"/>
  <c r="AC357" i="8"/>
  <c r="T281" i="8"/>
  <c r="T273" i="8"/>
  <c r="AC20" i="8"/>
  <c r="AC40" i="8"/>
  <c r="AC62" i="8"/>
  <c r="AC25" i="8"/>
  <c r="Q349" i="8"/>
  <c r="AB349" i="8" s="1"/>
  <c r="Q30" i="8"/>
  <c r="AB30" i="8" s="1"/>
  <c r="Q129" i="8"/>
  <c r="AB129" i="8" s="1"/>
  <c r="I158" i="8"/>
  <c r="J158" i="8" s="1"/>
  <c r="P158" i="8" s="1"/>
  <c r="I166" i="8"/>
  <c r="J166" i="8" s="1"/>
  <c r="P166" i="8" s="1"/>
  <c r="I170" i="8"/>
  <c r="J170" i="8" s="1"/>
  <c r="P170" i="8" s="1"/>
  <c r="I174" i="8"/>
  <c r="J174" i="8" s="1"/>
  <c r="P174" i="8" s="1"/>
  <c r="I178" i="8"/>
  <c r="J178" i="8" s="1"/>
  <c r="P178" i="8" s="1"/>
  <c r="I182" i="8"/>
  <c r="J182" i="8" s="1"/>
  <c r="P182" i="8" s="1"/>
  <c r="I190" i="8"/>
  <c r="J190" i="8" s="1"/>
  <c r="P190" i="8" s="1"/>
  <c r="I194" i="8"/>
  <c r="J194" i="8" s="1"/>
  <c r="P194" i="8" s="1"/>
  <c r="I199" i="8"/>
  <c r="J199" i="8" s="1"/>
  <c r="I140" i="8"/>
  <c r="J140" i="8" s="1"/>
  <c r="P140" i="8" s="1"/>
  <c r="I169" i="8"/>
  <c r="J169" i="8" s="1"/>
  <c r="P169" i="8" s="1"/>
  <c r="I173" i="8"/>
  <c r="J173" i="8" s="1"/>
  <c r="P173" i="8" s="1"/>
  <c r="Q177" i="8"/>
  <c r="AB177" i="8" s="1"/>
  <c r="Q181" i="8"/>
  <c r="AB181" i="8" s="1"/>
  <c r="Q185" i="8"/>
  <c r="AB185" i="8" s="1"/>
  <c r="Q191" i="8"/>
  <c r="AB191" i="8" s="1"/>
  <c r="Q195" i="8"/>
  <c r="AB195" i="8" s="1"/>
  <c r="I299" i="8"/>
  <c r="J299" i="8" s="1"/>
  <c r="P299" i="8" s="1"/>
  <c r="Q326" i="8"/>
  <c r="AB326" i="8" s="1"/>
  <c r="I337" i="8"/>
  <c r="J337" i="8" s="1"/>
  <c r="P337" i="8" s="1"/>
  <c r="I295" i="8"/>
  <c r="J295" i="8" s="1"/>
  <c r="P295" i="8" s="1"/>
  <c r="Q312" i="8"/>
  <c r="AB312" i="8" s="1"/>
  <c r="I332" i="8"/>
  <c r="J332" i="8" s="1"/>
  <c r="P332" i="8" s="1"/>
  <c r="I336" i="8"/>
  <c r="J336" i="8" s="1"/>
  <c r="P336" i="8" s="1"/>
  <c r="I360" i="8"/>
  <c r="J360" i="8" s="1"/>
  <c r="P360" i="8" s="1"/>
  <c r="AC363" i="8"/>
  <c r="AC9" i="8"/>
  <c r="AC354" i="8"/>
  <c r="Q264" i="8"/>
  <c r="AB264" i="8" s="1"/>
  <c r="AC253" i="8"/>
  <c r="AT253" i="8" s="1"/>
  <c r="AC251" i="8"/>
  <c r="AT251" i="8" s="1"/>
  <c r="AC249" i="8"/>
  <c r="AT249" i="8" s="1"/>
  <c r="P225" i="8"/>
  <c r="P145" i="8"/>
  <c r="AC99" i="8"/>
  <c r="AC68" i="8"/>
  <c r="AC31" i="8"/>
  <c r="AD117" i="8"/>
  <c r="AT117" i="8"/>
  <c r="AC22" i="8"/>
  <c r="AD22" i="8" s="1"/>
  <c r="Q58" i="8"/>
  <c r="AB58" i="8" s="1"/>
  <c r="O203" i="1"/>
  <c r="O199" i="1" s="1"/>
  <c r="P199" i="1" s="1"/>
  <c r="M203" i="8"/>
  <c r="O203" i="8" s="1"/>
  <c r="O199" i="8" s="1"/>
  <c r="M97" i="8"/>
  <c r="O97" i="8" s="1"/>
  <c r="O89" i="8" s="1"/>
  <c r="M87" i="8"/>
  <c r="O87" i="8" s="1"/>
  <c r="O84" i="8" s="1"/>
  <c r="P84" i="8" s="1"/>
  <c r="M82" i="8"/>
  <c r="O82" i="8" s="1"/>
  <c r="O74" i="8" s="1"/>
  <c r="M72" i="8"/>
  <c r="O72" i="8" s="1"/>
  <c r="O69" i="8" s="1"/>
  <c r="P69" i="8" s="1"/>
  <c r="Q8" i="8"/>
  <c r="AB8" i="8" s="1"/>
  <c r="AC262" i="8"/>
  <c r="Q259" i="8"/>
  <c r="AB259" i="8" s="1"/>
  <c r="Q247" i="8"/>
  <c r="AB247" i="8" s="1"/>
  <c r="AC243" i="8"/>
  <c r="AD243" i="8" s="1"/>
  <c r="AC286" i="8"/>
  <c r="AT286" i="8" s="1"/>
  <c r="AC282" i="8"/>
  <c r="AD282" i="8" s="1"/>
  <c r="AC278" i="8"/>
  <c r="AD278" i="8" s="1"/>
  <c r="AC274" i="8"/>
  <c r="AD274" i="8" s="1"/>
  <c r="AC270" i="8"/>
  <c r="AD270" i="8" s="1"/>
  <c r="AC252" i="8"/>
  <c r="AT252" i="8" s="1"/>
  <c r="AC248" i="8"/>
  <c r="AT248" i="8" s="1"/>
  <c r="AC124" i="8"/>
  <c r="AD124" i="8" s="1"/>
  <c r="Q218" i="8"/>
  <c r="AB218" i="8" s="1"/>
  <c r="Q141" i="8"/>
  <c r="AB141" i="8" s="1"/>
  <c r="Q103" i="8"/>
  <c r="AB103" i="8" s="1"/>
  <c r="P89" i="8"/>
  <c r="AC67" i="8"/>
  <c r="AT67" i="8" s="1"/>
  <c r="Q65" i="8"/>
  <c r="AB65" i="8" s="1"/>
  <c r="AC35" i="8"/>
  <c r="AT35" i="8" s="1"/>
  <c r="AC28" i="8"/>
  <c r="AC350" i="8"/>
  <c r="Q353" i="8"/>
  <c r="AB353" i="8" s="1"/>
  <c r="Q348" i="8"/>
  <c r="AB348" i="8" s="1"/>
  <c r="Q101" i="8"/>
  <c r="AB101" i="8" s="1"/>
  <c r="Q61" i="8"/>
  <c r="AB61" i="8" s="1"/>
  <c r="I154" i="8"/>
  <c r="J154" i="8" s="1"/>
  <c r="P154" i="8" s="1"/>
  <c r="I162" i="8"/>
  <c r="J162" i="8" s="1"/>
  <c r="P162" i="8" s="1"/>
  <c r="I168" i="8"/>
  <c r="J168" i="8" s="1"/>
  <c r="P168" i="8" s="1"/>
  <c r="I172" i="8"/>
  <c r="J172" i="8" s="1"/>
  <c r="P172" i="8" s="1"/>
  <c r="I176" i="8"/>
  <c r="J176" i="8" s="1"/>
  <c r="P176" i="8" s="1"/>
  <c r="I180" i="8"/>
  <c r="J180" i="8" s="1"/>
  <c r="P180" i="8" s="1"/>
  <c r="I184" i="8"/>
  <c r="J184" i="8" s="1"/>
  <c r="P184" i="8" s="1"/>
  <c r="I192" i="8"/>
  <c r="J192" i="8" s="1"/>
  <c r="P192" i="8" s="1"/>
  <c r="I196" i="8"/>
  <c r="J196" i="8" s="1"/>
  <c r="P196" i="8" s="1"/>
  <c r="I204" i="8"/>
  <c r="J204" i="8" s="1"/>
  <c r="P204" i="8" s="1"/>
  <c r="I167" i="8"/>
  <c r="J167" i="8" s="1"/>
  <c r="P167" i="8" s="1"/>
  <c r="I171" i="8"/>
  <c r="J171" i="8" s="1"/>
  <c r="P171" i="8" s="1"/>
  <c r="Q175" i="8"/>
  <c r="AB175" i="8" s="1"/>
  <c r="Q179" i="8"/>
  <c r="AB179" i="8" s="1"/>
  <c r="Q183" i="8"/>
  <c r="AB183" i="8" s="1"/>
  <c r="Q189" i="8"/>
  <c r="AB189" i="8" s="1"/>
  <c r="Q193" i="8"/>
  <c r="AB193" i="8" s="1"/>
  <c r="Q197" i="8"/>
  <c r="AB197" i="8" s="1"/>
  <c r="I323" i="8"/>
  <c r="J323" i="8" s="1"/>
  <c r="P323" i="8" s="1"/>
  <c r="I331" i="8"/>
  <c r="J331" i="8" s="1"/>
  <c r="P331" i="8" s="1"/>
  <c r="Q362" i="8"/>
  <c r="AB362" i="8" s="1"/>
  <c r="Q304" i="8"/>
  <c r="AB304" i="8" s="1"/>
  <c r="Q320" i="8"/>
  <c r="AB320" i="8" s="1"/>
  <c r="I334" i="8"/>
  <c r="J334" i="8" s="1"/>
  <c r="P334" i="8" s="1"/>
  <c r="I364" i="8"/>
  <c r="J364" i="8" s="1"/>
  <c r="P364" i="8" s="1"/>
  <c r="Q290" i="8"/>
  <c r="AB290" i="8" s="1"/>
  <c r="Q288" i="8"/>
  <c r="AB288" i="8" s="1"/>
  <c r="I341" i="8"/>
  <c r="J341" i="8" s="1"/>
  <c r="P341" i="8" s="1"/>
  <c r="AC283" i="8"/>
  <c r="AT283" i="8" s="1"/>
  <c r="AC279" i="8"/>
  <c r="AT279" i="8" s="1"/>
  <c r="AC275" i="8"/>
  <c r="AT275" i="8" s="1"/>
  <c r="AC271" i="8"/>
  <c r="AT271" i="8" s="1"/>
  <c r="AC245" i="8"/>
  <c r="AT245" i="8" s="1"/>
  <c r="AC284" i="8"/>
  <c r="AC280" i="8"/>
  <c r="AC276" i="8"/>
  <c r="AC272" i="8"/>
  <c r="AC268" i="8"/>
  <c r="T253" i="8"/>
  <c r="T244" i="8"/>
  <c r="AC246" i="8"/>
  <c r="AC66" i="8"/>
  <c r="AC56" i="8"/>
  <c r="P74" i="8"/>
  <c r="Q343" i="8"/>
  <c r="AB343" i="8" s="1"/>
  <c r="V117" i="8"/>
  <c r="AC356" i="8"/>
  <c r="AD356" i="8" s="1"/>
  <c r="I59" i="8"/>
  <c r="J59" i="8" s="1"/>
  <c r="P59" i="8" s="1"/>
  <c r="Q352" i="8"/>
  <c r="AB352" i="8" s="1"/>
  <c r="AC355" i="8"/>
  <c r="AD355" i="8" s="1"/>
  <c r="T75" i="1"/>
  <c r="Q361" i="1"/>
  <c r="Q181" i="1"/>
  <c r="X181" i="1" s="1"/>
  <c r="Y181" i="1" s="1"/>
  <c r="Q194" i="1"/>
  <c r="X194" i="1" s="1"/>
  <c r="Y194" i="1" s="1"/>
  <c r="Q172" i="1"/>
  <c r="X172" i="1" s="1"/>
  <c r="Y172" i="1" s="1"/>
  <c r="Q169" i="1"/>
  <c r="X169" i="1" s="1"/>
  <c r="Y169" i="1" s="1"/>
  <c r="Q344" i="1"/>
  <c r="X344" i="1" s="1"/>
  <c r="Y344" i="1" s="1"/>
  <c r="T344" i="1" s="1"/>
  <c r="Q177" i="1"/>
  <c r="X177" i="1" s="1"/>
  <c r="Y177" i="1" s="1"/>
  <c r="Q299" i="1"/>
  <c r="Q204" i="1"/>
  <c r="T204" i="1" s="1"/>
  <c r="Q369" i="1"/>
  <c r="Q67" i="1"/>
  <c r="Q365" i="1"/>
  <c r="Z35" i="1"/>
  <c r="Q354" i="1"/>
  <c r="T90" i="1"/>
  <c r="Q362" i="1"/>
  <c r="Q140" i="1"/>
  <c r="Q189" i="1"/>
  <c r="X189" i="1" s="1"/>
  <c r="Y189" i="1" s="1"/>
  <c r="Q190" i="1"/>
  <c r="X190" i="1" s="1"/>
  <c r="Y190" i="1" s="1"/>
  <c r="Q193" i="1"/>
  <c r="X193" i="1" s="1"/>
  <c r="Y193" i="1" s="1"/>
  <c r="Q316" i="1"/>
  <c r="Q197" i="1"/>
  <c r="S235" i="1"/>
  <c r="E235" i="6"/>
  <c r="Q327" i="1"/>
  <c r="Q290" i="1"/>
  <c r="X290" i="1" s="1"/>
  <c r="Q292" i="1"/>
  <c r="X292" i="1" s="1"/>
  <c r="Q289" i="1"/>
  <c r="X289" i="1" s="1"/>
  <c r="Q291" i="1"/>
  <c r="X291" i="1" s="1"/>
  <c r="Q58" i="1"/>
  <c r="O16" i="1"/>
  <c r="O11" i="1" s="1"/>
  <c r="P11" i="1" s="1"/>
  <c r="O240" i="1"/>
  <c r="O234" i="1" s="1"/>
  <c r="P234" i="1" s="1"/>
  <c r="O113" i="1"/>
  <c r="O108" i="1" s="1"/>
  <c r="P108" i="1" s="1"/>
  <c r="O151" i="1"/>
  <c r="O145" i="1" s="1"/>
  <c r="P145" i="1" s="1"/>
  <c r="O231" i="1"/>
  <c r="O225" i="1" s="1"/>
  <c r="P225" i="1" s="1"/>
  <c r="O48" i="1"/>
  <c r="O43" i="1" s="1"/>
  <c r="P43" i="1" s="1"/>
  <c r="I178" i="1"/>
  <c r="J178" i="1" s="1"/>
  <c r="P178" i="1" s="1"/>
  <c r="Q162" i="1"/>
  <c r="Q170" i="1"/>
  <c r="X170" i="1" s="1"/>
  <c r="Y170" i="1" s="1"/>
  <c r="I336" i="1"/>
  <c r="J336" i="1" s="1"/>
  <c r="P336" i="1" s="1"/>
  <c r="Q375" i="1"/>
  <c r="Q182" i="1"/>
  <c r="X182" i="1" s="1"/>
  <c r="Y182" i="1" s="1"/>
  <c r="Q171" i="1"/>
  <c r="X171" i="1" s="1"/>
  <c r="Y171" i="1" s="1"/>
  <c r="Q167" i="1"/>
  <c r="X167" i="1" s="1"/>
  <c r="Y167" i="1" s="1"/>
  <c r="I377" i="1"/>
  <c r="J377" i="1" s="1"/>
  <c r="P377" i="1" s="1"/>
  <c r="Q330" i="1"/>
  <c r="X330" i="1" s="1"/>
  <c r="Y330" i="1" s="1"/>
  <c r="Q158" i="1"/>
  <c r="I185" i="1"/>
  <c r="J185" i="1" s="1"/>
  <c r="P185" i="1" s="1"/>
  <c r="Q191" i="1"/>
  <c r="X191" i="1" s="1"/>
  <c r="Y191" i="1" s="1"/>
  <c r="I345" i="1"/>
  <c r="J345" i="1" s="1"/>
  <c r="P345" i="1" s="1"/>
  <c r="I129" i="1"/>
  <c r="J129" i="1" s="1"/>
  <c r="P129" i="1" s="1"/>
  <c r="Q179" i="1"/>
  <c r="X179" i="1" s="1"/>
  <c r="Y179" i="1" s="1"/>
  <c r="Q295" i="1"/>
  <c r="X295" i="1" s="1"/>
  <c r="Y295" i="1" s="1"/>
  <c r="Q370" i="1"/>
  <c r="I368" i="1"/>
  <c r="J368" i="1" s="1"/>
  <c r="P368" i="1" s="1"/>
  <c r="I168" i="1"/>
  <c r="J168" i="1" s="1"/>
  <c r="P168" i="1" s="1"/>
  <c r="I340" i="1"/>
  <c r="J340" i="1" s="1"/>
  <c r="P340" i="1" s="1"/>
  <c r="I101" i="1"/>
  <c r="J101" i="1" s="1"/>
  <c r="P101" i="1" s="1"/>
  <c r="I180" i="1"/>
  <c r="J180" i="1" s="1"/>
  <c r="P180" i="1" s="1"/>
  <c r="I196" i="1"/>
  <c r="J196" i="1" s="1"/>
  <c r="P196" i="1" s="1"/>
  <c r="Q174" i="1"/>
  <c r="X174" i="1" s="1"/>
  <c r="Y174" i="1" s="1"/>
  <c r="Q176" i="1"/>
  <c r="X176" i="1" s="1"/>
  <c r="Y176" i="1" s="1"/>
  <c r="I30" i="1"/>
  <c r="J30" i="1" s="1"/>
  <c r="P30" i="1" s="1"/>
  <c r="Q183" i="1"/>
  <c r="X183" i="1" s="1"/>
  <c r="Y183" i="1" s="1"/>
  <c r="Q166" i="1"/>
  <c r="I154" i="1"/>
  <c r="J154" i="1" s="1"/>
  <c r="P154" i="1" s="1"/>
  <c r="Q175" i="1"/>
  <c r="X175" i="1" s="1"/>
  <c r="Y175" i="1" s="1"/>
  <c r="Q195" i="1"/>
  <c r="X195" i="1" s="1"/>
  <c r="Y195" i="1" s="1"/>
  <c r="I184" i="1"/>
  <c r="J184" i="1" s="1"/>
  <c r="P184" i="1" s="1"/>
  <c r="Q173" i="1"/>
  <c r="X173" i="1" s="1"/>
  <c r="Y173" i="1" s="1"/>
  <c r="Q192" i="1"/>
  <c r="X192" i="1" s="1"/>
  <c r="Y192" i="1" s="1"/>
  <c r="I61" i="1"/>
  <c r="J61" i="1" s="1"/>
  <c r="P61" i="1" s="1"/>
  <c r="Q335" i="1"/>
  <c r="O82" i="1"/>
  <c r="O74" i="1" s="1"/>
  <c r="P74" i="1" s="1"/>
  <c r="O87" i="1"/>
  <c r="O84" i="1" s="1"/>
  <c r="P84" i="1" s="1"/>
  <c r="O97" i="1"/>
  <c r="O89" i="1" s="1"/>
  <c r="P89" i="1" s="1"/>
  <c r="O72" i="1"/>
  <c r="O69" i="1" s="1"/>
  <c r="P69" i="1" s="1"/>
  <c r="Q59" i="1"/>
  <c r="H373" i="1"/>
  <c r="I373" i="1" s="1"/>
  <c r="J373" i="1" s="1"/>
  <c r="P373" i="1" s="1"/>
  <c r="Q324" i="1"/>
  <c r="Q308" i="1"/>
  <c r="T291" i="1" l="1"/>
  <c r="AW204" i="1"/>
  <c r="AT204" i="1"/>
  <c r="X197" i="1"/>
  <c r="X204" i="1"/>
  <c r="X166" i="1"/>
  <c r="Y166" i="1" s="1"/>
  <c r="T376" i="1"/>
  <c r="Z31" i="1"/>
  <c r="T252" i="1"/>
  <c r="Z252" i="1"/>
  <c r="T120" i="1"/>
  <c r="T287" i="1"/>
  <c r="Z56" i="1"/>
  <c r="T366" i="1"/>
  <c r="R366" i="1" s="1"/>
  <c r="E353" i="7" s="1"/>
  <c r="T9" i="1"/>
  <c r="Z28" i="1"/>
  <c r="AQ8" i="1"/>
  <c r="T103" i="1"/>
  <c r="Z293" i="1"/>
  <c r="T249" i="8"/>
  <c r="AH249" i="8" s="1"/>
  <c r="T251" i="1"/>
  <c r="T62" i="1"/>
  <c r="T68" i="1"/>
  <c r="Z20" i="1"/>
  <c r="T28" i="1"/>
  <c r="Z287" i="1"/>
  <c r="Z62" i="1"/>
  <c r="Z120" i="1"/>
  <c r="Z68" i="1"/>
  <c r="Z366" i="1"/>
  <c r="AH117" i="8"/>
  <c r="T52" i="8"/>
  <c r="V52" i="8" s="1"/>
  <c r="T52" i="1"/>
  <c r="Z52" i="1"/>
  <c r="R117" i="8"/>
  <c r="S117" i="8" s="1"/>
  <c r="T99" i="1"/>
  <c r="T293" i="1"/>
  <c r="Z285" i="1"/>
  <c r="Z353" i="1"/>
  <c r="Z124" i="1"/>
  <c r="Z103" i="1"/>
  <c r="T285" i="1"/>
  <c r="T353" i="1"/>
  <c r="T124" i="1"/>
  <c r="Z376" i="1"/>
  <c r="Z99" i="1"/>
  <c r="AQ176" i="1"/>
  <c r="AQ179" i="1"/>
  <c r="AQ330" i="1"/>
  <c r="AQ182" i="1"/>
  <c r="AQ162" i="1"/>
  <c r="AQ193" i="1"/>
  <c r="AQ189" i="1"/>
  <c r="AQ354" i="1"/>
  <c r="AQ67" i="1"/>
  <c r="AQ177" i="1"/>
  <c r="AQ169" i="1"/>
  <c r="AQ361" i="1"/>
  <c r="AQ40" i="1"/>
  <c r="AQ272" i="1"/>
  <c r="AQ141" i="1"/>
  <c r="AQ363" i="1"/>
  <c r="AQ352" i="1"/>
  <c r="AQ274" i="1"/>
  <c r="AQ117" i="1"/>
  <c r="AQ308" i="1"/>
  <c r="AQ335" i="1"/>
  <c r="AQ192" i="1"/>
  <c r="AQ191" i="1"/>
  <c r="AQ171" i="1"/>
  <c r="AQ375" i="1"/>
  <c r="AQ170" i="1"/>
  <c r="AQ291" i="1"/>
  <c r="AQ365" i="1"/>
  <c r="AQ369" i="1"/>
  <c r="AQ344" i="1"/>
  <c r="AQ181" i="1"/>
  <c r="AQ367" i="1"/>
  <c r="AQ133" i="1"/>
  <c r="AQ65" i="1"/>
  <c r="Z25" i="1"/>
  <c r="AQ66" i="1"/>
  <c r="AQ260" i="1"/>
  <c r="AQ356" i="1"/>
  <c r="AQ130" i="1"/>
  <c r="AQ262" i="1"/>
  <c r="T251" i="8"/>
  <c r="X251" i="8" s="1"/>
  <c r="AQ9" i="1"/>
  <c r="AQ183" i="1"/>
  <c r="AQ370" i="1"/>
  <c r="AQ292" i="1"/>
  <c r="AQ362" i="1"/>
  <c r="AQ204" i="1"/>
  <c r="AQ194" i="1"/>
  <c r="AQ22" i="1"/>
  <c r="AQ364" i="1"/>
  <c r="AQ372" i="1"/>
  <c r="AD286" i="8"/>
  <c r="AD244" i="8"/>
  <c r="AD248" i="8"/>
  <c r="AD252" i="8"/>
  <c r="P199" i="8"/>
  <c r="Q199" i="8" s="1"/>
  <c r="AB199" i="8" s="1"/>
  <c r="Q323" i="8"/>
  <c r="AB323" i="8" s="1"/>
  <c r="Q196" i="8"/>
  <c r="AB196" i="8" s="1"/>
  <c r="Q184" i="8"/>
  <c r="AB184" i="8" s="1"/>
  <c r="Q176" i="8"/>
  <c r="AB176" i="8" s="1"/>
  <c r="Q168" i="8"/>
  <c r="AB168" i="8" s="1"/>
  <c r="Q154" i="8"/>
  <c r="AB154" i="8" s="1"/>
  <c r="AC154" i="8" s="1"/>
  <c r="AC348" i="8"/>
  <c r="AD348" i="8" s="1"/>
  <c r="AC259" i="8"/>
  <c r="AD259" i="8" s="1"/>
  <c r="Q332" i="8"/>
  <c r="AB332" i="8" s="1"/>
  <c r="Q299" i="8"/>
  <c r="AB299" i="8" s="1"/>
  <c r="Q140" i="8"/>
  <c r="AB140" i="8" s="1"/>
  <c r="Q194" i="8"/>
  <c r="AB194" i="8" s="1"/>
  <c r="Q182" i="8"/>
  <c r="AB182" i="8" s="1"/>
  <c r="Q174" i="8"/>
  <c r="AB174" i="8" s="1"/>
  <c r="Q166" i="8"/>
  <c r="AB166" i="8" s="1"/>
  <c r="AC257" i="8"/>
  <c r="AD257" i="8" s="1"/>
  <c r="AC265" i="8"/>
  <c r="AD265" i="8" s="1"/>
  <c r="AC267" i="8"/>
  <c r="AD267" i="8" s="1"/>
  <c r="AC320" i="8"/>
  <c r="AD320" i="8" s="1"/>
  <c r="Q331" i="8"/>
  <c r="AB331" i="8" s="1"/>
  <c r="AC197" i="8"/>
  <c r="AD197" i="8" s="1"/>
  <c r="Q204" i="8"/>
  <c r="AB204" i="8" s="1"/>
  <c r="Q192" i="8"/>
  <c r="AB192" i="8" s="1"/>
  <c r="Q180" i="8"/>
  <c r="AB180" i="8" s="1"/>
  <c r="Q172" i="8"/>
  <c r="AB172" i="8" s="1"/>
  <c r="Q162" i="8"/>
  <c r="AB162" i="8" s="1"/>
  <c r="AC264" i="8"/>
  <c r="AT264" i="8" s="1"/>
  <c r="Q360" i="8"/>
  <c r="AB360" i="8" s="1"/>
  <c r="Q295" i="8"/>
  <c r="AB295" i="8" s="1"/>
  <c r="AC195" i="8"/>
  <c r="AT195" i="8" s="1"/>
  <c r="AC177" i="8"/>
  <c r="AD177" i="8" s="1"/>
  <c r="Q190" i="8"/>
  <c r="AB190" i="8" s="1"/>
  <c r="Q178" i="8"/>
  <c r="AB178" i="8" s="1"/>
  <c r="Q170" i="8"/>
  <c r="AB170" i="8" s="1"/>
  <c r="Q158" i="8"/>
  <c r="AB158" i="8" s="1"/>
  <c r="AC349" i="8"/>
  <c r="AD349" i="8" s="1"/>
  <c r="Q108" i="8"/>
  <c r="AB108" i="8" s="1"/>
  <c r="AC258" i="8"/>
  <c r="AD258" i="8" s="1"/>
  <c r="AC256" i="8"/>
  <c r="AD256" i="8" s="1"/>
  <c r="AC212" i="8"/>
  <c r="AT212" i="8" s="1"/>
  <c r="F235" i="6"/>
  <c r="G235" i="6" s="1"/>
  <c r="K235" i="6" s="1"/>
  <c r="F235" i="7"/>
  <c r="G235" i="7" s="1"/>
  <c r="K235" i="7" s="1"/>
  <c r="Q59" i="8"/>
  <c r="AB59" i="8" s="1"/>
  <c r="Q74" i="8"/>
  <c r="AB74" i="8" s="1"/>
  <c r="AT56" i="8"/>
  <c r="T56" i="8"/>
  <c r="AT66" i="8"/>
  <c r="T66" i="8"/>
  <c r="AT246" i="8"/>
  <c r="T246" i="8"/>
  <c r="R253" i="8"/>
  <c r="S253" i="8" s="1"/>
  <c r="AH253" i="8"/>
  <c r="X253" i="8"/>
  <c r="V253" i="8"/>
  <c r="AT268" i="8"/>
  <c r="T268" i="8"/>
  <c r="AT272" i="8"/>
  <c r="T272" i="8"/>
  <c r="AT276" i="8"/>
  <c r="T276" i="8"/>
  <c r="AT280" i="8"/>
  <c r="T280" i="8"/>
  <c r="AT284" i="8"/>
  <c r="T284" i="8"/>
  <c r="Q341" i="8"/>
  <c r="AB341" i="8" s="1"/>
  <c r="AC288" i="8"/>
  <c r="AT288" i="8" s="1"/>
  <c r="AC290" i="8"/>
  <c r="AD290" i="8" s="1"/>
  <c r="Q364" i="8"/>
  <c r="AB364" i="8" s="1"/>
  <c r="Q334" i="8"/>
  <c r="AB334" i="8" s="1"/>
  <c r="AC304" i="8"/>
  <c r="AD304" i="8" s="1"/>
  <c r="AC193" i="8"/>
  <c r="AT193" i="8" s="1"/>
  <c r="AC189" i="8"/>
  <c r="AD189" i="8" s="1"/>
  <c r="AC179" i="8"/>
  <c r="AD179" i="8" s="1"/>
  <c r="AC175" i="8"/>
  <c r="AT175" i="8" s="1"/>
  <c r="Q171" i="8"/>
  <c r="AB171" i="8" s="1"/>
  <c r="Q167" i="8"/>
  <c r="AB167" i="8" s="1"/>
  <c r="AC61" i="8"/>
  <c r="AT61" i="8" s="1"/>
  <c r="AC101" i="8"/>
  <c r="AD101" i="8" s="1"/>
  <c r="AC353" i="8"/>
  <c r="AT353" i="8" s="1"/>
  <c r="AT350" i="8"/>
  <c r="T350" i="8"/>
  <c r="AT28" i="8"/>
  <c r="T28" i="8"/>
  <c r="AC65" i="8"/>
  <c r="AT65" i="8" s="1"/>
  <c r="AT262" i="8"/>
  <c r="T262" i="8"/>
  <c r="AC8" i="8"/>
  <c r="AD8" i="8" s="1"/>
  <c r="AT31" i="8"/>
  <c r="T31" i="8"/>
  <c r="AT68" i="8"/>
  <c r="T68" i="8"/>
  <c r="AT99" i="8"/>
  <c r="T99" i="8"/>
  <c r="Q225" i="8"/>
  <c r="AB225" i="8" s="1"/>
  <c r="T245" i="8"/>
  <c r="T275" i="8"/>
  <c r="T283" i="8"/>
  <c r="AT354" i="8"/>
  <c r="T354" i="8"/>
  <c r="AT9" i="8"/>
  <c r="T9" i="8"/>
  <c r="AT363" i="8"/>
  <c r="T363" i="8"/>
  <c r="Q336" i="8"/>
  <c r="AB336" i="8" s="1"/>
  <c r="AC312" i="8"/>
  <c r="AD312" i="8" s="1"/>
  <c r="Q337" i="8"/>
  <c r="AB337" i="8" s="1"/>
  <c r="AC326" i="8"/>
  <c r="AD326" i="8" s="1"/>
  <c r="Q173" i="8"/>
  <c r="AB173" i="8" s="1"/>
  <c r="Q169" i="8"/>
  <c r="AB169" i="8" s="1"/>
  <c r="AC129" i="8"/>
  <c r="AD129" i="8" s="1"/>
  <c r="AT25" i="8"/>
  <c r="T25" i="8"/>
  <c r="AT62" i="8"/>
  <c r="T62" i="8"/>
  <c r="AT40" i="8"/>
  <c r="T40" i="8"/>
  <c r="AT20" i="8"/>
  <c r="T20" i="8"/>
  <c r="T67" i="8"/>
  <c r="T248" i="8"/>
  <c r="T286" i="8"/>
  <c r="V281" i="8"/>
  <c r="R281" i="8"/>
  <c r="S281" i="8" s="1"/>
  <c r="AH281" i="8"/>
  <c r="X281" i="8"/>
  <c r="AT357" i="8"/>
  <c r="T357" i="8"/>
  <c r="AT289" i="8"/>
  <c r="T289" i="8"/>
  <c r="AT293" i="8"/>
  <c r="T293" i="8"/>
  <c r="AT291" i="8"/>
  <c r="T291" i="8"/>
  <c r="AT359" i="8"/>
  <c r="T359" i="8"/>
  <c r="Q43" i="8"/>
  <c r="AB43" i="8" s="1"/>
  <c r="AT120" i="8"/>
  <c r="T120" i="8"/>
  <c r="AC340" i="8"/>
  <c r="AD340" i="8" s="1"/>
  <c r="AC263" i="8"/>
  <c r="AT263" i="8" s="1"/>
  <c r="AC287" i="8"/>
  <c r="AD287" i="8" s="1"/>
  <c r="AC266" i="8"/>
  <c r="AD266" i="8" s="1"/>
  <c r="AC339" i="8"/>
  <c r="AT339" i="8" s="1"/>
  <c r="AT255" i="8"/>
  <c r="T255" i="8"/>
  <c r="AC292" i="8"/>
  <c r="AD292" i="8" s="1"/>
  <c r="AC250" i="8"/>
  <c r="AT250" i="8" s="1"/>
  <c r="AC254" i="8"/>
  <c r="AD254" i="8" s="1"/>
  <c r="AT355" i="8"/>
  <c r="T355" i="8"/>
  <c r="AC352" i="8"/>
  <c r="AD352" i="8" s="1"/>
  <c r="AT356" i="8"/>
  <c r="T356" i="8"/>
  <c r="AC343" i="8"/>
  <c r="AD343" i="8" s="1"/>
  <c r="AD56" i="8"/>
  <c r="AD66" i="8"/>
  <c r="AD246" i="8"/>
  <c r="V244" i="8"/>
  <c r="R244" i="8"/>
  <c r="S244" i="8" s="1"/>
  <c r="AH244" i="8"/>
  <c r="X244" i="8"/>
  <c r="AD268" i="8"/>
  <c r="AD272" i="8"/>
  <c r="AD276" i="8"/>
  <c r="AD280" i="8"/>
  <c r="AD284" i="8"/>
  <c r="AD245" i="8"/>
  <c r="AD271" i="8"/>
  <c r="AD275" i="8"/>
  <c r="AD279" i="8"/>
  <c r="AD283" i="8"/>
  <c r="AC362" i="8"/>
  <c r="AD362" i="8" s="1"/>
  <c r="AC183" i="8"/>
  <c r="AD183" i="8" s="1"/>
  <c r="AD350" i="8"/>
  <c r="AD28" i="8"/>
  <c r="AD35" i="8"/>
  <c r="AD67" i="8"/>
  <c r="Q89" i="8"/>
  <c r="AB89" i="8" s="1"/>
  <c r="AC103" i="8"/>
  <c r="AD103" i="8" s="1"/>
  <c r="AC141" i="8"/>
  <c r="AD141" i="8" s="1"/>
  <c r="AC218" i="8"/>
  <c r="AD218" i="8" s="1"/>
  <c r="AT124" i="8"/>
  <c r="T124" i="8"/>
  <c r="AT270" i="8"/>
  <c r="T270" i="8"/>
  <c r="AT274" i="8"/>
  <c r="T274" i="8"/>
  <c r="AT278" i="8"/>
  <c r="T278" i="8"/>
  <c r="AT282" i="8"/>
  <c r="T282" i="8"/>
  <c r="AT243" i="8"/>
  <c r="T243" i="8"/>
  <c r="AC247" i="8"/>
  <c r="AD247" i="8" s="1"/>
  <c r="AD262" i="8"/>
  <c r="Q69" i="8"/>
  <c r="AB69" i="8" s="1"/>
  <c r="Q84" i="8"/>
  <c r="AB84" i="8" s="1"/>
  <c r="AC58" i="8"/>
  <c r="AD58" i="8" s="1"/>
  <c r="AT22" i="8"/>
  <c r="T22" i="8"/>
  <c r="AD31" i="8"/>
  <c r="AD68" i="8"/>
  <c r="AD99" i="8"/>
  <c r="Q145" i="8"/>
  <c r="AB145" i="8" s="1"/>
  <c r="AD249" i="8"/>
  <c r="AD251" i="8"/>
  <c r="AD253" i="8"/>
  <c r="T271" i="8"/>
  <c r="T279" i="8"/>
  <c r="AD354" i="8"/>
  <c r="AD9" i="8"/>
  <c r="AD363" i="8"/>
  <c r="AC191" i="8"/>
  <c r="AD191" i="8" s="1"/>
  <c r="AC185" i="8"/>
  <c r="AD185" i="8" s="1"/>
  <c r="AC181" i="8"/>
  <c r="AD181" i="8" s="1"/>
  <c r="AC30" i="8"/>
  <c r="AD30" i="8" s="1"/>
  <c r="AD25" i="8"/>
  <c r="AD62" i="8"/>
  <c r="AD40" i="8"/>
  <c r="AD20" i="8"/>
  <c r="T35" i="8"/>
  <c r="Q234" i="8"/>
  <c r="AB234" i="8" s="1"/>
  <c r="T252" i="8"/>
  <c r="V273" i="8"/>
  <c r="R273" i="8"/>
  <c r="S273" i="8" s="1"/>
  <c r="AH273" i="8"/>
  <c r="X273" i="8"/>
  <c r="AD357" i="8"/>
  <c r="AD289" i="8"/>
  <c r="AD293" i="8"/>
  <c r="AD291" i="8"/>
  <c r="AD359" i="8"/>
  <c r="Q11" i="8"/>
  <c r="AB11" i="8" s="1"/>
  <c r="AT351" i="8"/>
  <c r="T351" i="8"/>
  <c r="AD120" i="8"/>
  <c r="AC224" i="8"/>
  <c r="AD224" i="8" s="1"/>
  <c r="AD273" i="8"/>
  <c r="AD281" i="8"/>
  <c r="AT130" i="8"/>
  <c r="T130" i="8"/>
  <c r="AD52" i="8"/>
  <c r="AD255" i="8"/>
  <c r="AC261" i="8"/>
  <c r="AD261" i="8" s="1"/>
  <c r="AT133" i="8"/>
  <c r="T133" i="8"/>
  <c r="AC260" i="8"/>
  <c r="AD260" i="8" s="1"/>
  <c r="AT269" i="8"/>
  <c r="T269" i="8"/>
  <c r="AT277" i="8"/>
  <c r="T277" i="8"/>
  <c r="AT285" i="8"/>
  <c r="T285" i="8"/>
  <c r="Z193" i="1"/>
  <c r="Z354" i="1"/>
  <c r="Z204" i="1"/>
  <c r="Z177" i="1"/>
  <c r="Z361" i="1"/>
  <c r="Z369" i="1"/>
  <c r="T133" i="1"/>
  <c r="Z133" i="1"/>
  <c r="T65" i="1"/>
  <c r="T66" i="1"/>
  <c r="Z66" i="1"/>
  <c r="Z260" i="1"/>
  <c r="Z117" i="1"/>
  <c r="T364" i="1"/>
  <c r="Z372" i="1"/>
  <c r="Z22" i="1"/>
  <c r="Z272" i="1"/>
  <c r="T272" i="1"/>
  <c r="Z363" i="1"/>
  <c r="T363" i="1"/>
  <c r="T352" i="1"/>
  <c r="T274" i="1"/>
  <c r="Z274" i="1"/>
  <c r="Z356" i="1"/>
  <c r="Z130" i="1"/>
  <c r="T130" i="1"/>
  <c r="Q89" i="1"/>
  <c r="T89" i="1" s="1"/>
  <c r="Z192" i="1"/>
  <c r="T369" i="1"/>
  <c r="Z8" i="1"/>
  <c r="Z365" i="1"/>
  <c r="Z181" i="1"/>
  <c r="T181" i="1"/>
  <c r="E75" i="6"/>
  <c r="F75" i="6"/>
  <c r="Q199" i="1"/>
  <c r="X199" i="1" s="1"/>
  <c r="Q234" i="1"/>
  <c r="Q74" i="1"/>
  <c r="Q180" i="1"/>
  <c r="X180" i="1" s="1"/>
  <c r="Y180" i="1" s="1"/>
  <c r="Q129" i="1"/>
  <c r="Q225" i="1"/>
  <c r="Q108" i="1"/>
  <c r="Q11" i="1"/>
  <c r="Z251" i="1"/>
  <c r="Z335" i="1"/>
  <c r="T192" i="1"/>
  <c r="T193" i="1"/>
  <c r="Z183" i="1"/>
  <c r="Z308" i="1"/>
  <c r="T354" i="1"/>
  <c r="Z292" i="1"/>
  <c r="T177" i="1"/>
  <c r="Z179" i="1"/>
  <c r="Z191" i="1"/>
  <c r="Z171" i="1"/>
  <c r="Z182" i="1"/>
  <c r="Z375" i="1"/>
  <c r="Z170" i="1"/>
  <c r="Z162" i="1"/>
  <c r="T361" i="1"/>
  <c r="T56" i="1"/>
  <c r="T35" i="1"/>
  <c r="T20" i="1"/>
  <c r="Q69" i="1"/>
  <c r="Q84" i="1"/>
  <c r="Q101" i="1"/>
  <c r="X101" i="1" s="1"/>
  <c r="Y101" i="1" s="1"/>
  <c r="Q345" i="1"/>
  <c r="X345" i="1" s="1"/>
  <c r="Y345" i="1" s="1"/>
  <c r="Q43" i="1"/>
  <c r="Q145" i="1"/>
  <c r="X145" i="1" s="1"/>
  <c r="Y145" i="1" s="1"/>
  <c r="F90" i="6"/>
  <c r="E90" i="6"/>
  <c r="T31" i="1"/>
  <c r="Q184" i="1"/>
  <c r="X184" i="1" s="1"/>
  <c r="Y184" i="1" s="1"/>
  <c r="Q340" i="1"/>
  <c r="X340" i="1" s="1"/>
  <c r="Y340" i="1" s="1"/>
  <c r="Q368" i="1"/>
  <c r="Q178" i="1"/>
  <c r="X178" i="1" s="1"/>
  <c r="Y178" i="1" s="1"/>
  <c r="Q61" i="1"/>
  <c r="Q154" i="1"/>
  <c r="X154" i="1" s="1"/>
  <c r="Y154" i="1" s="1"/>
  <c r="Y158" i="1" s="1"/>
  <c r="Q30" i="1"/>
  <c r="Q196" i="1"/>
  <c r="X196" i="1" s="1"/>
  <c r="Y196" i="1" s="1"/>
  <c r="Y197" i="1" s="1"/>
  <c r="T197" i="1" s="1"/>
  <c r="Q168" i="1"/>
  <c r="X168" i="1" s="1"/>
  <c r="Y168" i="1" s="1"/>
  <c r="Q185" i="1"/>
  <c r="X185" i="1" s="1"/>
  <c r="Y185" i="1" s="1"/>
  <c r="Q377" i="1"/>
  <c r="Q373" i="1"/>
  <c r="Q336" i="1"/>
  <c r="X336" i="1" s="1"/>
  <c r="Y336" i="1" s="1"/>
  <c r="R52" i="8" l="1"/>
  <c r="S52" i="8" s="1"/>
  <c r="R249" i="8"/>
  <c r="S249" i="8" s="1"/>
  <c r="T145" i="1"/>
  <c r="AW197" i="1"/>
  <c r="AT197" i="1"/>
  <c r="AQ197" i="1"/>
  <c r="AW89" i="1"/>
  <c r="AT89" i="1"/>
  <c r="AW31" i="1"/>
  <c r="AT31" i="1"/>
  <c r="AT20" i="1"/>
  <c r="AW20" i="1"/>
  <c r="AD369" i="1"/>
  <c r="AT369" i="1"/>
  <c r="AW369" i="1"/>
  <c r="AD363" i="1"/>
  <c r="AT363" i="1"/>
  <c r="AW363" i="1"/>
  <c r="AW65" i="1"/>
  <c r="AT65" i="1"/>
  <c r="AW133" i="1"/>
  <c r="AT133" i="1"/>
  <c r="R353" i="1"/>
  <c r="E340" i="7" s="1"/>
  <c r="AT353" i="1"/>
  <c r="AW353" i="1"/>
  <c r="AW52" i="1"/>
  <c r="AT52" i="1"/>
  <c r="AW62" i="1"/>
  <c r="AT62" i="1"/>
  <c r="T101" i="1"/>
  <c r="AW35" i="1"/>
  <c r="AT35" i="1"/>
  <c r="AT56" i="1"/>
  <c r="AW56" i="1"/>
  <c r="AD361" i="1"/>
  <c r="AT361" i="1"/>
  <c r="AW361" i="1"/>
  <c r="AW354" i="1"/>
  <c r="AT354" i="1"/>
  <c r="AT130" i="1"/>
  <c r="AW130" i="1"/>
  <c r="AD364" i="1"/>
  <c r="AW364" i="1"/>
  <c r="AT364" i="1"/>
  <c r="AW66" i="1"/>
  <c r="AT66" i="1"/>
  <c r="R124" i="1"/>
  <c r="E124" i="7" s="1"/>
  <c r="AW124" i="1"/>
  <c r="AT124" i="1"/>
  <c r="R99" i="1"/>
  <c r="E99" i="7" s="1"/>
  <c r="AW99" i="1"/>
  <c r="AT99" i="1"/>
  <c r="R28" i="1"/>
  <c r="E28" i="7" s="1"/>
  <c r="AW28" i="1"/>
  <c r="AT28" i="1"/>
  <c r="AW68" i="1"/>
  <c r="AT68" i="1"/>
  <c r="R251" i="1"/>
  <c r="E251" i="7" s="1"/>
  <c r="AW103" i="1"/>
  <c r="AT103" i="1"/>
  <c r="R9" i="1"/>
  <c r="E9" i="7" s="1"/>
  <c r="AW9" i="1"/>
  <c r="AT9" i="1"/>
  <c r="AD366" i="1"/>
  <c r="AW366" i="1"/>
  <c r="AT366" i="1"/>
  <c r="AW120" i="1"/>
  <c r="AT120" i="1"/>
  <c r="R376" i="1"/>
  <c r="E363" i="7" s="1"/>
  <c r="AW376" i="1"/>
  <c r="AT376" i="1"/>
  <c r="AT193" i="1"/>
  <c r="AW193" i="1"/>
  <c r="AW352" i="1"/>
  <c r="AT352" i="1"/>
  <c r="AT177" i="1"/>
  <c r="AW177" i="1"/>
  <c r="AT192" i="1"/>
  <c r="AW192" i="1"/>
  <c r="AT181" i="1"/>
  <c r="AW181" i="1"/>
  <c r="AQ158" i="1"/>
  <c r="X249" i="8"/>
  <c r="T166" i="1"/>
  <c r="R166" i="1" s="1"/>
  <c r="E166" i="6" s="1"/>
  <c r="AQ166" i="1"/>
  <c r="R103" i="1"/>
  <c r="E103" i="7" s="1"/>
  <c r="X52" i="8"/>
  <c r="R8" i="1"/>
  <c r="E8" i="7" s="1"/>
  <c r="R285" i="1"/>
  <c r="S285" i="1" s="1"/>
  <c r="F285" i="6" s="1"/>
  <c r="R120" i="1"/>
  <c r="E120" i="7" s="1"/>
  <c r="R252" i="1"/>
  <c r="S252" i="1" s="1"/>
  <c r="F252" i="7" s="1"/>
  <c r="V364" i="1"/>
  <c r="V366" i="1"/>
  <c r="V361" i="1"/>
  <c r="V369" i="1"/>
  <c r="V363" i="1"/>
  <c r="R133" i="1"/>
  <c r="E133" i="7" s="1"/>
  <c r="AH52" i="8"/>
  <c r="R68" i="1"/>
  <c r="E68" i="7" s="1"/>
  <c r="T264" i="8"/>
  <c r="V264" i="8" s="1"/>
  <c r="AH251" i="8"/>
  <c r="Z370" i="1"/>
  <c r="T22" i="1"/>
  <c r="Z364" i="1"/>
  <c r="Z197" i="1"/>
  <c r="T212" i="8"/>
  <c r="V212" i="8" s="1"/>
  <c r="T65" i="8"/>
  <c r="R65" i="8" s="1"/>
  <c r="S65" i="8" s="1"/>
  <c r="T175" i="8"/>
  <c r="R175" i="8" s="1"/>
  <c r="S175" i="8" s="1"/>
  <c r="T288" i="8"/>
  <c r="R288" i="8" s="1"/>
  <c r="S288" i="8" s="1"/>
  <c r="R293" i="1"/>
  <c r="E293" i="7" s="1"/>
  <c r="R52" i="1"/>
  <c r="E52" i="7" s="1"/>
  <c r="T169" i="1"/>
  <c r="Z176" i="1"/>
  <c r="Z344" i="1"/>
  <c r="Z262" i="1"/>
  <c r="T141" i="1"/>
  <c r="Z40" i="1"/>
  <c r="Z367" i="1"/>
  <c r="R287" i="1"/>
  <c r="S287" i="1" s="1"/>
  <c r="F287" i="6" s="1"/>
  <c r="Z169" i="1"/>
  <c r="Z189" i="1"/>
  <c r="R62" i="1"/>
  <c r="E62" i="7" s="1"/>
  <c r="V251" i="8"/>
  <c r="V249" i="8"/>
  <c r="T61" i="8"/>
  <c r="R61" i="8" s="1"/>
  <c r="S61" i="8" s="1"/>
  <c r="AQ25" i="1"/>
  <c r="Z330" i="1"/>
  <c r="T194" i="1"/>
  <c r="Z158" i="1"/>
  <c r="T67" i="1"/>
  <c r="T362" i="1"/>
  <c r="T189" i="1"/>
  <c r="T365" i="1"/>
  <c r="Z166" i="1"/>
  <c r="T262" i="1"/>
  <c r="T356" i="1"/>
  <c r="Z352" i="1"/>
  <c r="Z141" i="1"/>
  <c r="T40" i="1"/>
  <c r="T372" i="1"/>
  <c r="T117" i="1"/>
  <c r="T25" i="1"/>
  <c r="Z65" i="1"/>
  <c r="T367" i="1"/>
  <c r="Z194" i="1"/>
  <c r="Z67" i="1"/>
  <c r="Z362" i="1"/>
  <c r="Z291" i="1"/>
  <c r="T339" i="8"/>
  <c r="R339" i="8" s="1"/>
  <c r="S339" i="8" s="1"/>
  <c r="T8" i="8"/>
  <c r="X8" i="8" s="1"/>
  <c r="T353" i="8"/>
  <c r="V353" i="8" s="1"/>
  <c r="T193" i="8"/>
  <c r="V193" i="8" s="1"/>
  <c r="R251" i="8"/>
  <c r="S251" i="8" s="1"/>
  <c r="AQ145" i="1"/>
  <c r="AQ172" i="1"/>
  <c r="AQ59" i="1"/>
  <c r="AQ173" i="1"/>
  <c r="AQ89" i="1"/>
  <c r="AQ373" i="1"/>
  <c r="AQ168" i="1"/>
  <c r="AQ61" i="1"/>
  <c r="AQ368" i="1"/>
  <c r="AQ43" i="1"/>
  <c r="AQ101" i="1"/>
  <c r="AQ69" i="1"/>
  <c r="AQ11" i="1"/>
  <c r="AQ180" i="1"/>
  <c r="AQ234" i="1"/>
  <c r="AQ327" i="1"/>
  <c r="AQ295" i="1"/>
  <c r="AQ174" i="1"/>
  <c r="AQ175" i="1"/>
  <c r="AQ316" i="1"/>
  <c r="AQ167" i="1"/>
  <c r="AQ195" i="1"/>
  <c r="R274" i="1"/>
  <c r="E274" i="7" s="1"/>
  <c r="R65" i="1"/>
  <c r="E65" i="7" s="1"/>
  <c r="T263" i="8"/>
  <c r="V263" i="8" s="1"/>
  <c r="AQ377" i="1"/>
  <c r="AQ84" i="1"/>
  <c r="AQ108" i="1"/>
  <c r="AQ324" i="1"/>
  <c r="AQ190" i="1"/>
  <c r="AQ58" i="1"/>
  <c r="AQ140" i="1"/>
  <c r="AD65" i="8"/>
  <c r="AD353" i="8"/>
  <c r="AD61" i="8"/>
  <c r="AD175" i="8"/>
  <c r="AD193" i="8"/>
  <c r="R130" i="1"/>
  <c r="E130" i="7" s="1"/>
  <c r="T250" i="8"/>
  <c r="V250" i="8" s="1"/>
  <c r="T195" i="8"/>
  <c r="R195" i="8" s="1"/>
  <c r="S195" i="8" s="1"/>
  <c r="AD250" i="8"/>
  <c r="AD339" i="8"/>
  <c r="AD263" i="8"/>
  <c r="AC169" i="8"/>
  <c r="AD169" i="8" s="1"/>
  <c r="AC178" i="8"/>
  <c r="AD178" i="8" s="1"/>
  <c r="AC182" i="8"/>
  <c r="AT182" i="8" s="1"/>
  <c r="AC173" i="8"/>
  <c r="AT173" i="8" s="1"/>
  <c r="AC364" i="8"/>
  <c r="AD364" i="8" s="1"/>
  <c r="AC59" i="8"/>
  <c r="AD59" i="8" s="1"/>
  <c r="AC204" i="8"/>
  <c r="AD204" i="8" s="1"/>
  <c r="AC166" i="8"/>
  <c r="AT166" i="8" s="1"/>
  <c r="AT260" i="8"/>
  <c r="T260" i="8"/>
  <c r="X133" i="8"/>
  <c r="V133" i="8"/>
  <c r="R133" i="8"/>
  <c r="S133" i="8" s="1"/>
  <c r="AH133" i="8"/>
  <c r="V351" i="8"/>
  <c r="R351" i="8"/>
  <c r="S351" i="8" s="1"/>
  <c r="AH351" i="8"/>
  <c r="X351" i="8"/>
  <c r="R35" i="8"/>
  <c r="S35" i="8" s="1"/>
  <c r="V35" i="8"/>
  <c r="X35" i="8"/>
  <c r="AH35" i="8"/>
  <c r="AT30" i="8"/>
  <c r="T30" i="8"/>
  <c r="AT181" i="8"/>
  <c r="T181" i="8"/>
  <c r="AT185" i="8"/>
  <c r="T185" i="8"/>
  <c r="AT191" i="8"/>
  <c r="T191" i="8"/>
  <c r="V271" i="8"/>
  <c r="R271" i="8"/>
  <c r="S271" i="8" s="1"/>
  <c r="AH271" i="8"/>
  <c r="X271" i="8"/>
  <c r="AC145" i="8"/>
  <c r="AD145" i="8" s="1"/>
  <c r="V22" i="8"/>
  <c r="R22" i="8"/>
  <c r="S22" i="8" s="1"/>
  <c r="AH22" i="8"/>
  <c r="X22" i="8"/>
  <c r="R8" i="8"/>
  <c r="V243" i="8"/>
  <c r="R243" i="8"/>
  <c r="S243" i="8" s="1"/>
  <c r="AH243" i="8"/>
  <c r="X243" i="8"/>
  <c r="V282" i="8"/>
  <c r="R282" i="8"/>
  <c r="S282" i="8" s="1"/>
  <c r="AH282" i="8"/>
  <c r="X282" i="8"/>
  <c r="V278" i="8"/>
  <c r="R278" i="8"/>
  <c r="S278" i="8" s="1"/>
  <c r="AH278" i="8"/>
  <c r="X278" i="8"/>
  <c r="V274" i="8"/>
  <c r="R274" i="8"/>
  <c r="S274" i="8" s="1"/>
  <c r="AH274" i="8"/>
  <c r="X274" i="8"/>
  <c r="V270" i="8"/>
  <c r="R270" i="8"/>
  <c r="S270" i="8" s="1"/>
  <c r="AH270" i="8"/>
  <c r="X270" i="8"/>
  <c r="AH124" i="8"/>
  <c r="X124" i="8"/>
  <c r="V124" i="8"/>
  <c r="R124" i="8"/>
  <c r="S124" i="8" s="1"/>
  <c r="V61" i="8"/>
  <c r="X193" i="8"/>
  <c r="AT362" i="8"/>
  <c r="T362" i="8"/>
  <c r="AT343" i="8"/>
  <c r="T343" i="8"/>
  <c r="AT352" i="8"/>
  <c r="T352" i="8"/>
  <c r="AT254" i="8"/>
  <c r="T254" i="8"/>
  <c r="AT292" i="8"/>
  <c r="T292" i="8"/>
  <c r="AT266" i="8"/>
  <c r="T266" i="8"/>
  <c r="AT287" i="8"/>
  <c r="T287" i="8"/>
  <c r="AT340" i="8"/>
  <c r="T340" i="8"/>
  <c r="R359" i="8"/>
  <c r="S359" i="8" s="1"/>
  <c r="AH359" i="8"/>
  <c r="X359" i="8"/>
  <c r="V359" i="8"/>
  <c r="R291" i="8"/>
  <c r="S291" i="8" s="1"/>
  <c r="V291" i="8"/>
  <c r="X291" i="8"/>
  <c r="AH291" i="8"/>
  <c r="R293" i="8"/>
  <c r="S293" i="8" s="1"/>
  <c r="AH293" i="8"/>
  <c r="X293" i="8"/>
  <c r="V293" i="8"/>
  <c r="R289" i="8"/>
  <c r="S289" i="8" s="1"/>
  <c r="AH289" i="8"/>
  <c r="X289" i="8"/>
  <c r="V289" i="8"/>
  <c r="R357" i="8"/>
  <c r="S357" i="8" s="1"/>
  <c r="V357" i="8"/>
  <c r="X357" i="8"/>
  <c r="AH357" i="8"/>
  <c r="V286" i="8"/>
  <c r="R286" i="8"/>
  <c r="S286" i="8" s="1"/>
  <c r="AH286" i="8"/>
  <c r="X286" i="8"/>
  <c r="R67" i="8"/>
  <c r="S67" i="8" s="1"/>
  <c r="V67" i="8"/>
  <c r="X67" i="8"/>
  <c r="AH67" i="8"/>
  <c r="AT129" i="8"/>
  <c r="T129" i="8"/>
  <c r="AT326" i="8"/>
  <c r="T326" i="8"/>
  <c r="R363" i="8"/>
  <c r="S363" i="8" s="1"/>
  <c r="AH363" i="8"/>
  <c r="X363" i="8"/>
  <c r="V363" i="8"/>
  <c r="R9" i="8"/>
  <c r="S9" i="8" s="1"/>
  <c r="V9" i="8"/>
  <c r="X9" i="8"/>
  <c r="AH9" i="8"/>
  <c r="X354" i="8"/>
  <c r="V354" i="8"/>
  <c r="R354" i="8"/>
  <c r="S354" i="8" s="1"/>
  <c r="AH354" i="8"/>
  <c r="V283" i="8"/>
  <c r="R283" i="8"/>
  <c r="S283" i="8" s="1"/>
  <c r="AH283" i="8"/>
  <c r="X283" i="8"/>
  <c r="V245" i="8"/>
  <c r="R245" i="8"/>
  <c r="S245" i="8" s="1"/>
  <c r="AH245" i="8"/>
  <c r="X245" i="8"/>
  <c r="AC225" i="8"/>
  <c r="AT8" i="8"/>
  <c r="AT101" i="8"/>
  <c r="T101" i="8"/>
  <c r="AC167" i="8"/>
  <c r="AC171" i="8"/>
  <c r="AT179" i="8"/>
  <c r="T179" i="8"/>
  <c r="AT189" i="8"/>
  <c r="T189" i="8"/>
  <c r="AT304" i="8"/>
  <c r="T304" i="8"/>
  <c r="AC334" i="8"/>
  <c r="AD288" i="8"/>
  <c r="V284" i="8"/>
  <c r="R284" i="8"/>
  <c r="S284" i="8" s="1"/>
  <c r="AH284" i="8"/>
  <c r="X284" i="8"/>
  <c r="V280" i="8"/>
  <c r="R280" i="8"/>
  <c r="S280" i="8" s="1"/>
  <c r="AH280" i="8"/>
  <c r="X280" i="8"/>
  <c r="V276" i="8"/>
  <c r="R276" i="8"/>
  <c r="S276" i="8" s="1"/>
  <c r="AH276" i="8"/>
  <c r="X276" i="8"/>
  <c r="V272" i="8"/>
  <c r="R272" i="8"/>
  <c r="S272" i="8" s="1"/>
  <c r="AH272" i="8"/>
  <c r="X272" i="8"/>
  <c r="V268" i="8"/>
  <c r="R268" i="8"/>
  <c r="S268" i="8" s="1"/>
  <c r="AH268" i="8"/>
  <c r="X268" i="8"/>
  <c r="V246" i="8"/>
  <c r="R246" i="8"/>
  <c r="S246" i="8" s="1"/>
  <c r="AH246" i="8"/>
  <c r="X246" i="8"/>
  <c r="V66" i="8"/>
  <c r="R66" i="8"/>
  <c r="S66" i="8" s="1"/>
  <c r="AH66" i="8"/>
  <c r="X66" i="8"/>
  <c r="V56" i="8"/>
  <c r="R56" i="8"/>
  <c r="S56" i="8" s="1"/>
  <c r="AH56" i="8"/>
  <c r="X56" i="8"/>
  <c r="AD212" i="8"/>
  <c r="AD195" i="8"/>
  <c r="AD264" i="8"/>
  <c r="AC172" i="8"/>
  <c r="AD172" i="8" s="1"/>
  <c r="AC180" i="8"/>
  <c r="AD180" i="8" s="1"/>
  <c r="AC192" i="8"/>
  <c r="AD192" i="8" s="1"/>
  <c r="AT320" i="8"/>
  <c r="T320" i="8"/>
  <c r="T154" i="8"/>
  <c r="V285" i="8"/>
  <c r="R285" i="8"/>
  <c r="S285" i="8" s="1"/>
  <c r="AH285" i="8"/>
  <c r="X285" i="8"/>
  <c r="V277" i="8"/>
  <c r="R277" i="8"/>
  <c r="S277" i="8" s="1"/>
  <c r="AH277" i="8"/>
  <c r="X277" i="8"/>
  <c r="V269" i="8"/>
  <c r="R269" i="8"/>
  <c r="S269" i="8" s="1"/>
  <c r="AH269" i="8"/>
  <c r="X269" i="8"/>
  <c r="X250" i="8"/>
  <c r="AT261" i="8"/>
  <c r="T261" i="8"/>
  <c r="R212" i="8"/>
  <c r="S212" i="8" s="1"/>
  <c r="X212" i="8"/>
  <c r="V130" i="8"/>
  <c r="R130" i="8"/>
  <c r="S130" i="8" s="1"/>
  <c r="AH130" i="8"/>
  <c r="X130" i="8"/>
  <c r="AT224" i="8"/>
  <c r="T224" i="8"/>
  <c r="AC11" i="8"/>
  <c r="AT11" i="8" s="1"/>
  <c r="R252" i="8"/>
  <c r="S252" i="8" s="1"/>
  <c r="V252" i="8"/>
  <c r="X252" i="8"/>
  <c r="AH252" i="8"/>
  <c r="AC234" i="8"/>
  <c r="AT234" i="8" s="1"/>
  <c r="V279" i="8"/>
  <c r="R279" i="8"/>
  <c r="S279" i="8" s="1"/>
  <c r="AH279" i="8"/>
  <c r="X279" i="8"/>
  <c r="AT58" i="8"/>
  <c r="T58" i="8"/>
  <c r="AC84" i="8"/>
  <c r="AT84" i="8" s="1"/>
  <c r="AC69" i="8"/>
  <c r="AT69" i="8" s="1"/>
  <c r="AT247" i="8"/>
  <c r="T247" i="8"/>
  <c r="AT218" i="8"/>
  <c r="T218" i="8"/>
  <c r="AT141" i="8"/>
  <c r="T141" i="8"/>
  <c r="AT103" i="8"/>
  <c r="T103" i="8"/>
  <c r="AC89" i="8"/>
  <c r="AT89" i="8" s="1"/>
  <c r="V175" i="8"/>
  <c r="AH175" i="8"/>
  <c r="AT183" i="8"/>
  <c r="T183" i="8"/>
  <c r="V288" i="8"/>
  <c r="AH288" i="8"/>
  <c r="X356" i="8"/>
  <c r="V356" i="8"/>
  <c r="AH356" i="8"/>
  <c r="R356" i="8"/>
  <c r="S356" i="8" s="1"/>
  <c r="R355" i="8"/>
  <c r="S355" i="8" s="1"/>
  <c r="V355" i="8"/>
  <c r="X355" i="8"/>
  <c r="AH355" i="8"/>
  <c r="AB366" i="8"/>
  <c r="V255" i="8"/>
  <c r="R255" i="8"/>
  <c r="S255" i="8" s="1"/>
  <c r="AH255" i="8"/>
  <c r="X255" i="8"/>
  <c r="V120" i="8"/>
  <c r="R120" i="8"/>
  <c r="S120" i="8" s="1"/>
  <c r="AH120" i="8"/>
  <c r="X120" i="8"/>
  <c r="AC43" i="8"/>
  <c r="AD43" i="8" s="1"/>
  <c r="R248" i="8"/>
  <c r="S248" i="8" s="1"/>
  <c r="V248" i="8"/>
  <c r="X248" i="8"/>
  <c r="AH248" i="8"/>
  <c r="V20" i="8"/>
  <c r="R20" i="8"/>
  <c r="S20" i="8" s="1"/>
  <c r="AH20" i="8"/>
  <c r="X20" i="8"/>
  <c r="R40" i="8"/>
  <c r="S40" i="8" s="1"/>
  <c r="V40" i="8"/>
  <c r="X40" i="8"/>
  <c r="AH40" i="8"/>
  <c r="V62" i="8"/>
  <c r="R62" i="8"/>
  <c r="S62" i="8" s="1"/>
  <c r="AH62" i="8"/>
  <c r="X62" i="8"/>
  <c r="R25" i="8"/>
  <c r="S25" i="8" s="1"/>
  <c r="V25" i="8"/>
  <c r="X25" i="8"/>
  <c r="AH25" i="8"/>
  <c r="AC337" i="8"/>
  <c r="AD337" i="8" s="1"/>
  <c r="AT312" i="8"/>
  <c r="T312" i="8"/>
  <c r="AC336" i="8"/>
  <c r="AT336" i="8" s="1"/>
  <c r="V275" i="8"/>
  <c r="R275" i="8"/>
  <c r="S275" i="8" s="1"/>
  <c r="AH275" i="8"/>
  <c r="X275" i="8"/>
  <c r="R99" i="8"/>
  <c r="S99" i="8" s="1"/>
  <c r="V99" i="8"/>
  <c r="X99" i="8"/>
  <c r="AH99" i="8"/>
  <c r="R68" i="8"/>
  <c r="S68" i="8" s="1"/>
  <c r="V68" i="8"/>
  <c r="X68" i="8"/>
  <c r="AH68" i="8"/>
  <c r="R31" i="8"/>
  <c r="S31" i="8" s="1"/>
  <c r="V31" i="8"/>
  <c r="X31" i="8"/>
  <c r="AH31" i="8"/>
  <c r="R262" i="8"/>
  <c r="S262" i="8" s="1"/>
  <c r="AH262" i="8"/>
  <c r="X262" i="8"/>
  <c r="V28" i="8"/>
  <c r="R28" i="8"/>
  <c r="S28" i="8" s="1"/>
  <c r="AH28" i="8"/>
  <c r="X28" i="8"/>
  <c r="V350" i="8"/>
  <c r="R350" i="8"/>
  <c r="S350" i="8" s="1"/>
  <c r="AH350" i="8"/>
  <c r="X350" i="8"/>
  <c r="AT290" i="8"/>
  <c r="T290" i="8"/>
  <c r="AC341" i="8"/>
  <c r="AT341" i="8" s="1"/>
  <c r="AC74" i="8"/>
  <c r="AD74" i="8" s="1"/>
  <c r="AT256" i="8"/>
  <c r="T256" i="8"/>
  <c r="AT258" i="8"/>
  <c r="T258" i="8"/>
  <c r="AC108" i="8"/>
  <c r="AT108" i="8" s="1"/>
  <c r="AT349" i="8"/>
  <c r="T349" i="8"/>
  <c r="AC158" i="8"/>
  <c r="AT158" i="8" s="1"/>
  <c r="AC170" i="8"/>
  <c r="AD170" i="8" s="1"/>
  <c r="AC190" i="8"/>
  <c r="AD190" i="8" s="1"/>
  <c r="AC199" i="8"/>
  <c r="AD199" i="8" s="1"/>
  <c r="AT177" i="8"/>
  <c r="T177" i="8"/>
  <c r="AC295" i="8"/>
  <c r="AT295" i="8" s="1"/>
  <c r="AC360" i="8"/>
  <c r="AT360" i="8" s="1"/>
  <c r="AC162" i="8"/>
  <c r="AD162" i="8" s="1"/>
  <c r="AT197" i="8"/>
  <c r="T197" i="8"/>
  <c r="AC331" i="8"/>
  <c r="AT331" i="8" s="1"/>
  <c r="AT267" i="8"/>
  <c r="T267" i="8"/>
  <c r="AT265" i="8"/>
  <c r="T265" i="8"/>
  <c r="AT257" i="8"/>
  <c r="T257" i="8"/>
  <c r="AC174" i="8"/>
  <c r="AD174" i="8" s="1"/>
  <c r="AC194" i="8"/>
  <c r="AD194" i="8" s="1"/>
  <c r="AC140" i="8"/>
  <c r="AD140" i="8" s="1"/>
  <c r="AC299" i="8"/>
  <c r="AD299" i="8" s="1"/>
  <c r="AC332" i="8"/>
  <c r="AT332" i="8" s="1"/>
  <c r="AT259" i="8"/>
  <c r="T259" i="8"/>
  <c r="AT348" i="8"/>
  <c r="T348" i="8"/>
  <c r="AD154" i="8"/>
  <c r="AT154" i="8"/>
  <c r="AC168" i="8"/>
  <c r="AT168" i="8" s="1"/>
  <c r="AC176" i="8"/>
  <c r="AT176" i="8" s="1"/>
  <c r="AC184" i="8"/>
  <c r="AT184" i="8" s="1"/>
  <c r="AC196" i="8"/>
  <c r="AT196" i="8" s="1"/>
  <c r="AC323" i="8"/>
  <c r="AT323" i="8" s="1"/>
  <c r="R192" i="1"/>
  <c r="E192" i="7" s="1"/>
  <c r="R352" i="1"/>
  <c r="E339" i="7" s="1"/>
  <c r="R66" i="1"/>
  <c r="E66" i="7" s="1"/>
  <c r="AQ299" i="1"/>
  <c r="R291" i="1"/>
  <c r="E291" i="6" s="1"/>
  <c r="R272" i="1"/>
  <c r="E272" i="6" s="1"/>
  <c r="R260" i="1"/>
  <c r="S260" i="1" s="1"/>
  <c r="Z101" i="1"/>
  <c r="Z180" i="1"/>
  <c r="Z234" i="1"/>
  <c r="Z108" i="1"/>
  <c r="T172" i="1"/>
  <c r="R369" i="1"/>
  <c r="S369" i="1" s="1"/>
  <c r="Z167" i="1"/>
  <c r="T59" i="1"/>
  <c r="Z190" i="1"/>
  <c r="T190" i="1"/>
  <c r="Z173" i="1"/>
  <c r="T173" i="1"/>
  <c r="T140" i="1"/>
  <c r="Z140" i="1"/>
  <c r="Z327" i="1"/>
  <c r="T327" i="1"/>
  <c r="T295" i="1"/>
  <c r="Z174" i="1"/>
  <c r="T174" i="1"/>
  <c r="T316" i="1"/>
  <c r="Z316" i="1"/>
  <c r="Z172" i="1"/>
  <c r="R363" i="1"/>
  <c r="E350" i="7" s="1"/>
  <c r="R364" i="1"/>
  <c r="E351" i="7" s="1"/>
  <c r="Z336" i="1"/>
  <c r="G90" i="6"/>
  <c r="K90" i="6" s="1"/>
  <c r="G75" i="6"/>
  <c r="K75" i="6" s="1"/>
  <c r="S9" i="1"/>
  <c r="Z145" i="1"/>
  <c r="R31" i="1"/>
  <c r="E31" i="7" s="1"/>
  <c r="S103" i="1"/>
  <c r="S99" i="1"/>
  <c r="E99" i="6"/>
  <c r="E251" i="6"/>
  <c r="S251" i="1"/>
  <c r="R35" i="1"/>
  <c r="E35" i="7" s="1"/>
  <c r="R56" i="1"/>
  <c r="E56" i="7" s="1"/>
  <c r="R193" i="1"/>
  <c r="E193" i="7" s="1"/>
  <c r="S376" i="1"/>
  <c r="E357" i="6"/>
  <c r="S366" i="1"/>
  <c r="R181" i="1"/>
  <c r="E181" i="7" s="1"/>
  <c r="T336" i="1"/>
  <c r="Z168" i="1"/>
  <c r="Z368" i="1"/>
  <c r="Z340" i="1"/>
  <c r="Z89" i="1"/>
  <c r="T375" i="1"/>
  <c r="T158" i="1"/>
  <c r="T335" i="1"/>
  <c r="T292" i="1"/>
  <c r="T182" i="1"/>
  <c r="T179" i="1"/>
  <c r="T176" i="1"/>
  <c r="S28" i="1"/>
  <c r="R20" i="1"/>
  <c r="E20" i="7" s="1"/>
  <c r="R361" i="1"/>
  <c r="E348" i="7" s="1"/>
  <c r="R177" i="1"/>
  <c r="E177" i="7" s="1"/>
  <c r="R354" i="1"/>
  <c r="E341" i="7" s="1"/>
  <c r="R197" i="1"/>
  <c r="E197" i="7" s="1"/>
  <c r="S124" i="1"/>
  <c r="E344" i="6"/>
  <c r="T108" i="1"/>
  <c r="T180" i="1"/>
  <c r="T170" i="1"/>
  <c r="T171" i="1"/>
  <c r="T191" i="1"/>
  <c r="T308" i="1"/>
  <c r="T162" i="1"/>
  <c r="T330" i="1"/>
  <c r="T370" i="1"/>
  <c r="T183" i="1"/>
  <c r="X175" i="8" l="1"/>
  <c r="AH212" i="8"/>
  <c r="S353" i="1"/>
  <c r="F340" i="7" s="1"/>
  <c r="G340" i="7" s="1"/>
  <c r="K340" i="7" s="1"/>
  <c r="E124" i="6"/>
  <c r="E28" i="6"/>
  <c r="E367" i="6"/>
  <c r="F252" i="6"/>
  <c r="X288" i="8"/>
  <c r="X353" i="8"/>
  <c r="AH195" i="8"/>
  <c r="AH61" i="8"/>
  <c r="E9" i="6"/>
  <c r="AT370" i="1"/>
  <c r="AW370" i="1"/>
  <c r="AT162" i="1"/>
  <c r="AW162" i="1"/>
  <c r="AT308" i="1"/>
  <c r="AW308" i="1"/>
  <c r="AW316" i="1"/>
  <c r="AT316" i="1"/>
  <c r="AW327" i="1"/>
  <c r="AT327" i="1"/>
  <c r="AT59" i="1"/>
  <c r="AW59" i="1"/>
  <c r="AW117" i="1"/>
  <c r="AT117" i="1"/>
  <c r="AT372" i="1"/>
  <c r="AW372" i="1"/>
  <c r="AW356" i="1"/>
  <c r="AT356" i="1"/>
  <c r="AD365" i="1"/>
  <c r="AT365" i="1"/>
  <c r="AW365" i="1"/>
  <c r="R67" i="1"/>
  <c r="E67" i="7" s="1"/>
  <c r="AW67" i="1"/>
  <c r="AT67" i="1"/>
  <c r="AW141" i="1"/>
  <c r="AT141" i="1"/>
  <c r="AT108" i="1"/>
  <c r="AW108" i="1"/>
  <c r="AT335" i="1"/>
  <c r="AW335" i="1"/>
  <c r="AT375" i="1"/>
  <c r="AW375" i="1"/>
  <c r="AW140" i="1"/>
  <c r="AT140" i="1"/>
  <c r="AD367" i="1"/>
  <c r="AW367" i="1"/>
  <c r="AT367" i="1"/>
  <c r="AT25" i="1"/>
  <c r="AW25" i="1"/>
  <c r="AT40" i="1"/>
  <c r="AW40" i="1"/>
  <c r="R362" i="1"/>
  <c r="E349" i="7" s="1"/>
  <c r="AD362" i="1"/>
  <c r="AW362" i="1"/>
  <c r="AT362" i="1"/>
  <c r="AW22" i="1"/>
  <c r="AT22" i="1"/>
  <c r="AW101" i="1"/>
  <c r="AT101" i="1"/>
  <c r="AT170" i="1"/>
  <c r="AW170" i="1"/>
  <c r="AT182" i="1"/>
  <c r="AW182" i="1"/>
  <c r="AT183" i="1"/>
  <c r="AW183" i="1"/>
  <c r="AW330" i="1"/>
  <c r="AT330" i="1"/>
  <c r="AT171" i="1"/>
  <c r="AW171" i="1"/>
  <c r="AT180" i="1"/>
  <c r="AW180" i="1"/>
  <c r="AT179" i="1"/>
  <c r="AW179" i="1"/>
  <c r="AW158" i="1"/>
  <c r="AT158" i="1"/>
  <c r="AT173" i="1"/>
  <c r="AW173" i="1"/>
  <c r="AT190" i="1"/>
  <c r="AW190" i="1"/>
  <c r="AT189" i="1"/>
  <c r="AW189" i="1"/>
  <c r="AT194" i="1"/>
  <c r="AW194" i="1"/>
  <c r="AT191" i="1"/>
  <c r="AW191" i="1"/>
  <c r="AT176" i="1"/>
  <c r="AW176" i="1"/>
  <c r="AT174" i="1"/>
  <c r="AW174" i="1"/>
  <c r="AT295" i="1"/>
  <c r="AW295" i="1"/>
  <c r="AT172" i="1"/>
  <c r="AW172" i="1"/>
  <c r="AW262" i="1"/>
  <c r="AT262" i="1"/>
  <c r="AW344" i="1"/>
  <c r="AT344" i="1"/>
  <c r="AT169" i="1"/>
  <c r="AW169" i="1"/>
  <c r="AT166" i="1"/>
  <c r="AW166" i="1"/>
  <c r="R262" i="1"/>
  <c r="E262" i="6" s="1"/>
  <c r="R189" i="1"/>
  <c r="E189" i="7" s="1"/>
  <c r="E103" i="6"/>
  <c r="R356" i="1"/>
  <c r="E343" i="7" s="1"/>
  <c r="F285" i="7"/>
  <c r="AH65" i="8"/>
  <c r="R264" i="8"/>
  <c r="S264" i="8" s="1"/>
  <c r="AH339" i="8"/>
  <c r="R365" i="1"/>
  <c r="E352" i="7" s="1"/>
  <c r="S133" i="1"/>
  <c r="F133" i="6" s="1"/>
  <c r="E133" i="6"/>
  <c r="E62" i="6"/>
  <c r="S62" i="1"/>
  <c r="F62" i="6" s="1"/>
  <c r="E65" i="6"/>
  <c r="E285" i="7"/>
  <c r="S293" i="1"/>
  <c r="F293" i="6" s="1"/>
  <c r="E285" i="6"/>
  <c r="G285" i="6" s="1"/>
  <c r="K285" i="6" s="1"/>
  <c r="E52" i="6"/>
  <c r="E252" i="7"/>
  <c r="G252" i="7" s="1"/>
  <c r="K252" i="7" s="1"/>
  <c r="S352" i="1"/>
  <c r="F343" i="6" s="1"/>
  <c r="E252" i="6"/>
  <c r="R204" i="1"/>
  <c r="E204" i="7" s="1"/>
  <c r="E293" i="6"/>
  <c r="S192" i="1"/>
  <c r="F192" i="6" s="1"/>
  <c r="E120" i="6"/>
  <c r="S274" i="1"/>
  <c r="F274" i="6" s="1"/>
  <c r="S120" i="1"/>
  <c r="F120" i="6" s="1"/>
  <c r="S8" i="1"/>
  <c r="F8" i="7" s="1"/>
  <c r="G8" i="7" s="1"/>
  <c r="E66" i="6"/>
  <c r="E287" i="7"/>
  <c r="S52" i="1"/>
  <c r="F52" i="6" s="1"/>
  <c r="E8" i="6"/>
  <c r="F287" i="7"/>
  <c r="V65" i="8"/>
  <c r="E68" i="6"/>
  <c r="R353" i="8"/>
  <c r="S353" i="8" s="1"/>
  <c r="X264" i="8"/>
  <c r="V339" i="8"/>
  <c r="R250" i="8"/>
  <c r="S250" i="8" s="1"/>
  <c r="V365" i="1"/>
  <c r="V367" i="1"/>
  <c r="V362" i="1"/>
  <c r="R140" i="1"/>
  <c r="E140" i="7" s="1"/>
  <c r="R336" i="1"/>
  <c r="E332" i="7" s="1"/>
  <c r="R372" i="1"/>
  <c r="S372" i="1" s="1"/>
  <c r="F359" i="7" s="1"/>
  <c r="E192" i="6"/>
  <c r="R169" i="1"/>
  <c r="E169" i="7" s="1"/>
  <c r="S65" i="1"/>
  <c r="F65" i="7" s="1"/>
  <c r="G65" i="7" s="1"/>
  <c r="K65" i="7" s="1"/>
  <c r="E274" i="6"/>
  <c r="S130" i="1"/>
  <c r="F130" i="7" s="1"/>
  <c r="G130" i="7" s="1"/>
  <c r="K130" i="7" s="1"/>
  <c r="T377" i="1"/>
  <c r="R25" i="1"/>
  <c r="E25" i="7" s="1"/>
  <c r="R22" i="1"/>
  <c r="E22" i="7" s="1"/>
  <c r="R141" i="1"/>
  <c r="E141" i="7" s="1"/>
  <c r="X65" i="8"/>
  <c r="AH264" i="8"/>
  <c r="V195" i="8"/>
  <c r="T182" i="8"/>
  <c r="R182" i="8" s="1"/>
  <c r="S182" i="8" s="1"/>
  <c r="R193" i="8"/>
  <c r="S193" i="8" s="1"/>
  <c r="V8" i="8"/>
  <c r="S68" i="1"/>
  <c r="F68" i="6" s="1"/>
  <c r="T234" i="1"/>
  <c r="R194" i="1"/>
  <c r="E194" i="7" s="1"/>
  <c r="Z84" i="1"/>
  <c r="R117" i="1"/>
  <c r="E117" i="7" s="1"/>
  <c r="T195" i="1"/>
  <c r="T58" i="1"/>
  <c r="T324" i="1"/>
  <c r="Z175" i="1"/>
  <c r="Z43" i="1"/>
  <c r="E287" i="6"/>
  <c r="G287" i="6" s="1"/>
  <c r="K287" i="6" s="1"/>
  <c r="AH353" i="8"/>
  <c r="X339" i="8"/>
  <c r="AH250" i="8"/>
  <c r="T166" i="8"/>
  <c r="R166" i="8" s="1"/>
  <c r="S166" i="8" s="1"/>
  <c r="X61" i="8"/>
  <c r="R263" i="8"/>
  <c r="S263" i="8" s="1"/>
  <c r="Z69" i="1"/>
  <c r="T69" i="1"/>
  <c r="T43" i="1"/>
  <c r="Z373" i="1"/>
  <c r="T61" i="1"/>
  <c r="R344" i="1"/>
  <c r="E336" i="7" s="1"/>
  <c r="E130" i="6"/>
  <c r="T84" i="1"/>
  <c r="Z61" i="1"/>
  <c r="R367" i="1"/>
  <c r="E354" i="7" s="1"/>
  <c r="R40" i="1"/>
  <c r="E40" i="7" s="1"/>
  <c r="Z195" i="1"/>
  <c r="Z295" i="1"/>
  <c r="Z58" i="1"/>
  <c r="Z59" i="1"/>
  <c r="Z324" i="1"/>
  <c r="T175" i="1"/>
  <c r="T167" i="1"/>
  <c r="X195" i="8"/>
  <c r="AH193" i="8"/>
  <c r="AH8" i="8"/>
  <c r="X263" i="8"/>
  <c r="AD89" i="8"/>
  <c r="AD69" i="8"/>
  <c r="AD84" i="8"/>
  <c r="AD234" i="8"/>
  <c r="AD11" i="8"/>
  <c r="AQ154" i="1"/>
  <c r="AQ129" i="1"/>
  <c r="AQ74" i="1"/>
  <c r="AQ345" i="1"/>
  <c r="AQ30" i="1"/>
  <c r="AQ178" i="1"/>
  <c r="AQ196" i="1"/>
  <c r="AQ184" i="1"/>
  <c r="R316" i="1"/>
  <c r="E312" i="7" s="1"/>
  <c r="S66" i="1"/>
  <c r="F66" i="6" s="1"/>
  <c r="E343" i="6"/>
  <c r="AD341" i="8"/>
  <c r="T173" i="8"/>
  <c r="R173" i="8" s="1"/>
  <c r="S173" i="8" s="1"/>
  <c r="AH263" i="8"/>
  <c r="AQ199" i="1"/>
  <c r="AQ185" i="1"/>
  <c r="AD158" i="8"/>
  <c r="AD108" i="8"/>
  <c r="AD173" i="8"/>
  <c r="AD331" i="8"/>
  <c r="AD360" i="8"/>
  <c r="AD295" i="8"/>
  <c r="AD323" i="8"/>
  <c r="AD196" i="8"/>
  <c r="AD184" i="8"/>
  <c r="AD176" i="8"/>
  <c r="AD168" i="8"/>
  <c r="AD332" i="8"/>
  <c r="AT299" i="8"/>
  <c r="T299" i="8"/>
  <c r="AT194" i="8"/>
  <c r="T194" i="8"/>
  <c r="AT174" i="8"/>
  <c r="T174" i="8"/>
  <c r="AT162" i="8"/>
  <c r="T162" i="8"/>
  <c r="AT199" i="8"/>
  <c r="T199" i="8"/>
  <c r="AT190" i="8"/>
  <c r="T190" i="8"/>
  <c r="AT170" i="8"/>
  <c r="T170" i="8"/>
  <c r="AT74" i="8"/>
  <c r="T74" i="8"/>
  <c r="AD336" i="8"/>
  <c r="V312" i="8"/>
  <c r="R312" i="8"/>
  <c r="S312" i="8" s="1"/>
  <c r="AH312" i="8"/>
  <c r="X312" i="8"/>
  <c r="T323" i="8"/>
  <c r="T184" i="8"/>
  <c r="T168" i="8"/>
  <c r="T332" i="8"/>
  <c r="T295" i="8"/>
  <c r="T158" i="8"/>
  <c r="AT334" i="8"/>
  <c r="T334" i="8"/>
  <c r="AT171" i="8"/>
  <c r="T171" i="8"/>
  <c r="AT167" i="8"/>
  <c r="T167" i="8"/>
  <c r="AT225" i="8"/>
  <c r="T225" i="8"/>
  <c r="AH326" i="8"/>
  <c r="X326" i="8"/>
  <c r="V326" i="8"/>
  <c r="R326" i="8"/>
  <c r="S326" i="8" s="1"/>
  <c r="T84" i="8"/>
  <c r="AT145" i="8"/>
  <c r="T145" i="8"/>
  <c r="T11" i="8"/>
  <c r="AT204" i="8"/>
  <c r="T204" i="8"/>
  <c r="AT59" i="8"/>
  <c r="T59" i="8"/>
  <c r="AT364" i="8"/>
  <c r="T364" i="8"/>
  <c r="AD182" i="8"/>
  <c r="AH348" i="8"/>
  <c r="X348" i="8"/>
  <c r="V348" i="8"/>
  <c r="R348" i="8"/>
  <c r="S348" i="8" s="1"/>
  <c r="V259" i="8"/>
  <c r="R259" i="8"/>
  <c r="S259" i="8" s="1"/>
  <c r="AH259" i="8"/>
  <c r="X259" i="8"/>
  <c r="AT140" i="8"/>
  <c r="T140" i="8"/>
  <c r="V257" i="8"/>
  <c r="R257" i="8"/>
  <c r="S257" i="8" s="1"/>
  <c r="AH257" i="8"/>
  <c r="X257" i="8"/>
  <c r="AH265" i="8"/>
  <c r="X265" i="8"/>
  <c r="V265" i="8"/>
  <c r="R265" i="8"/>
  <c r="S265" i="8" s="1"/>
  <c r="V267" i="8"/>
  <c r="R267" i="8"/>
  <c r="S267" i="8" s="1"/>
  <c r="AH267" i="8"/>
  <c r="X267" i="8"/>
  <c r="AH197" i="8"/>
  <c r="X197" i="8"/>
  <c r="R197" i="8"/>
  <c r="S197" i="8" s="1"/>
  <c r="V177" i="8"/>
  <c r="R177" i="8"/>
  <c r="S177" i="8" s="1"/>
  <c r="AH177" i="8"/>
  <c r="X177" i="8"/>
  <c r="V349" i="8"/>
  <c r="R349" i="8"/>
  <c r="S349" i="8" s="1"/>
  <c r="AH349" i="8"/>
  <c r="X349" i="8"/>
  <c r="AH258" i="8"/>
  <c r="R258" i="8"/>
  <c r="S258" i="8" s="1"/>
  <c r="V258" i="8"/>
  <c r="X258" i="8"/>
  <c r="AH256" i="8"/>
  <c r="R256" i="8"/>
  <c r="S256" i="8" s="1"/>
  <c r="V256" i="8"/>
  <c r="X256" i="8"/>
  <c r="V290" i="8"/>
  <c r="R290" i="8"/>
  <c r="S290" i="8" s="1"/>
  <c r="AH290" i="8"/>
  <c r="X290" i="8"/>
  <c r="AT337" i="8"/>
  <c r="T337" i="8"/>
  <c r="AT43" i="8"/>
  <c r="T43" i="8"/>
  <c r="V183" i="8"/>
  <c r="R183" i="8"/>
  <c r="S183" i="8" s="1"/>
  <c r="AH183" i="8"/>
  <c r="X183" i="8"/>
  <c r="R103" i="8"/>
  <c r="S103" i="8" s="1"/>
  <c r="V103" i="8"/>
  <c r="X103" i="8"/>
  <c r="AH103" i="8"/>
  <c r="X141" i="8"/>
  <c r="AH141" i="8"/>
  <c r="R141" i="8"/>
  <c r="S141" i="8" s="1"/>
  <c r="V141" i="8"/>
  <c r="V218" i="8"/>
  <c r="R218" i="8"/>
  <c r="S218" i="8" s="1"/>
  <c r="AH218" i="8"/>
  <c r="X218" i="8"/>
  <c r="R247" i="8"/>
  <c r="S247" i="8" s="1"/>
  <c r="AH247" i="8"/>
  <c r="X247" i="8"/>
  <c r="V247" i="8"/>
  <c r="V58" i="8"/>
  <c r="R58" i="8"/>
  <c r="S58" i="8" s="1"/>
  <c r="AH58" i="8"/>
  <c r="X58" i="8"/>
  <c r="R224" i="8"/>
  <c r="S224" i="8" s="1"/>
  <c r="V224" i="8"/>
  <c r="X224" i="8"/>
  <c r="AH224" i="8"/>
  <c r="R261" i="8"/>
  <c r="S261" i="8" s="1"/>
  <c r="V261" i="8"/>
  <c r="X261" i="8"/>
  <c r="AH261" i="8"/>
  <c r="T196" i="8"/>
  <c r="T176" i="8"/>
  <c r="X154" i="8"/>
  <c r="AH154" i="8"/>
  <c r="R154" i="8"/>
  <c r="S154" i="8" s="1"/>
  <c r="V154" i="8"/>
  <c r="V320" i="8"/>
  <c r="R320" i="8"/>
  <c r="S320" i="8" s="1"/>
  <c r="AH320" i="8"/>
  <c r="X320" i="8"/>
  <c r="T331" i="8"/>
  <c r="AT192" i="8"/>
  <c r="T192" i="8"/>
  <c r="AT180" i="8"/>
  <c r="T180" i="8"/>
  <c r="AT172" i="8"/>
  <c r="T172" i="8"/>
  <c r="T360" i="8"/>
  <c r="T108" i="8"/>
  <c r="T341" i="8"/>
  <c r="AD334" i="8"/>
  <c r="AH304" i="8"/>
  <c r="X304" i="8"/>
  <c r="V304" i="8"/>
  <c r="R304" i="8"/>
  <c r="S304" i="8" s="1"/>
  <c r="V189" i="8"/>
  <c r="R189" i="8"/>
  <c r="S189" i="8" s="1"/>
  <c r="AH189" i="8"/>
  <c r="X189" i="8"/>
  <c r="V179" i="8"/>
  <c r="R179" i="8"/>
  <c r="S179" i="8" s="1"/>
  <c r="AH179" i="8"/>
  <c r="X179" i="8"/>
  <c r="AD171" i="8"/>
  <c r="AD167" i="8"/>
  <c r="AH101" i="8"/>
  <c r="X101" i="8"/>
  <c r="V101" i="8"/>
  <c r="R101" i="8"/>
  <c r="S101" i="8" s="1"/>
  <c r="AC366" i="8"/>
  <c r="AD225" i="8"/>
  <c r="T336" i="8"/>
  <c r="X129" i="8"/>
  <c r="AH129" i="8"/>
  <c r="R129" i="8"/>
  <c r="S129" i="8" s="1"/>
  <c r="V129" i="8"/>
  <c r="V340" i="8"/>
  <c r="R340" i="8"/>
  <c r="S340" i="8" s="1"/>
  <c r="AH340" i="8"/>
  <c r="X340" i="8"/>
  <c r="V287" i="8"/>
  <c r="R287" i="8"/>
  <c r="S287" i="8" s="1"/>
  <c r="AH287" i="8"/>
  <c r="X287" i="8"/>
  <c r="V266" i="8"/>
  <c r="R266" i="8"/>
  <c r="S266" i="8" s="1"/>
  <c r="AH266" i="8"/>
  <c r="X266" i="8"/>
  <c r="V292" i="8"/>
  <c r="R292" i="8"/>
  <c r="S292" i="8" s="1"/>
  <c r="AH292" i="8"/>
  <c r="X292" i="8"/>
  <c r="R254" i="8"/>
  <c r="S254" i="8" s="1"/>
  <c r="V254" i="8"/>
  <c r="X254" i="8"/>
  <c r="AH254" i="8"/>
  <c r="R352" i="8"/>
  <c r="S352" i="8" s="1"/>
  <c r="V352" i="8"/>
  <c r="X352" i="8"/>
  <c r="AH352" i="8"/>
  <c r="R343" i="8"/>
  <c r="S343" i="8" s="1"/>
  <c r="AH343" i="8"/>
  <c r="X343" i="8"/>
  <c r="V343" i="8"/>
  <c r="X362" i="8"/>
  <c r="AH362" i="8"/>
  <c r="R362" i="8"/>
  <c r="S362" i="8" s="1"/>
  <c r="V362" i="8"/>
  <c r="T89" i="8"/>
  <c r="S8" i="8"/>
  <c r="T69" i="8"/>
  <c r="V191" i="8"/>
  <c r="R191" i="8"/>
  <c r="S191" i="8" s="1"/>
  <c r="AH191" i="8"/>
  <c r="X191" i="8"/>
  <c r="R185" i="8"/>
  <c r="S185" i="8" s="1"/>
  <c r="V185" i="8"/>
  <c r="X185" i="8"/>
  <c r="AH185" i="8"/>
  <c r="V181" i="8"/>
  <c r="R181" i="8"/>
  <c r="S181" i="8" s="1"/>
  <c r="AH181" i="8"/>
  <c r="X181" i="8"/>
  <c r="V30" i="8"/>
  <c r="R30" i="8"/>
  <c r="S30" i="8" s="1"/>
  <c r="AH30" i="8"/>
  <c r="X30" i="8"/>
  <c r="T234" i="8"/>
  <c r="AH260" i="8"/>
  <c r="X260" i="8"/>
  <c r="R260" i="8"/>
  <c r="S260" i="8" s="1"/>
  <c r="AD166" i="8"/>
  <c r="AT178" i="8"/>
  <c r="T178" i="8"/>
  <c r="AT169" i="8"/>
  <c r="T169" i="8"/>
  <c r="F344" i="6"/>
  <c r="G344" i="6" s="1"/>
  <c r="K344" i="6" s="1"/>
  <c r="F28" i="6"/>
  <c r="G28" i="6" s="1"/>
  <c r="K28" i="6" s="1"/>
  <c r="F28" i="7"/>
  <c r="G28" i="7" s="1"/>
  <c r="K28" i="7" s="1"/>
  <c r="F260" i="6"/>
  <c r="F260" i="7"/>
  <c r="F357" i="6"/>
  <c r="G357" i="6" s="1"/>
  <c r="K357" i="6" s="1"/>
  <c r="F353" i="7"/>
  <c r="G353" i="7" s="1"/>
  <c r="K353" i="7" s="1"/>
  <c r="F367" i="6"/>
  <c r="G367" i="6" s="1"/>
  <c r="K367" i="6" s="1"/>
  <c r="F363" i="7"/>
  <c r="G363" i="7" s="1"/>
  <c r="K363" i="7" s="1"/>
  <c r="F251" i="6"/>
  <c r="G251" i="6" s="1"/>
  <c r="K251" i="6" s="1"/>
  <c r="F251" i="7"/>
  <c r="G251" i="7" s="1"/>
  <c r="K251" i="7" s="1"/>
  <c r="F360" i="6"/>
  <c r="F356" i="7"/>
  <c r="E360" i="6"/>
  <c r="E356" i="7"/>
  <c r="E260" i="6"/>
  <c r="E260" i="7"/>
  <c r="S272" i="1"/>
  <c r="E272" i="7"/>
  <c r="S291" i="1"/>
  <c r="E291" i="7"/>
  <c r="F124" i="6"/>
  <c r="G124" i="6" s="1"/>
  <c r="K124" i="6" s="1"/>
  <c r="F124" i="7"/>
  <c r="G124" i="7" s="1"/>
  <c r="K124" i="7" s="1"/>
  <c r="F99" i="6"/>
  <c r="G99" i="6" s="1"/>
  <c r="K99" i="6" s="1"/>
  <c r="F99" i="7"/>
  <c r="G99" i="7" s="1"/>
  <c r="K99" i="7" s="1"/>
  <c r="F103" i="6"/>
  <c r="F103" i="7"/>
  <c r="G103" i="7" s="1"/>
  <c r="K103" i="7" s="1"/>
  <c r="F9" i="6"/>
  <c r="F9" i="7"/>
  <c r="G9" i="7" s="1"/>
  <c r="K9" i="7" s="1"/>
  <c r="S262" i="1"/>
  <c r="S166" i="1"/>
  <c r="E166" i="7"/>
  <c r="Z299" i="1"/>
  <c r="T299" i="1"/>
  <c r="R190" i="1"/>
  <c r="E190" i="7" s="1"/>
  <c r="R172" i="1"/>
  <c r="S172" i="1" s="1"/>
  <c r="T345" i="1"/>
  <c r="Z154" i="1"/>
  <c r="T199" i="1"/>
  <c r="T129" i="1"/>
  <c r="Z129" i="1"/>
  <c r="Z185" i="1"/>
  <c r="T185" i="1"/>
  <c r="Z30" i="1"/>
  <c r="Z178" i="1"/>
  <c r="T178" i="1"/>
  <c r="Z196" i="1"/>
  <c r="Z184" i="1"/>
  <c r="T184" i="1"/>
  <c r="Z74" i="1"/>
  <c r="Z345" i="1"/>
  <c r="S364" i="1"/>
  <c r="E355" i="6"/>
  <c r="S363" i="1"/>
  <c r="E354" i="6"/>
  <c r="R174" i="1"/>
  <c r="E174" i="7" s="1"/>
  <c r="R295" i="1"/>
  <c r="E295" i="7" s="1"/>
  <c r="R327" i="1"/>
  <c r="E323" i="7" s="1"/>
  <c r="R173" i="1"/>
  <c r="E173" i="7" s="1"/>
  <c r="R59" i="1"/>
  <c r="E59" i="7" s="1"/>
  <c r="R183" i="1"/>
  <c r="E183" i="7" s="1"/>
  <c r="R330" i="1"/>
  <c r="E326" i="7" s="1"/>
  <c r="R308" i="1"/>
  <c r="E304" i="7" s="1"/>
  <c r="R171" i="1"/>
  <c r="E171" i="7" s="1"/>
  <c r="R108" i="1"/>
  <c r="E108" i="7" s="1"/>
  <c r="S365" i="1"/>
  <c r="E20" i="6"/>
  <c r="S20" i="1"/>
  <c r="R176" i="1"/>
  <c r="E176" i="7" s="1"/>
  <c r="R182" i="1"/>
  <c r="E182" i="7" s="1"/>
  <c r="R335" i="1"/>
  <c r="E331" i="7" s="1"/>
  <c r="R375" i="1"/>
  <c r="E362" i="7" s="1"/>
  <c r="S193" i="1"/>
  <c r="E193" i="6"/>
  <c r="S31" i="1"/>
  <c r="E31" i="6"/>
  <c r="T373" i="1"/>
  <c r="T168" i="1"/>
  <c r="R370" i="1"/>
  <c r="E357" i="7" s="1"/>
  <c r="R162" i="1"/>
  <c r="E162" i="7" s="1"/>
  <c r="R191" i="1"/>
  <c r="E191" i="7" s="1"/>
  <c r="R170" i="1"/>
  <c r="E170" i="7" s="1"/>
  <c r="R180" i="1"/>
  <c r="E180" i="7" s="1"/>
  <c r="Z11" i="1"/>
  <c r="T11" i="1"/>
  <c r="R101" i="1"/>
  <c r="E101" i="7" s="1"/>
  <c r="S197" i="1"/>
  <c r="E197" i="6"/>
  <c r="S362" i="1"/>
  <c r="E353" i="6"/>
  <c r="E345" i="6"/>
  <c r="S354" i="1"/>
  <c r="S177" i="1"/>
  <c r="E177" i="6"/>
  <c r="S361" i="1"/>
  <c r="E352" i="6"/>
  <c r="R179" i="1"/>
  <c r="E179" i="7" s="1"/>
  <c r="R292" i="1"/>
  <c r="E292" i="7" s="1"/>
  <c r="R158" i="1"/>
  <c r="E158" i="7" s="1"/>
  <c r="S181" i="1"/>
  <c r="E181" i="6"/>
  <c r="S67" i="1"/>
  <c r="E67" i="6"/>
  <c r="E204" i="6"/>
  <c r="E56" i="6"/>
  <c r="S56" i="1"/>
  <c r="S35" i="1"/>
  <c r="E35" i="6"/>
  <c r="T340" i="1"/>
  <c r="T368" i="1"/>
  <c r="Z377" i="1"/>
  <c r="E262" i="7" l="1"/>
  <c r="G66" i="6"/>
  <c r="K66" i="6" s="1"/>
  <c r="G62" i="6"/>
  <c r="K62" i="6" s="1"/>
  <c r="E347" i="6"/>
  <c r="V182" i="8"/>
  <c r="G287" i="7"/>
  <c r="K287" i="7" s="1"/>
  <c r="G252" i="6"/>
  <c r="K252" i="6" s="1"/>
  <c r="E189" i="6"/>
  <c r="G9" i="6"/>
  <c r="K9" i="6" s="1"/>
  <c r="R84" i="1"/>
  <c r="E84" i="7" s="1"/>
  <c r="AT84" i="1"/>
  <c r="AW84" i="1"/>
  <c r="AD368" i="1"/>
  <c r="AW368" i="1"/>
  <c r="AT368" i="1"/>
  <c r="S189" i="1"/>
  <c r="F189" i="7" s="1"/>
  <c r="G189" i="7" s="1"/>
  <c r="K189" i="7" s="1"/>
  <c r="AT11" i="1"/>
  <c r="AW11" i="1"/>
  <c r="AW373" i="1"/>
  <c r="AT373" i="1"/>
  <c r="AW129" i="1"/>
  <c r="AT129" i="1"/>
  <c r="AW299" i="1"/>
  <c r="AT299" i="1"/>
  <c r="G103" i="6"/>
  <c r="K103" i="6" s="1"/>
  <c r="F68" i="7"/>
  <c r="G68" i="7" s="1"/>
  <c r="K68" i="7" s="1"/>
  <c r="AH166" i="8"/>
  <c r="AT69" i="1"/>
  <c r="AW69" i="1"/>
  <c r="AT324" i="1"/>
  <c r="AW324" i="1"/>
  <c r="AT377" i="1"/>
  <c r="AW377" i="1"/>
  <c r="AW199" i="1"/>
  <c r="AT199" i="1"/>
  <c r="AT61" i="1"/>
  <c r="AW61" i="1"/>
  <c r="R43" i="1"/>
  <c r="E43" i="7" s="1"/>
  <c r="AW43" i="1"/>
  <c r="AT43" i="1"/>
  <c r="AW58" i="1"/>
  <c r="AT58" i="1"/>
  <c r="AT168" i="1"/>
  <c r="AW168" i="1"/>
  <c r="AT184" i="1"/>
  <c r="AW184" i="1"/>
  <c r="AT185" i="1"/>
  <c r="AW185" i="1"/>
  <c r="AW345" i="1"/>
  <c r="AT345" i="1"/>
  <c r="AT167" i="1"/>
  <c r="AW167" i="1"/>
  <c r="AT178" i="1"/>
  <c r="AW178" i="1"/>
  <c r="AT175" i="1"/>
  <c r="AW175" i="1"/>
  <c r="AT145" i="1"/>
  <c r="AW145" i="1"/>
  <c r="AT195" i="1"/>
  <c r="AW195" i="1"/>
  <c r="R195" i="1"/>
  <c r="E195" i="7" s="1"/>
  <c r="S356" i="1"/>
  <c r="F343" i="7" s="1"/>
  <c r="G343" i="7" s="1"/>
  <c r="K343" i="7" s="1"/>
  <c r="F133" i="7"/>
  <c r="G133" i="7" s="1"/>
  <c r="K133" i="7" s="1"/>
  <c r="E356" i="6"/>
  <c r="F274" i="7"/>
  <c r="G274" i="7" s="1"/>
  <c r="K274" i="7" s="1"/>
  <c r="F293" i="7"/>
  <c r="G293" i="7" s="1"/>
  <c r="K293" i="7" s="1"/>
  <c r="AH182" i="8"/>
  <c r="G285" i="7"/>
  <c r="K285" i="7" s="1"/>
  <c r="S204" i="1"/>
  <c r="F204" i="7" s="1"/>
  <c r="G204" i="7" s="1"/>
  <c r="K204" i="7" s="1"/>
  <c r="G133" i="6"/>
  <c r="K133" i="6" s="1"/>
  <c r="E140" i="6"/>
  <c r="G293" i="6"/>
  <c r="K293" i="6" s="1"/>
  <c r="F120" i="7"/>
  <c r="G120" i="7" s="1"/>
  <c r="K120" i="7" s="1"/>
  <c r="F62" i="7"/>
  <c r="G62" i="7" s="1"/>
  <c r="K62" i="7" s="1"/>
  <c r="R234" i="1"/>
  <c r="E234" i="7" s="1"/>
  <c r="R167" i="1"/>
  <c r="E167" i="7" s="1"/>
  <c r="G343" i="6"/>
  <c r="K343" i="6" s="1"/>
  <c r="F65" i="6"/>
  <c r="G65" i="6" s="1"/>
  <c r="K65" i="6" s="1"/>
  <c r="F130" i="6"/>
  <c r="G130" i="6" s="1"/>
  <c r="K130" i="6" s="1"/>
  <c r="F339" i="7"/>
  <c r="G339" i="7" s="1"/>
  <c r="K339" i="7" s="1"/>
  <c r="G52" i="6"/>
  <c r="K52" i="6" s="1"/>
  <c r="F192" i="7"/>
  <c r="G192" i="7" s="1"/>
  <c r="K192" i="7" s="1"/>
  <c r="S194" i="1"/>
  <c r="F194" i="7" s="1"/>
  <c r="G194" i="7" s="1"/>
  <c r="K194" i="7" s="1"/>
  <c r="E339" i="6"/>
  <c r="E22" i="6"/>
  <c r="G120" i="6"/>
  <c r="K120" i="6" s="1"/>
  <c r="G260" i="6"/>
  <c r="K260" i="6" s="1"/>
  <c r="S316" i="1"/>
  <c r="F312" i="7" s="1"/>
  <c r="G312" i="7" s="1"/>
  <c r="K312" i="7" s="1"/>
  <c r="F8" i="6"/>
  <c r="G8" i="6" s="1"/>
  <c r="K8" i="6" s="1"/>
  <c r="R61" i="1"/>
  <c r="S61" i="1" s="1"/>
  <c r="F61" i="7" s="1"/>
  <c r="S140" i="1"/>
  <c r="F140" i="7" s="1"/>
  <c r="G140" i="7" s="1"/>
  <c r="K140" i="7" s="1"/>
  <c r="S367" i="1"/>
  <c r="F354" i="7" s="1"/>
  <c r="G354" i="7" s="1"/>
  <c r="K354" i="7" s="1"/>
  <c r="S336" i="1"/>
  <c r="F333" i="6" s="1"/>
  <c r="S25" i="1"/>
  <c r="F25" i="7" s="1"/>
  <c r="G25" i="7" s="1"/>
  <c r="K25" i="7" s="1"/>
  <c r="E40" i="6"/>
  <c r="G274" i="6"/>
  <c r="K274" i="6" s="1"/>
  <c r="F52" i="7"/>
  <c r="G52" i="7" s="1"/>
  <c r="K52" i="7" s="1"/>
  <c r="S169" i="1"/>
  <c r="F169" i="7" s="1"/>
  <c r="G169" i="7" s="1"/>
  <c r="K169" i="7" s="1"/>
  <c r="S40" i="1"/>
  <c r="F40" i="7" s="1"/>
  <c r="G40" i="7" s="1"/>
  <c r="K40" i="7" s="1"/>
  <c r="G356" i="7"/>
  <c r="K356" i="7" s="1"/>
  <c r="F363" i="6"/>
  <c r="G68" i="6"/>
  <c r="K68" i="6" s="1"/>
  <c r="G360" i="6"/>
  <c r="K360" i="6" s="1"/>
  <c r="E169" i="6"/>
  <c r="R58" i="1"/>
  <c r="E58" i="7" s="1"/>
  <c r="S22" i="1"/>
  <c r="F22" i="7" s="1"/>
  <c r="G22" i="7" s="1"/>
  <c r="K22" i="7" s="1"/>
  <c r="S117" i="1"/>
  <c r="F117" i="7" s="1"/>
  <c r="G117" i="7" s="1"/>
  <c r="K117" i="7" s="1"/>
  <c r="G260" i="7"/>
  <c r="K260" i="7" s="1"/>
  <c r="V173" i="8"/>
  <c r="E333" i="6"/>
  <c r="E358" i="6"/>
  <c r="V368" i="1"/>
  <c r="E359" i="7"/>
  <c r="G359" i="7" s="1"/>
  <c r="K359" i="7" s="1"/>
  <c r="E363" i="6"/>
  <c r="S190" i="1"/>
  <c r="F190" i="7" s="1"/>
  <c r="G190" i="7" s="1"/>
  <c r="K190" i="7" s="1"/>
  <c r="R324" i="1"/>
  <c r="E320" i="7" s="1"/>
  <c r="E25" i="6"/>
  <c r="R175" i="1"/>
  <c r="E175" i="7" s="1"/>
  <c r="R377" i="1"/>
  <c r="F66" i="7"/>
  <c r="G66" i="7" s="1"/>
  <c r="K66" i="7" s="1"/>
  <c r="G192" i="6"/>
  <c r="K192" i="6" s="1"/>
  <c r="X182" i="8"/>
  <c r="V166" i="8"/>
  <c r="S141" i="1"/>
  <c r="E141" i="6"/>
  <c r="R69" i="1"/>
  <c r="E69" i="7" s="1"/>
  <c r="R145" i="1"/>
  <c r="E145" i="7" s="1"/>
  <c r="E194" i="6"/>
  <c r="E313" i="6"/>
  <c r="S344" i="1"/>
  <c r="F336" i="7" s="1"/>
  <c r="G336" i="7" s="1"/>
  <c r="K336" i="7" s="1"/>
  <c r="E117" i="6"/>
  <c r="T196" i="1"/>
  <c r="T30" i="1"/>
  <c r="Z199" i="1"/>
  <c r="T154" i="1"/>
  <c r="T74" i="1"/>
  <c r="R74" i="1" s="1"/>
  <c r="S74" i="1" s="1"/>
  <c r="X166" i="8"/>
  <c r="E190" i="6"/>
  <c r="AH173" i="8"/>
  <c r="Z379" i="1"/>
  <c r="X173" i="8"/>
  <c r="AD366" i="8"/>
  <c r="V169" i="8"/>
  <c r="R169" i="8"/>
  <c r="S169" i="8" s="1"/>
  <c r="AH169" i="8"/>
  <c r="X169" i="8"/>
  <c r="V178" i="8"/>
  <c r="R178" i="8"/>
  <c r="S178" i="8" s="1"/>
  <c r="AH178" i="8"/>
  <c r="X178" i="8"/>
  <c r="V69" i="8"/>
  <c r="R69" i="8"/>
  <c r="S69" i="8" s="1"/>
  <c r="AH69" i="8"/>
  <c r="X69" i="8"/>
  <c r="V336" i="8"/>
  <c r="R336" i="8"/>
  <c r="S336" i="8" s="1"/>
  <c r="AH336" i="8"/>
  <c r="X336" i="8"/>
  <c r="V341" i="8"/>
  <c r="R341" i="8"/>
  <c r="S341" i="8" s="1"/>
  <c r="AH341" i="8"/>
  <c r="X341" i="8"/>
  <c r="R360" i="8"/>
  <c r="S360" i="8" s="1"/>
  <c r="V360" i="8"/>
  <c r="X360" i="8"/>
  <c r="AH360" i="8"/>
  <c r="V176" i="8"/>
  <c r="R176" i="8"/>
  <c r="S176" i="8" s="1"/>
  <c r="AH176" i="8"/>
  <c r="X176" i="8"/>
  <c r="V43" i="8"/>
  <c r="R43" i="8"/>
  <c r="S43" i="8" s="1"/>
  <c r="AH43" i="8"/>
  <c r="X43" i="8"/>
  <c r="V337" i="8"/>
  <c r="R337" i="8"/>
  <c r="S337" i="8" s="1"/>
  <c r="AH337" i="8"/>
  <c r="X337" i="8"/>
  <c r="V364" i="8"/>
  <c r="R364" i="8"/>
  <c r="S364" i="8" s="1"/>
  <c r="AH364" i="8"/>
  <c r="X364" i="8"/>
  <c r="V59" i="8"/>
  <c r="R59" i="8"/>
  <c r="S59" i="8" s="1"/>
  <c r="AH59" i="8"/>
  <c r="X59" i="8"/>
  <c r="X204" i="8"/>
  <c r="AH204" i="8"/>
  <c r="R204" i="8"/>
  <c r="S204" i="8" s="1"/>
  <c r="V204" i="8"/>
  <c r="R11" i="8"/>
  <c r="V11" i="8"/>
  <c r="X11" i="8"/>
  <c r="AH11" i="8"/>
  <c r="T372" i="8"/>
  <c r="R225" i="8"/>
  <c r="S225" i="8" s="1"/>
  <c r="V225" i="8"/>
  <c r="X225" i="8"/>
  <c r="AH225" i="8"/>
  <c r="V167" i="8"/>
  <c r="R167" i="8"/>
  <c r="S167" i="8" s="1"/>
  <c r="AH167" i="8"/>
  <c r="X167" i="8"/>
  <c r="V171" i="8"/>
  <c r="R171" i="8"/>
  <c r="S171" i="8" s="1"/>
  <c r="AH171" i="8"/>
  <c r="X171" i="8"/>
  <c r="R334" i="8"/>
  <c r="S334" i="8" s="1"/>
  <c r="V334" i="8"/>
  <c r="X334" i="8"/>
  <c r="AH334" i="8"/>
  <c r="X158" i="8"/>
  <c r="AH158" i="8"/>
  <c r="R158" i="8"/>
  <c r="S158" i="8" s="1"/>
  <c r="V158" i="8"/>
  <c r="R332" i="8"/>
  <c r="S332" i="8" s="1"/>
  <c r="AH332" i="8"/>
  <c r="X332" i="8"/>
  <c r="V332" i="8"/>
  <c r="V184" i="8"/>
  <c r="R184" i="8"/>
  <c r="S184" i="8" s="1"/>
  <c r="AH184" i="8"/>
  <c r="X184" i="8"/>
  <c r="X234" i="8"/>
  <c r="V234" i="8"/>
  <c r="R234" i="8"/>
  <c r="S234" i="8" s="1"/>
  <c r="AH234" i="8"/>
  <c r="X89" i="8"/>
  <c r="AH89" i="8"/>
  <c r="R89" i="8"/>
  <c r="S89" i="8" s="1"/>
  <c r="V89" i="8"/>
  <c r="R108" i="8"/>
  <c r="S108" i="8" s="1"/>
  <c r="V108" i="8"/>
  <c r="X108" i="8"/>
  <c r="AH108" i="8"/>
  <c r="V172" i="8"/>
  <c r="R172" i="8"/>
  <c r="S172" i="8" s="1"/>
  <c r="AH172" i="8"/>
  <c r="X172" i="8"/>
  <c r="V180" i="8"/>
  <c r="R180" i="8"/>
  <c r="S180" i="8" s="1"/>
  <c r="AH180" i="8"/>
  <c r="X180" i="8"/>
  <c r="V192" i="8"/>
  <c r="R192" i="8"/>
  <c r="S192" i="8" s="1"/>
  <c r="AH192" i="8"/>
  <c r="X192" i="8"/>
  <c r="V331" i="8"/>
  <c r="R331" i="8"/>
  <c r="S331" i="8" s="1"/>
  <c r="AH331" i="8"/>
  <c r="X331" i="8"/>
  <c r="V196" i="8"/>
  <c r="R196" i="8"/>
  <c r="S196" i="8" s="1"/>
  <c r="AH196" i="8"/>
  <c r="X196" i="8"/>
  <c r="AT366" i="8"/>
  <c r="V140" i="8"/>
  <c r="R140" i="8"/>
  <c r="S140" i="8" s="1"/>
  <c r="AH140" i="8"/>
  <c r="X140" i="8"/>
  <c r="V145" i="8"/>
  <c r="R145" i="8"/>
  <c r="S145" i="8" s="1"/>
  <c r="AH145" i="8"/>
  <c r="X145" i="8"/>
  <c r="R84" i="8"/>
  <c r="S84" i="8" s="1"/>
  <c r="V84" i="8"/>
  <c r="X84" i="8"/>
  <c r="AH84" i="8"/>
  <c r="AH295" i="8"/>
  <c r="V295" i="8"/>
  <c r="X295" i="8"/>
  <c r="R295" i="8"/>
  <c r="S295" i="8" s="1"/>
  <c r="V168" i="8"/>
  <c r="R168" i="8"/>
  <c r="S168" i="8" s="1"/>
  <c r="AH168" i="8"/>
  <c r="X168" i="8"/>
  <c r="R323" i="8"/>
  <c r="S323" i="8" s="1"/>
  <c r="V323" i="8"/>
  <c r="X323" i="8"/>
  <c r="AH323" i="8"/>
  <c r="V74" i="8"/>
  <c r="R74" i="8"/>
  <c r="S74" i="8" s="1"/>
  <c r="AH74" i="8"/>
  <c r="X74" i="8"/>
  <c r="V170" i="8"/>
  <c r="R170" i="8"/>
  <c r="S170" i="8" s="1"/>
  <c r="AH170" i="8"/>
  <c r="X170" i="8"/>
  <c r="V190" i="8"/>
  <c r="R190" i="8"/>
  <c r="S190" i="8" s="1"/>
  <c r="AH190" i="8"/>
  <c r="X190" i="8"/>
  <c r="V199" i="8"/>
  <c r="R199" i="8"/>
  <c r="S199" i="8" s="1"/>
  <c r="AH199" i="8"/>
  <c r="X199" i="8"/>
  <c r="X162" i="8"/>
  <c r="AH162" i="8"/>
  <c r="R162" i="8"/>
  <c r="S162" i="8" s="1"/>
  <c r="V162" i="8"/>
  <c r="V174" i="8"/>
  <c r="R174" i="8"/>
  <c r="S174" i="8" s="1"/>
  <c r="AH174" i="8"/>
  <c r="X174" i="8"/>
  <c r="V194" i="8"/>
  <c r="R194" i="8"/>
  <c r="S194" i="8" s="1"/>
  <c r="AH194" i="8"/>
  <c r="X194" i="8"/>
  <c r="R299" i="8"/>
  <c r="S299" i="8" s="1"/>
  <c r="AH299" i="8"/>
  <c r="X299" i="8"/>
  <c r="F67" i="6"/>
  <c r="G67" i="6" s="1"/>
  <c r="K67" i="6" s="1"/>
  <c r="F67" i="7"/>
  <c r="G67" i="7" s="1"/>
  <c r="K67" i="7" s="1"/>
  <c r="F56" i="6"/>
  <c r="G56" i="6" s="1"/>
  <c r="K56" i="6" s="1"/>
  <c r="F56" i="7"/>
  <c r="G56" i="7" s="1"/>
  <c r="K56" i="7" s="1"/>
  <c r="F181" i="6"/>
  <c r="G181" i="6" s="1"/>
  <c r="K181" i="6" s="1"/>
  <c r="F181" i="7"/>
  <c r="G181" i="7" s="1"/>
  <c r="K181" i="7" s="1"/>
  <c r="F345" i="6"/>
  <c r="G345" i="6" s="1"/>
  <c r="K345" i="6" s="1"/>
  <c r="F341" i="7"/>
  <c r="G341" i="7" s="1"/>
  <c r="K341" i="7" s="1"/>
  <c r="F31" i="6"/>
  <c r="G31" i="6" s="1"/>
  <c r="K31" i="6" s="1"/>
  <c r="F31" i="7"/>
  <c r="G31" i="7" s="1"/>
  <c r="K31" i="7" s="1"/>
  <c r="F193" i="6"/>
  <c r="G193" i="6" s="1"/>
  <c r="K193" i="6" s="1"/>
  <c r="F193" i="7"/>
  <c r="G193" i="7" s="1"/>
  <c r="K193" i="7" s="1"/>
  <c r="F20" i="6"/>
  <c r="G20" i="6" s="1"/>
  <c r="K20" i="6" s="1"/>
  <c r="F20" i="7"/>
  <c r="G20" i="7" s="1"/>
  <c r="K20" i="7" s="1"/>
  <c r="F356" i="6"/>
  <c r="F352" i="7"/>
  <c r="G352" i="7" s="1"/>
  <c r="K352" i="7" s="1"/>
  <c r="F347" i="6"/>
  <c r="G347" i="6" s="1"/>
  <c r="K347" i="6" s="1"/>
  <c r="E172" i="6"/>
  <c r="E172" i="7"/>
  <c r="F291" i="6"/>
  <c r="G291" i="6" s="1"/>
  <c r="K291" i="6" s="1"/>
  <c r="F291" i="7"/>
  <c r="G291" i="7" s="1"/>
  <c r="K291" i="7" s="1"/>
  <c r="F272" i="6"/>
  <c r="G272" i="6" s="1"/>
  <c r="K272" i="6" s="1"/>
  <c r="F272" i="7"/>
  <c r="G272" i="7" s="1"/>
  <c r="K272" i="7" s="1"/>
  <c r="F35" i="6"/>
  <c r="G35" i="6" s="1"/>
  <c r="K35" i="6" s="1"/>
  <c r="F35" i="7"/>
  <c r="G35" i="7" s="1"/>
  <c r="K35" i="7" s="1"/>
  <c r="F189" i="6"/>
  <c r="G189" i="6" s="1"/>
  <c r="K189" i="6" s="1"/>
  <c r="F352" i="6"/>
  <c r="G352" i="6" s="1"/>
  <c r="K352" i="6" s="1"/>
  <c r="F348" i="7"/>
  <c r="G348" i="7" s="1"/>
  <c r="K348" i="7" s="1"/>
  <c r="F177" i="6"/>
  <c r="G177" i="6" s="1"/>
  <c r="K177" i="6" s="1"/>
  <c r="F177" i="7"/>
  <c r="G177" i="7" s="1"/>
  <c r="K177" i="7" s="1"/>
  <c r="F353" i="6"/>
  <c r="G353" i="6" s="1"/>
  <c r="K353" i="6" s="1"/>
  <c r="F349" i="7"/>
  <c r="G349" i="7" s="1"/>
  <c r="K349" i="7" s="1"/>
  <c r="F197" i="6"/>
  <c r="G197" i="6" s="1"/>
  <c r="K197" i="6" s="1"/>
  <c r="F197" i="7"/>
  <c r="G197" i="7" s="1"/>
  <c r="K197" i="7" s="1"/>
  <c r="F172" i="6"/>
  <c r="F172" i="7"/>
  <c r="F354" i="6"/>
  <c r="G354" i="6" s="1"/>
  <c r="K354" i="6" s="1"/>
  <c r="F350" i="7"/>
  <c r="G350" i="7" s="1"/>
  <c r="K350" i="7" s="1"/>
  <c r="F355" i="6"/>
  <c r="G355" i="6" s="1"/>
  <c r="K355" i="6" s="1"/>
  <c r="F351" i="7"/>
  <c r="G351" i="7" s="1"/>
  <c r="K351" i="7" s="1"/>
  <c r="K8" i="7"/>
  <c r="F166" i="6"/>
  <c r="G166" i="6" s="1"/>
  <c r="K166" i="6" s="1"/>
  <c r="F166" i="7"/>
  <c r="G166" i="7" s="1"/>
  <c r="K166" i="7" s="1"/>
  <c r="F262" i="6"/>
  <c r="G262" i="6" s="1"/>
  <c r="K262" i="6" s="1"/>
  <c r="F262" i="7"/>
  <c r="G262" i="7" s="1"/>
  <c r="K262" i="7" s="1"/>
  <c r="R299" i="1"/>
  <c r="E299" i="7" s="1"/>
  <c r="R129" i="1"/>
  <c r="S129" i="1" s="1"/>
  <c r="R199" i="1"/>
  <c r="S199" i="1" s="1"/>
  <c r="R345" i="1"/>
  <c r="R89" i="1"/>
  <c r="E173" i="6"/>
  <c r="S173" i="1"/>
  <c r="S59" i="1"/>
  <c r="E59" i="6"/>
  <c r="S327" i="1"/>
  <c r="E324" i="6"/>
  <c r="S295" i="1"/>
  <c r="E295" i="6"/>
  <c r="E174" i="6"/>
  <c r="S174" i="1"/>
  <c r="E195" i="6"/>
  <c r="S195" i="1"/>
  <c r="R184" i="1"/>
  <c r="E184" i="7" s="1"/>
  <c r="R178" i="1"/>
  <c r="E178" i="7" s="1"/>
  <c r="R185" i="1"/>
  <c r="E185" i="7" s="1"/>
  <c r="R368" i="1"/>
  <c r="E355" i="7" s="1"/>
  <c r="E292" i="6"/>
  <c r="S292" i="1"/>
  <c r="E101" i="6"/>
  <c r="S101" i="1"/>
  <c r="E180" i="6"/>
  <c r="S180" i="1"/>
  <c r="S191" i="1"/>
  <c r="E191" i="6"/>
  <c r="R168" i="1"/>
  <c r="E168" i="7" s="1"/>
  <c r="E108" i="6"/>
  <c r="S108" i="1"/>
  <c r="S171" i="1"/>
  <c r="E171" i="6"/>
  <c r="S183" i="1"/>
  <c r="E183" i="6"/>
  <c r="R340" i="1"/>
  <c r="E334" i="7" s="1"/>
  <c r="S84" i="1"/>
  <c r="E158" i="6"/>
  <c r="S158" i="1"/>
  <c r="S179" i="1"/>
  <c r="E179" i="6"/>
  <c r="R11" i="1"/>
  <c r="E11" i="7" s="1"/>
  <c r="E170" i="6"/>
  <c r="S170" i="1"/>
  <c r="E162" i="6"/>
  <c r="S162" i="1"/>
  <c r="E361" i="6"/>
  <c r="S370" i="1"/>
  <c r="R373" i="1"/>
  <c r="E360" i="7" s="1"/>
  <c r="E366" i="6"/>
  <c r="S375" i="1"/>
  <c r="E332" i="6"/>
  <c r="S335" i="1"/>
  <c r="S182" i="1"/>
  <c r="E182" i="6"/>
  <c r="S176" i="1"/>
  <c r="E176" i="6"/>
  <c r="E43" i="6"/>
  <c r="S308" i="1"/>
  <c r="E305" i="6"/>
  <c r="E327" i="6"/>
  <c r="S330" i="1"/>
  <c r="S234" i="1" l="1"/>
  <c r="S43" i="1"/>
  <c r="E84" i="6"/>
  <c r="F204" i="6"/>
  <c r="G204" i="6" s="1"/>
  <c r="K204" i="6" s="1"/>
  <c r="AW30" i="1"/>
  <c r="AT30" i="1"/>
  <c r="AW74" i="1"/>
  <c r="AT74" i="1"/>
  <c r="AT154" i="1"/>
  <c r="AW154" i="1"/>
  <c r="AT196" i="1"/>
  <c r="AW196" i="1"/>
  <c r="G172" i="6"/>
  <c r="K172" i="6" s="1"/>
  <c r="F313" i="6"/>
  <c r="F358" i="6"/>
  <c r="G358" i="6" s="1"/>
  <c r="K358" i="6" s="1"/>
  <c r="G356" i="6"/>
  <c r="K356" i="6" s="1"/>
  <c r="E234" i="6"/>
  <c r="E321" i="6"/>
  <c r="G363" i="6"/>
  <c r="K363" i="6" s="1"/>
  <c r="E167" i="6"/>
  <c r="S167" i="1"/>
  <c r="F167" i="6" s="1"/>
  <c r="F339" i="6"/>
  <c r="G339" i="6" s="1"/>
  <c r="K339" i="6" s="1"/>
  <c r="F194" i="6"/>
  <c r="G194" i="6" s="1"/>
  <c r="K194" i="6" s="1"/>
  <c r="F22" i="6"/>
  <c r="G22" i="6" s="1"/>
  <c r="K22" i="6" s="1"/>
  <c r="F140" i="6"/>
  <c r="G140" i="6" s="1"/>
  <c r="K140" i="6" s="1"/>
  <c r="R154" i="1"/>
  <c r="E154" i="7" s="1"/>
  <c r="F25" i="6"/>
  <c r="G25" i="6" s="1"/>
  <c r="K25" i="6" s="1"/>
  <c r="F169" i="6"/>
  <c r="G169" i="6" s="1"/>
  <c r="K169" i="6" s="1"/>
  <c r="E61" i="7"/>
  <c r="G61" i="7" s="1"/>
  <c r="K61" i="7" s="1"/>
  <c r="E61" i="6"/>
  <c r="F40" i="6"/>
  <c r="G40" i="6" s="1"/>
  <c r="K40" i="6" s="1"/>
  <c r="F61" i="6"/>
  <c r="G333" i="6"/>
  <c r="K333" i="6" s="1"/>
  <c r="S324" i="1"/>
  <c r="F320" i="7" s="1"/>
  <c r="G320" i="7" s="1"/>
  <c r="K320" i="7" s="1"/>
  <c r="F117" i="6"/>
  <c r="G117" i="6" s="1"/>
  <c r="K117" i="6" s="1"/>
  <c r="E69" i="6"/>
  <c r="R30" i="1"/>
  <c r="E30" i="7" s="1"/>
  <c r="S58" i="1"/>
  <c r="F58" i="7" s="1"/>
  <c r="G58" i="7" s="1"/>
  <c r="K58" i="7" s="1"/>
  <c r="F190" i="6"/>
  <c r="G190" i="6" s="1"/>
  <c r="K190" i="6" s="1"/>
  <c r="G313" i="6"/>
  <c r="K313" i="6" s="1"/>
  <c r="F332" i="7"/>
  <c r="G332" i="7" s="1"/>
  <c r="K332" i="7" s="1"/>
  <c r="S69" i="1"/>
  <c r="F69" i="6" s="1"/>
  <c r="R196" i="1"/>
  <c r="E196" i="7" s="1"/>
  <c r="E58" i="6"/>
  <c r="E145" i="6"/>
  <c r="S175" i="1"/>
  <c r="F175" i="6" s="1"/>
  <c r="S145" i="1"/>
  <c r="F145" i="6" s="1"/>
  <c r="E175" i="6"/>
  <c r="F141" i="7"/>
  <c r="G141" i="7" s="1"/>
  <c r="K141" i="7" s="1"/>
  <c r="F141" i="6"/>
  <c r="G141" i="6" s="1"/>
  <c r="K141" i="6" s="1"/>
  <c r="E364" i="7"/>
  <c r="S377" i="1"/>
  <c r="E368" i="6"/>
  <c r="AC383" i="8"/>
  <c r="X372" i="8"/>
  <c r="AA367" i="8"/>
  <c r="T374" i="8"/>
  <c r="AB372" i="8"/>
  <c r="T376" i="8"/>
  <c r="S11" i="8"/>
  <c r="S372" i="8" s="1"/>
  <c r="R372" i="8"/>
  <c r="AH366" i="8"/>
  <c r="F158" i="6"/>
  <c r="G158" i="6" s="1"/>
  <c r="K158" i="6" s="1"/>
  <c r="F158" i="7"/>
  <c r="G158" i="7" s="1"/>
  <c r="K158" i="7" s="1"/>
  <c r="F199" i="6"/>
  <c r="F199" i="7"/>
  <c r="F84" i="6"/>
  <c r="G84" i="6" s="1"/>
  <c r="K84" i="6" s="1"/>
  <c r="F84" i="7"/>
  <c r="G84" i="7" s="1"/>
  <c r="K84" i="7" s="1"/>
  <c r="F183" i="6"/>
  <c r="G183" i="6" s="1"/>
  <c r="K183" i="6" s="1"/>
  <c r="F183" i="7"/>
  <c r="G183" i="7" s="1"/>
  <c r="K183" i="7" s="1"/>
  <c r="F171" i="6"/>
  <c r="G171" i="6" s="1"/>
  <c r="K171" i="6" s="1"/>
  <c r="F171" i="7"/>
  <c r="G171" i="7" s="1"/>
  <c r="K171" i="7" s="1"/>
  <c r="F180" i="6"/>
  <c r="G180" i="6" s="1"/>
  <c r="K180" i="6" s="1"/>
  <c r="F180" i="7"/>
  <c r="G180" i="7" s="1"/>
  <c r="K180" i="7" s="1"/>
  <c r="F101" i="6"/>
  <c r="G101" i="6" s="1"/>
  <c r="K101" i="6" s="1"/>
  <c r="F101" i="7"/>
  <c r="G101" i="7" s="1"/>
  <c r="K101" i="7" s="1"/>
  <c r="F292" i="6"/>
  <c r="G292" i="6" s="1"/>
  <c r="K292" i="6" s="1"/>
  <c r="F292" i="7"/>
  <c r="G292" i="7" s="1"/>
  <c r="K292" i="7" s="1"/>
  <c r="F74" i="6"/>
  <c r="F74" i="7"/>
  <c r="F195" i="6"/>
  <c r="G195" i="6" s="1"/>
  <c r="K195" i="6" s="1"/>
  <c r="F195" i="7"/>
  <c r="G195" i="7" s="1"/>
  <c r="K195" i="7" s="1"/>
  <c r="F174" i="6"/>
  <c r="G174" i="6" s="1"/>
  <c r="K174" i="6" s="1"/>
  <c r="F174" i="7"/>
  <c r="G174" i="7" s="1"/>
  <c r="K174" i="7" s="1"/>
  <c r="F58" i="6"/>
  <c r="S345" i="1"/>
  <c r="E337" i="7"/>
  <c r="E199" i="6"/>
  <c r="E199" i="7"/>
  <c r="E129" i="6"/>
  <c r="E129" i="7"/>
  <c r="F305" i="6"/>
  <c r="G305" i="6" s="1"/>
  <c r="K305" i="6" s="1"/>
  <c r="F304" i="7"/>
  <c r="G304" i="7" s="1"/>
  <c r="K304" i="7" s="1"/>
  <c r="F43" i="6"/>
  <c r="G43" i="6" s="1"/>
  <c r="K43" i="6" s="1"/>
  <c r="F43" i="7"/>
  <c r="G43" i="7" s="1"/>
  <c r="K43" i="7" s="1"/>
  <c r="F176" i="6"/>
  <c r="G176" i="6" s="1"/>
  <c r="K176" i="6" s="1"/>
  <c r="F176" i="7"/>
  <c r="G176" i="7" s="1"/>
  <c r="K176" i="7" s="1"/>
  <c r="F182" i="6"/>
  <c r="G182" i="6" s="1"/>
  <c r="K182" i="6" s="1"/>
  <c r="F182" i="7"/>
  <c r="G182" i="7" s="1"/>
  <c r="K182" i="7" s="1"/>
  <c r="F361" i="6"/>
  <c r="G361" i="6" s="1"/>
  <c r="K361" i="6" s="1"/>
  <c r="F357" i="7"/>
  <c r="G357" i="7" s="1"/>
  <c r="K357" i="7" s="1"/>
  <c r="F162" i="6"/>
  <c r="G162" i="6" s="1"/>
  <c r="K162" i="6" s="1"/>
  <c r="F162" i="7"/>
  <c r="G162" i="7" s="1"/>
  <c r="K162" i="7" s="1"/>
  <c r="F170" i="6"/>
  <c r="G170" i="6" s="1"/>
  <c r="K170" i="6" s="1"/>
  <c r="F170" i="7"/>
  <c r="G170" i="7" s="1"/>
  <c r="K170" i="7" s="1"/>
  <c r="F327" i="6"/>
  <c r="G327" i="6" s="1"/>
  <c r="K327" i="6" s="1"/>
  <c r="F326" i="7"/>
  <c r="G326" i="7" s="1"/>
  <c r="K326" i="7" s="1"/>
  <c r="F332" i="6"/>
  <c r="G332" i="6" s="1"/>
  <c r="K332" i="6" s="1"/>
  <c r="F331" i="7"/>
  <c r="G331" i="7" s="1"/>
  <c r="K331" i="7" s="1"/>
  <c r="F366" i="6"/>
  <c r="G366" i="6" s="1"/>
  <c r="K366" i="6" s="1"/>
  <c r="F362" i="7"/>
  <c r="G362" i="7" s="1"/>
  <c r="K362" i="7" s="1"/>
  <c r="F179" i="6"/>
  <c r="G179" i="6" s="1"/>
  <c r="K179" i="6" s="1"/>
  <c r="F179" i="7"/>
  <c r="G179" i="7" s="1"/>
  <c r="K179" i="7" s="1"/>
  <c r="F129" i="6"/>
  <c r="F129" i="7"/>
  <c r="F234" i="6"/>
  <c r="F234" i="7"/>
  <c r="G234" i="7" s="1"/>
  <c r="K234" i="7" s="1"/>
  <c r="F108" i="6"/>
  <c r="G108" i="6" s="1"/>
  <c r="K108" i="6" s="1"/>
  <c r="F108" i="7"/>
  <c r="G108" i="7" s="1"/>
  <c r="K108" i="7" s="1"/>
  <c r="F191" i="6"/>
  <c r="G191" i="6" s="1"/>
  <c r="K191" i="6" s="1"/>
  <c r="F191" i="7"/>
  <c r="G191" i="7" s="1"/>
  <c r="K191" i="7" s="1"/>
  <c r="F295" i="6"/>
  <c r="G295" i="6" s="1"/>
  <c r="K295" i="6" s="1"/>
  <c r="F295" i="7"/>
  <c r="G295" i="7" s="1"/>
  <c r="K295" i="7" s="1"/>
  <c r="F324" i="6"/>
  <c r="G324" i="6" s="1"/>
  <c r="K324" i="6" s="1"/>
  <c r="F323" i="7"/>
  <c r="G323" i="7" s="1"/>
  <c r="K323" i="7" s="1"/>
  <c r="F59" i="6"/>
  <c r="G59" i="6" s="1"/>
  <c r="K59" i="6" s="1"/>
  <c r="F59" i="7"/>
  <c r="G59" i="7" s="1"/>
  <c r="K59" i="7" s="1"/>
  <c r="F173" i="6"/>
  <c r="G173" i="6" s="1"/>
  <c r="K173" i="6" s="1"/>
  <c r="F173" i="7"/>
  <c r="G173" i="7" s="1"/>
  <c r="K173" i="7" s="1"/>
  <c r="S89" i="1"/>
  <c r="F89" i="7" s="1"/>
  <c r="E89" i="7"/>
  <c r="E74" i="6"/>
  <c r="E74" i="7"/>
  <c r="G172" i="7"/>
  <c r="K172" i="7" s="1"/>
  <c r="E340" i="6"/>
  <c r="S299" i="1"/>
  <c r="E299" i="6"/>
  <c r="S178" i="1"/>
  <c r="E178" i="6"/>
  <c r="S185" i="1"/>
  <c r="E185" i="6"/>
  <c r="S184" i="1"/>
  <c r="E184" i="6"/>
  <c r="E364" i="6"/>
  <c r="S373" i="1"/>
  <c r="E336" i="6"/>
  <c r="S340" i="1"/>
  <c r="E89" i="6"/>
  <c r="E168" i="6"/>
  <c r="S168" i="1"/>
  <c r="E11" i="6"/>
  <c r="S11" i="1"/>
  <c r="F11" i="7" s="1"/>
  <c r="S368" i="1"/>
  <c r="E359" i="6"/>
  <c r="G234" i="6" l="1"/>
  <c r="K234" i="6" s="1"/>
  <c r="F167" i="7"/>
  <c r="G167" i="7" s="1"/>
  <c r="K167" i="7" s="1"/>
  <c r="S154" i="1"/>
  <c r="F154" i="6" s="1"/>
  <c r="F321" i="6"/>
  <c r="G321" i="6" s="1"/>
  <c r="K321" i="6" s="1"/>
  <c r="G167" i="6"/>
  <c r="K167" i="6" s="1"/>
  <c r="E196" i="6"/>
  <c r="G58" i="6"/>
  <c r="K58" i="6" s="1"/>
  <c r="F69" i="7"/>
  <c r="G69" i="7" s="1"/>
  <c r="K69" i="7" s="1"/>
  <c r="F175" i="7"/>
  <c r="G175" i="7" s="1"/>
  <c r="K175" i="7" s="1"/>
  <c r="E154" i="6"/>
  <c r="G199" i="6"/>
  <c r="K199" i="6" s="1"/>
  <c r="G175" i="6"/>
  <c r="K175" i="6" s="1"/>
  <c r="G61" i="6"/>
  <c r="K61" i="6" s="1"/>
  <c r="F145" i="7"/>
  <c r="G145" i="7" s="1"/>
  <c r="K145" i="7" s="1"/>
  <c r="S30" i="1"/>
  <c r="F30" i="7" s="1"/>
  <c r="G30" i="7" s="1"/>
  <c r="K30" i="7" s="1"/>
  <c r="G145" i="6"/>
  <c r="K145" i="6" s="1"/>
  <c r="G69" i="6"/>
  <c r="K69" i="6" s="1"/>
  <c r="E30" i="6"/>
  <c r="S196" i="1"/>
  <c r="F196" i="7" s="1"/>
  <c r="G196" i="7" s="1"/>
  <c r="K196" i="7" s="1"/>
  <c r="G74" i="7"/>
  <c r="K74" i="7" s="1"/>
  <c r="G199" i="7"/>
  <c r="K199" i="7" s="1"/>
  <c r="G74" i="6"/>
  <c r="K74" i="6" s="1"/>
  <c r="F364" i="7"/>
  <c r="G364" i="7" s="1"/>
  <c r="K364" i="7" s="1"/>
  <c r="F368" i="6"/>
  <c r="G368" i="6" s="1"/>
  <c r="K368" i="6" s="1"/>
  <c r="G129" i="6"/>
  <c r="K129" i="6" s="1"/>
  <c r="F89" i="6"/>
  <c r="G89" i="6" s="1"/>
  <c r="K89" i="6" s="1"/>
  <c r="G89" i="7"/>
  <c r="K89" i="7" s="1"/>
  <c r="W372" i="8"/>
  <c r="F168" i="6"/>
  <c r="G168" i="6" s="1"/>
  <c r="K168" i="6" s="1"/>
  <c r="F168" i="7"/>
  <c r="G168" i="7" s="1"/>
  <c r="K168" i="7" s="1"/>
  <c r="F336" i="6"/>
  <c r="G336" i="6" s="1"/>
  <c r="K336" i="6" s="1"/>
  <c r="F334" i="7"/>
  <c r="G334" i="7" s="1"/>
  <c r="K334" i="7" s="1"/>
  <c r="F364" i="6"/>
  <c r="G364" i="6" s="1"/>
  <c r="K364" i="6" s="1"/>
  <c r="F360" i="7"/>
  <c r="G360" i="7" s="1"/>
  <c r="K360" i="7" s="1"/>
  <c r="F178" i="6"/>
  <c r="G178" i="6" s="1"/>
  <c r="K178" i="6" s="1"/>
  <c r="F178" i="7"/>
  <c r="G178" i="7" s="1"/>
  <c r="K178" i="7" s="1"/>
  <c r="F340" i="6"/>
  <c r="G340" i="6" s="1"/>
  <c r="K340" i="6" s="1"/>
  <c r="F337" i="7"/>
  <c r="G11" i="7"/>
  <c r="F359" i="6"/>
  <c r="G359" i="6" s="1"/>
  <c r="K359" i="6" s="1"/>
  <c r="F355" i="7"/>
  <c r="G355" i="7" s="1"/>
  <c r="K355" i="7" s="1"/>
  <c r="F184" i="6"/>
  <c r="G184" i="6" s="1"/>
  <c r="K184" i="6" s="1"/>
  <c r="F184" i="7"/>
  <c r="G184" i="7" s="1"/>
  <c r="K184" i="7" s="1"/>
  <c r="F185" i="6"/>
  <c r="G185" i="6" s="1"/>
  <c r="K185" i="6" s="1"/>
  <c r="F185" i="7"/>
  <c r="G185" i="7" s="1"/>
  <c r="K185" i="7" s="1"/>
  <c r="F299" i="6"/>
  <c r="G299" i="6" s="1"/>
  <c r="K299" i="6" s="1"/>
  <c r="F299" i="7"/>
  <c r="G299" i="7" s="1"/>
  <c r="K299" i="7" s="1"/>
  <c r="G129" i="7"/>
  <c r="K129" i="7" s="1"/>
  <c r="G337" i="7"/>
  <c r="K337" i="7" s="1"/>
  <c r="F11" i="6"/>
  <c r="G11" i="6" s="1"/>
  <c r="K11" i="6" s="1"/>
  <c r="F154" i="7" l="1"/>
  <c r="G154" i="7" s="1"/>
  <c r="K154" i="7" s="1"/>
  <c r="F196" i="6"/>
  <c r="F30" i="6"/>
  <c r="G196" i="6"/>
  <c r="K196" i="6" s="1"/>
  <c r="G154" i="6"/>
  <c r="K154" i="6" s="1"/>
  <c r="K11" i="7"/>
  <c r="G30" i="6"/>
  <c r="K30" i="6" s="1"/>
  <c r="AK224" i="1" l="1"/>
  <c r="AS224" i="1"/>
  <c r="Y224" i="1"/>
  <c r="AS212" i="1"/>
  <c r="AK212" i="1"/>
  <c r="Y212" i="1"/>
  <c r="AS225" i="1"/>
  <c r="AK244" i="1"/>
  <c r="AS244" i="1"/>
  <c r="Y244" i="1"/>
  <c r="AS290" i="1"/>
  <c r="Y290" i="1"/>
  <c r="AK286" i="1"/>
  <c r="AS286" i="1"/>
  <c r="Y286" i="1"/>
  <c r="AK282" i="1"/>
  <c r="AS282" i="1"/>
  <c r="Y282" i="1"/>
  <c r="AK278" i="1"/>
  <c r="AS278" i="1"/>
  <c r="Y278" i="1"/>
  <c r="AK274" i="1"/>
  <c r="AS274" i="1"/>
  <c r="AT274" i="1"/>
  <c r="AW274" i="1"/>
  <c r="AK270" i="1"/>
  <c r="AS270" i="1"/>
  <c r="Y270" i="1"/>
  <c r="AK266" i="1"/>
  <c r="AS266" i="1"/>
  <c r="Y266" i="1"/>
  <c r="AK261" i="1"/>
  <c r="AS261" i="1"/>
  <c r="Y261" i="1"/>
  <c r="AK257" i="1"/>
  <c r="AS257" i="1"/>
  <c r="Y257" i="1"/>
  <c r="AK252" i="1"/>
  <c r="AS252" i="1"/>
  <c r="AW252" i="1"/>
  <c r="AT252" i="1"/>
  <c r="AK247" i="1"/>
  <c r="AS247" i="1"/>
  <c r="Y247" i="1"/>
  <c r="AK218" i="1"/>
  <c r="AS218" i="1"/>
  <c r="Y218" i="1"/>
  <c r="AS234" i="1"/>
  <c r="AW234" i="1"/>
  <c r="AT234" i="1"/>
  <c r="AS293" i="1"/>
  <c r="AT293" i="1"/>
  <c r="AW293" i="1"/>
  <c r="AS289" i="1"/>
  <c r="Y289" i="1"/>
  <c r="AK285" i="1"/>
  <c r="AS285" i="1"/>
  <c r="AW285" i="1"/>
  <c r="AT285" i="1"/>
  <c r="AK281" i="1"/>
  <c r="AS281" i="1"/>
  <c r="Y281" i="1"/>
  <c r="AK277" i="1"/>
  <c r="AS277" i="1"/>
  <c r="Y277" i="1"/>
  <c r="AK273" i="1"/>
  <c r="AS273" i="1"/>
  <c r="Y273" i="1"/>
  <c r="AK269" i="1"/>
  <c r="AS269" i="1"/>
  <c r="Y269" i="1"/>
  <c r="AK265" i="1"/>
  <c r="AS265" i="1"/>
  <c r="Y265" i="1"/>
  <c r="AK260" i="1"/>
  <c r="AS260" i="1"/>
  <c r="AW260" i="1"/>
  <c r="AT260" i="1"/>
  <c r="AK256" i="1"/>
  <c r="AS256" i="1"/>
  <c r="Y256" i="1"/>
  <c r="AK251" i="1"/>
  <c r="AS251" i="1"/>
  <c r="AW251" i="1"/>
  <c r="AT251" i="1"/>
  <c r="AK246" i="1"/>
  <c r="AS246" i="1"/>
  <c r="Y246" i="1"/>
  <c r="AS292" i="1"/>
  <c r="AW292" i="1"/>
  <c r="AT292" i="1"/>
  <c r="AS288" i="1"/>
  <c r="Y288" i="1"/>
  <c r="AK284" i="1"/>
  <c r="AS284" i="1"/>
  <c r="Y284" i="1"/>
  <c r="AK280" i="1"/>
  <c r="AS280" i="1"/>
  <c r="Y280" i="1"/>
  <c r="AK276" i="1"/>
  <c r="AS276" i="1"/>
  <c r="Y276" i="1"/>
  <c r="AK272" i="1"/>
  <c r="AS272" i="1"/>
  <c r="AT272" i="1"/>
  <c r="AW272" i="1"/>
  <c r="AK268" i="1"/>
  <c r="AS268" i="1"/>
  <c r="Y268" i="1"/>
  <c r="AK264" i="1"/>
  <c r="AS264" i="1"/>
  <c r="Y264" i="1"/>
  <c r="AK259" i="1"/>
  <c r="AS259" i="1"/>
  <c r="Y259" i="1"/>
  <c r="AK254" i="1"/>
  <c r="AS254" i="1"/>
  <c r="Y254" i="1"/>
  <c r="AK250" i="1"/>
  <c r="AS250" i="1"/>
  <c r="Y250" i="1"/>
  <c r="AK245" i="1"/>
  <c r="AS245" i="1"/>
  <c r="Y245" i="1"/>
  <c r="AK243" i="1"/>
  <c r="AS243" i="1"/>
  <c r="Y243" i="1"/>
  <c r="AS291" i="1"/>
  <c r="AT291" i="1"/>
  <c r="AW291" i="1"/>
  <c r="AK287" i="1"/>
  <c r="AS287" i="1"/>
  <c r="AT287" i="1"/>
  <c r="AW287" i="1"/>
  <c r="AK283" i="1"/>
  <c r="AS283" i="1"/>
  <c r="Y283" i="1"/>
  <c r="AK279" i="1"/>
  <c r="AS279" i="1"/>
  <c r="Y279" i="1"/>
  <c r="AK275" i="1"/>
  <c r="AS275" i="1"/>
  <c r="Y275" i="1"/>
  <c r="AK271" i="1"/>
  <c r="AS271" i="1"/>
  <c r="Y271" i="1"/>
  <c r="AK267" i="1"/>
  <c r="AS267" i="1"/>
  <c r="Y267" i="1"/>
  <c r="AK263" i="1"/>
  <c r="AS263" i="1"/>
  <c r="Y263" i="1"/>
  <c r="AK258" i="1"/>
  <c r="AS258" i="1"/>
  <c r="Y258" i="1"/>
  <c r="AK253" i="1"/>
  <c r="AS253" i="1"/>
  <c r="Y253" i="1"/>
  <c r="AK249" i="1"/>
  <c r="AS249" i="1"/>
  <c r="Y249" i="1"/>
  <c r="AK248" i="1"/>
  <c r="AS248" i="1"/>
  <c r="Y248" i="1"/>
  <c r="AQ243" i="1" l="1"/>
  <c r="T243" i="1"/>
  <c r="Z243" i="1"/>
  <c r="AQ245" i="1"/>
  <c r="Z245" i="1"/>
  <c r="T245" i="1"/>
  <c r="AQ250" i="1"/>
  <c r="T250" i="1"/>
  <c r="Z250" i="1"/>
  <c r="W379" i="1"/>
  <c r="Y255" i="1"/>
  <c r="AK255" i="1"/>
  <c r="AS255" i="1"/>
  <c r="AQ218" i="1"/>
  <c r="Z218" i="1"/>
  <c r="T218" i="1"/>
  <c r="AQ247" i="1"/>
  <c r="T247" i="1"/>
  <c r="Z247" i="1"/>
  <c r="AQ257" i="1"/>
  <c r="T257" i="1"/>
  <c r="Z257" i="1"/>
  <c r="AQ261" i="1"/>
  <c r="T261" i="1"/>
  <c r="Z261" i="1"/>
  <c r="AQ266" i="1"/>
  <c r="T266" i="1"/>
  <c r="Z266" i="1"/>
  <c r="AQ270" i="1"/>
  <c r="T270" i="1"/>
  <c r="Z270" i="1"/>
  <c r="T278" i="1"/>
  <c r="AQ278" i="1"/>
  <c r="Z278" i="1"/>
  <c r="AQ282" i="1"/>
  <c r="Z282" i="1"/>
  <c r="T282" i="1"/>
  <c r="AQ286" i="1"/>
  <c r="Z286" i="1"/>
  <c r="T286" i="1"/>
  <c r="AQ290" i="1"/>
  <c r="T290" i="1"/>
  <c r="Z290" i="1"/>
  <c r="AD197" i="1"/>
  <c r="AD260" i="1"/>
  <c r="AD262" i="1"/>
  <c r="AD299" i="1"/>
  <c r="AQ248" i="1"/>
  <c r="T248" i="1"/>
  <c r="Z248" i="1"/>
  <c r="AQ249" i="1"/>
  <c r="Z249" i="1"/>
  <c r="T249" i="1"/>
  <c r="AQ253" i="1"/>
  <c r="Z253" i="1"/>
  <c r="T253" i="1"/>
  <c r="AQ258" i="1"/>
  <c r="T258" i="1"/>
  <c r="Z258" i="1"/>
  <c r="AQ263" i="1"/>
  <c r="Z263" i="1"/>
  <c r="T263" i="1"/>
  <c r="AQ267" i="1"/>
  <c r="Z267" i="1"/>
  <c r="T267" i="1"/>
  <c r="AQ271" i="1"/>
  <c r="Z271" i="1"/>
  <c r="T271" i="1"/>
  <c r="AQ275" i="1"/>
  <c r="T275" i="1"/>
  <c r="Z275" i="1"/>
  <c r="AQ279" i="1"/>
  <c r="Z279" i="1"/>
  <c r="T279" i="1"/>
  <c r="AQ283" i="1"/>
  <c r="Z283" i="1"/>
  <c r="T283" i="1"/>
  <c r="AQ254" i="1"/>
  <c r="Z254" i="1"/>
  <c r="T254" i="1"/>
  <c r="AQ259" i="1"/>
  <c r="T259" i="1"/>
  <c r="Z259" i="1"/>
  <c r="T264" i="1"/>
  <c r="AQ264" i="1"/>
  <c r="Z264" i="1"/>
  <c r="AQ268" i="1"/>
  <c r="Z268" i="1"/>
  <c r="T268" i="1"/>
  <c r="AQ276" i="1"/>
  <c r="Z276" i="1"/>
  <c r="T276" i="1"/>
  <c r="AQ280" i="1"/>
  <c r="T280" i="1"/>
  <c r="Z280" i="1"/>
  <c r="AQ284" i="1"/>
  <c r="Z284" i="1"/>
  <c r="T284" i="1"/>
  <c r="AQ288" i="1"/>
  <c r="T288" i="1"/>
  <c r="Z288" i="1"/>
  <c r="AQ246" i="1"/>
  <c r="T246" i="1"/>
  <c r="Z246" i="1"/>
  <c r="AQ256" i="1"/>
  <c r="T256" i="1"/>
  <c r="Z256" i="1"/>
  <c r="AQ265" i="1"/>
  <c r="Z265" i="1"/>
  <c r="T265" i="1"/>
  <c r="AQ269" i="1"/>
  <c r="T269" i="1"/>
  <c r="Z269" i="1"/>
  <c r="AQ273" i="1"/>
  <c r="Z273" i="1"/>
  <c r="T273" i="1"/>
  <c r="AQ277" i="1"/>
  <c r="T277" i="1"/>
  <c r="Z277" i="1"/>
  <c r="AQ281" i="1"/>
  <c r="Z281" i="1"/>
  <c r="T281" i="1"/>
  <c r="Z289" i="1"/>
  <c r="AQ289" i="1"/>
  <c r="T289" i="1"/>
  <c r="AQ244" i="1"/>
  <c r="T244" i="1"/>
  <c r="Z244" i="1"/>
  <c r="AQ212" i="1"/>
  <c r="Z212" i="1"/>
  <c r="T212" i="1"/>
  <c r="Y225" i="1"/>
  <c r="T224" i="1"/>
  <c r="AQ224" i="1"/>
  <c r="Z224" i="1"/>
  <c r="AQ225" i="1" l="1"/>
  <c r="T225" i="1"/>
  <c r="Z225" i="1"/>
  <c r="AD212" i="1"/>
  <c r="R212" i="1"/>
  <c r="V212" i="1"/>
  <c r="AW212" i="1"/>
  <c r="AT212" i="1"/>
  <c r="AD244" i="1"/>
  <c r="AW244" i="1"/>
  <c r="V244" i="1"/>
  <c r="R244" i="1"/>
  <c r="AT244" i="1"/>
  <c r="AD289" i="1"/>
  <c r="V289" i="1"/>
  <c r="R289" i="1"/>
  <c r="AW289" i="1"/>
  <c r="AT289" i="1"/>
  <c r="AD246" i="1"/>
  <c r="R246" i="1"/>
  <c r="AW246" i="1"/>
  <c r="V246" i="1"/>
  <c r="AT246" i="1"/>
  <c r="AD268" i="1"/>
  <c r="AW268" i="1"/>
  <c r="V268" i="1"/>
  <c r="R268" i="1"/>
  <c r="AT268" i="1"/>
  <c r="AD283" i="1"/>
  <c r="AW283" i="1"/>
  <c r="R283" i="1"/>
  <c r="V283" i="1"/>
  <c r="AT283" i="1"/>
  <c r="AD267" i="1"/>
  <c r="AW267" i="1"/>
  <c r="V267" i="1"/>
  <c r="R267" i="1"/>
  <c r="AT267" i="1"/>
  <c r="AD249" i="1"/>
  <c r="AW249" i="1"/>
  <c r="V249" i="1"/>
  <c r="R249" i="1"/>
  <c r="AT249" i="1"/>
  <c r="AD248" i="1"/>
  <c r="AW248" i="1"/>
  <c r="R248" i="1"/>
  <c r="V248" i="1"/>
  <c r="AT248" i="1"/>
  <c r="AD377" i="1"/>
  <c r="V377" i="1"/>
  <c r="V376" i="1"/>
  <c r="AD376" i="1"/>
  <c r="V375" i="1"/>
  <c r="AD375" i="1"/>
  <c r="V373" i="1"/>
  <c r="AD373" i="1"/>
  <c r="AD372" i="1"/>
  <c r="V372" i="1"/>
  <c r="AD370" i="1"/>
  <c r="V370" i="1"/>
  <c r="AD356" i="1"/>
  <c r="V356" i="1"/>
  <c r="AD354" i="1"/>
  <c r="V354" i="1"/>
  <c r="AD353" i="1"/>
  <c r="V353" i="1"/>
  <c r="AD352" i="1"/>
  <c r="V352" i="1"/>
  <c r="AD340" i="1"/>
  <c r="V340" i="1"/>
  <c r="AD336" i="1"/>
  <c r="V336" i="1"/>
  <c r="AD335" i="1"/>
  <c r="V335" i="1"/>
  <c r="AD330" i="1"/>
  <c r="V330" i="1"/>
  <c r="AD327" i="1"/>
  <c r="V327" i="1"/>
  <c r="AD324" i="1"/>
  <c r="V324" i="1"/>
  <c r="AD316" i="1"/>
  <c r="V316" i="1"/>
  <c r="AD308" i="1"/>
  <c r="V308" i="1"/>
  <c r="AD295" i="1"/>
  <c r="V295" i="1"/>
  <c r="V293" i="1"/>
  <c r="AD293" i="1"/>
  <c r="AD292" i="1"/>
  <c r="V292" i="1"/>
  <c r="AD291" i="1"/>
  <c r="V291" i="1"/>
  <c r="AD287" i="1"/>
  <c r="V287" i="1"/>
  <c r="AD285" i="1"/>
  <c r="V285" i="1"/>
  <c r="V274" i="1"/>
  <c r="AD274" i="1"/>
  <c r="AD272" i="1"/>
  <c r="V272" i="1"/>
  <c r="AD252" i="1"/>
  <c r="V252" i="1"/>
  <c r="AD251" i="1"/>
  <c r="V251" i="1"/>
  <c r="AD234" i="1"/>
  <c r="V234" i="1"/>
  <c r="AD204" i="1"/>
  <c r="V204" i="1"/>
  <c r="AD196" i="1"/>
  <c r="V196" i="1"/>
  <c r="AD194" i="1"/>
  <c r="V194" i="1"/>
  <c r="V192" i="1"/>
  <c r="AD192" i="1"/>
  <c r="AD190" i="1"/>
  <c r="V190" i="1"/>
  <c r="AD185" i="1"/>
  <c r="V185" i="1"/>
  <c r="AD183" i="1"/>
  <c r="V183" i="1"/>
  <c r="V180" i="1"/>
  <c r="AD180" i="1"/>
  <c r="AD178" i="1"/>
  <c r="V178" i="1"/>
  <c r="AD176" i="1"/>
  <c r="V176" i="1"/>
  <c r="AD174" i="1"/>
  <c r="V174" i="1"/>
  <c r="AD171" i="1"/>
  <c r="V171" i="1"/>
  <c r="AD170" i="1"/>
  <c r="V170" i="1"/>
  <c r="AD167" i="1"/>
  <c r="V167" i="1"/>
  <c r="AD166" i="1"/>
  <c r="V166" i="1"/>
  <c r="AD158" i="1"/>
  <c r="V158" i="1"/>
  <c r="AD140" i="1"/>
  <c r="V140" i="1"/>
  <c r="AD129" i="1"/>
  <c r="V129" i="1"/>
  <c r="AD120" i="1"/>
  <c r="V120" i="1"/>
  <c r="V117" i="1"/>
  <c r="AD117" i="1"/>
  <c r="AD101" i="1"/>
  <c r="V101" i="1"/>
  <c r="AD68" i="1"/>
  <c r="V68" i="1"/>
  <c r="V66" i="1"/>
  <c r="AD66" i="1"/>
  <c r="AD62" i="1"/>
  <c r="V62" i="1"/>
  <c r="AD59" i="1"/>
  <c r="V59" i="1"/>
  <c r="AD56" i="1"/>
  <c r="V56" i="1"/>
  <c r="AD43" i="1"/>
  <c r="V43" i="1"/>
  <c r="AD35" i="1"/>
  <c r="V35" i="1"/>
  <c r="AD28" i="1"/>
  <c r="V28" i="1"/>
  <c r="AD25" i="1"/>
  <c r="V25" i="1"/>
  <c r="V20" i="1"/>
  <c r="AD20" i="1"/>
  <c r="AD11" i="1"/>
  <c r="V11" i="1"/>
  <c r="V8" i="1"/>
  <c r="AD8" i="1"/>
  <c r="AD282" i="1"/>
  <c r="AW282" i="1"/>
  <c r="V282" i="1"/>
  <c r="R282" i="1"/>
  <c r="AT282" i="1"/>
  <c r="AD266" i="1"/>
  <c r="AW266" i="1"/>
  <c r="R266" i="1"/>
  <c r="V266" i="1"/>
  <c r="AT266" i="1"/>
  <c r="AD257" i="1"/>
  <c r="AW257" i="1"/>
  <c r="R257" i="1"/>
  <c r="V257" i="1"/>
  <c r="AT257" i="1"/>
  <c r="AD250" i="1"/>
  <c r="AW250" i="1"/>
  <c r="R250" i="1"/>
  <c r="V250" i="1"/>
  <c r="AT250" i="1"/>
  <c r="AD245" i="1"/>
  <c r="AW245" i="1"/>
  <c r="V245" i="1"/>
  <c r="R245" i="1"/>
  <c r="AT245" i="1"/>
  <c r="AD243" i="1"/>
  <c r="AW243" i="1"/>
  <c r="V243" i="1"/>
  <c r="R243" i="1"/>
  <c r="AT243" i="1"/>
  <c r="V199" i="1"/>
  <c r="AD199" i="1"/>
  <c r="AD195" i="1"/>
  <c r="V195" i="1"/>
  <c r="AD193" i="1"/>
  <c r="V193" i="1"/>
  <c r="AD191" i="1"/>
  <c r="V191" i="1"/>
  <c r="V189" i="1"/>
  <c r="AD189" i="1"/>
  <c r="AD184" i="1"/>
  <c r="V184" i="1"/>
  <c r="AD182" i="1"/>
  <c r="V182" i="1"/>
  <c r="AD181" i="1"/>
  <c r="V181" i="1"/>
  <c r="AD179" i="1"/>
  <c r="V179" i="1"/>
  <c r="AD177" i="1"/>
  <c r="V177" i="1"/>
  <c r="V175" i="1"/>
  <c r="AD175" i="1"/>
  <c r="V173" i="1"/>
  <c r="AD173" i="1"/>
  <c r="AD172" i="1"/>
  <c r="V172" i="1"/>
  <c r="AD169" i="1"/>
  <c r="V169" i="1"/>
  <c r="V168" i="1"/>
  <c r="AD168" i="1"/>
  <c r="V162" i="1"/>
  <c r="AD162" i="1"/>
  <c r="AD154" i="1"/>
  <c r="V154" i="1"/>
  <c r="AD145" i="1"/>
  <c r="V145" i="1"/>
  <c r="AD141" i="1"/>
  <c r="V141" i="1"/>
  <c r="AD133" i="1"/>
  <c r="V133" i="1"/>
  <c r="AD130" i="1"/>
  <c r="V130" i="1"/>
  <c r="AD124" i="1"/>
  <c r="V124" i="1"/>
  <c r="AD108" i="1"/>
  <c r="V108" i="1"/>
  <c r="AD103" i="1"/>
  <c r="V103" i="1"/>
  <c r="AD99" i="1"/>
  <c r="V99" i="1"/>
  <c r="AD89" i="1"/>
  <c r="V89" i="1"/>
  <c r="AD84" i="1"/>
  <c r="V84" i="1"/>
  <c r="AD74" i="1"/>
  <c r="V74" i="1"/>
  <c r="AD69" i="1"/>
  <c r="V69" i="1"/>
  <c r="AD67" i="1"/>
  <c r="V67" i="1"/>
  <c r="AD65" i="1"/>
  <c r="V65" i="1"/>
  <c r="AD61" i="1"/>
  <c r="V61" i="1"/>
  <c r="V58" i="1"/>
  <c r="AD58" i="1"/>
  <c r="AD52" i="1"/>
  <c r="V52" i="1"/>
  <c r="AD40" i="1"/>
  <c r="V40" i="1"/>
  <c r="AD31" i="1"/>
  <c r="V31" i="1"/>
  <c r="AD30" i="1"/>
  <c r="V30" i="1"/>
  <c r="V22" i="1"/>
  <c r="AD22" i="1"/>
  <c r="AD9" i="1"/>
  <c r="V9" i="1"/>
  <c r="AD224" i="1"/>
  <c r="AW224" i="1"/>
  <c r="R224" i="1"/>
  <c r="V224" i="1"/>
  <c r="AT224" i="1"/>
  <c r="Y381" i="1"/>
  <c r="AD281" i="1"/>
  <c r="AW281" i="1"/>
  <c r="V281" i="1"/>
  <c r="R281" i="1"/>
  <c r="AT281" i="1"/>
  <c r="AD277" i="1"/>
  <c r="AW277" i="1"/>
  <c r="R277" i="1"/>
  <c r="V277" i="1"/>
  <c r="AT277" i="1"/>
  <c r="AD273" i="1"/>
  <c r="AW273" i="1"/>
  <c r="V273" i="1"/>
  <c r="R273" i="1"/>
  <c r="AT273" i="1"/>
  <c r="AD269" i="1"/>
  <c r="AW269" i="1"/>
  <c r="V269" i="1"/>
  <c r="R269" i="1"/>
  <c r="AT269" i="1"/>
  <c r="AD265" i="1"/>
  <c r="AW265" i="1"/>
  <c r="R265" i="1"/>
  <c r="V265" i="1"/>
  <c r="AT265" i="1"/>
  <c r="AD256" i="1"/>
  <c r="V256" i="1"/>
  <c r="AW256" i="1"/>
  <c r="R256" i="1"/>
  <c r="AT256" i="1"/>
  <c r="AD288" i="1"/>
  <c r="V288" i="1"/>
  <c r="AW288" i="1"/>
  <c r="R288" i="1"/>
  <c r="AT288" i="1"/>
  <c r="AD284" i="1"/>
  <c r="AW284" i="1"/>
  <c r="R284" i="1"/>
  <c r="V284" i="1"/>
  <c r="AT284" i="1"/>
  <c r="AD280" i="1"/>
  <c r="AW280" i="1"/>
  <c r="V280" i="1"/>
  <c r="R280" i="1"/>
  <c r="AT280" i="1"/>
  <c r="AD276" i="1"/>
  <c r="AW276" i="1"/>
  <c r="R276" i="1"/>
  <c r="V276" i="1"/>
  <c r="AT276" i="1"/>
  <c r="AD264" i="1"/>
  <c r="V264" i="1"/>
  <c r="AW264" i="1"/>
  <c r="R264" i="1"/>
  <c r="AT264" i="1"/>
  <c r="AD259" i="1"/>
  <c r="AW259" i="1"/>
  <c r="R259" i="1"/>
  <c r="V259" i="1"/>
  <c r="AT259" i="1"/>
  <c r="AD254" i="1"/>
  <c r="V254" i="1"/>
  <c r="R254" i="1"/>
  <c r="AW254" i="1"/>
  <c r="AT254" i="1"/>
  <c r="AD279" i="1"/>
  <c r="AW279" i="1"/>
  <c r="V279" i="1"/>
  <c r="R279" i="1"/>
  <c r="AT279" i="1"/>
  <c r="AD275" i="1"/>
  <c r="AW275" i="1"/>
  <c r="R275" i="1"/>
  <c r="V275" i="1"/>
  <c r="AT275" i="1"/>
  <c r="AD271" i="1"/>
  <c r="V271" i="1"/>
  <c r="R271" i="1"/>
  <c r="AW271" i="1"/>
  <c r="AT271" i="1"/>
  <c r="AD263" i="1"/>
  <c r="AW263" i="1"/>
  <c r="R263" i="1"/>
  <c r="V263" i="1"/>
  <c r="AT263" i="1"/>
  <c r="AD258" i="1"/>
  <c r="V258" i="1"/>
  <c r="R258" i="1"/>
  <c r="AW258" i="1"/>
  <c r="AT258" i="1"/>
  <c r="AD253" i="1"/>
  <c r="AW253" i="1"/>
  <c r="V253" i="1"/>
  <c r="R253" i="1"/>
  <c r="AT253" i="1"/>
  <c r="AD290" i="1"/>
  <c r="V290" i="1"/>
  <c r="AW290" i="1"/>
  <c r="R290" i="1"/>
  <c r="AT290" i="1"/>
  <c r="AD286" i="1"/>
  <c r="V286" i="1"/>
  <c r="AW286" i="1"/>
  <c r="R286" i="1"/>
  <c r="AT286" i="1"/>
  <c r="AD278" i="1"/>
  <c r="R278" i="1"/>
  <c r="AW278" i="1"/>
  <c r="V278" i="1"/>
  <c r="AT278" i="1"/>
  <c r="AD270" i="1"/>
  <c r="AW270" i="1"/>
  <c r="V270" i="1"/>
  <c r="R270" i="1"/>
  <c r="AT270" i="1"/>
  <c r="AD261" i="1"/>
  <c r="AW261" i="1"/>
  <c r="V261" i="1"/>
  <c r="R261" i="1"/>
  <c r="AT261" i="1"/>
  <c r="AD247" i="1"/>
  <c r="R247" i="1"/>
  <c r="AW247" i="1"/>
  <c r="V247" i="1"/>
  <c r="AT247" i="1"/>
  <c r="AD218" i="1"/>
  <c r="R218" i="1"/>
  <c r="AW218" i="1"/>
  <c r="V218" i="1"/>
  <c r="AT218" i="1"/>
  <c r="Z255" i="1"/>
  <c r="AQ255" i="1"/>
  <c r="AQ379" i="1" s="1"/>
  <c r="T255" i="1"/>
  <c r="T385" i="1" l="1"/>
  <c r="Y396" i="1" s="1"/>
  <c r="E247" i="7"/>
  <c r="S247" i="1"/>
  <c r="E247" i="6"/>
  <c r="E270" i="7"/>
  <c r="S270" i="1"/>
  <c r="E270" i="6"/>
  <c r="E258" i="7"/>
  <c r="E258" i="6"/>
  <c r="S258" i="1"/>
  <c r="AD345" i="1"/>
  <c r="V345" i="1"/>
  <c r="E245" i="7"/>
  <c r="E245" i="6"/>
  <c r="S245" i="1"/>
  <c r="E250" i="7"/>
  <c r="E250" i="6"/>
  <c r="S250" i="1"/>
  <c r="E266" i="7"/>
  <c r="E266" i="6"/>
  <c r="S266" i="1"/>
  <c r="E282" i="7"/>
  <c r="E282" i="6"/>
  <c r="S282" i="1"/>
  <c r="E248" i="7"/>
  <c r="S248" i="1"/>
  <c r="E248" i="6"/>
  <c r="E249" i="7"/>
  <c r="S249" i="1"/>
  <c r="E249" i="6"/>
  <c r="E246" i="7"/>
  <c r="S246" i="1"/>
  <c r="E246" i="6"/>
  <c r="E289" i="7"/>
  <c r="S289" i="1"/>
  <c r="E289" i="6"/>
  <c r="E244" i="7"/>
  <c r="E244" i="6"/>
  <c r="S244" i="1"/>
  <c r="R225" i="1"/>
  <c r="AD225" i="1"/>
  <c r="AW225" i="1"/>
  <c r="V225" i="1"/>
  <c r="AT225" i="1"/>
  <c r="AD344" i="1"/>
  <c r="V344" i="1"/>
  <c r="E286" i="7"/>
  <c r="E286" i="6"/>
  <c r="S286" i="1"/>
  <c r="E253" i="7"/>
  <c r="S253" i="1"/>
  <c r="E253" i="6"/>
  <c r="E271" i="7"/>
  <c r="S271" i="1"/>
  <c r="E271" i="6"/>
  <c r="E259" i="7"/>
  <c r="S259" i="1"/>
  <c r="E259" i="6"/>
  <c r="E264" i="7"/>
  <c r="S264" i="1"/>
  <c r="E264" i="6"/>
  <c r="E276" i="7"/>
  <c r="E276" i="6"/>
  <c r="S276" i="1"/>
  <c r="E280" i="7"/>
  <c r="E280" i="6"/>
  <c r="S280" i="1"/>
  <c r="E284" i="7"/>
  <c r="S284" i="1"/>
  <c r="E284" i="6"/>
  <c r="E288" i="7"/>
  <c r="S288" i="1"/>
  <c r="E288" i="6"/>
  <c r="E273" i="7"/>
  <c r="E273" i="6"/>
  <c r="S273" i="1"/>
  <c r="E277" i="7"/>
  <c r="S277" i="1"/>
  <c r="E277" i="6"/>
  <c r="E281" i="7"/>
  <c r="E281" i="6"/>
  <c r="S281" i="1"/>
  <c r="AD255" i="1"/>
  <c r="AW255" i="1"/>
  <c r="V255" i="1"/>
  <c r="R255" i="1"/>
  <c r="AT255" i="1"/>
  <c r="E218" i="7"/>
  <c r="S218" i="1"/>
  <c r="E218" i="6"/>
  <c r="E261" i="7"/>
  <c r="S261" i="1"/>
  <c r="E261" i="6"/>
  <c r="E278" i="7"/>
  <c r="E278" i="6"/>
  <c r="S278" i="1"/>
  <c r="E290" i="7"/>
  <c r="E290" i="6"/>
  <c r="S290" i="1"/>
  <c r="E263" i="7"/>
  <c r="S263" i="1"/>
  <c r="E263" i="6"/>
  <c r="E275" i="7"/>
  <c r="S275" i="1"/>
  <c r="E275" i="6"/>
  <c r="E279" i="7"/>
  <c r="S279" i="1"/>
  <c r="E279" i="6"/>
  <c r="E254" i="7"/>
  <c r="E254" i="6"/>
  <c r="S254" i="1"/>
  <c r="E256" i="7"/>
  <c r="S256" i="1"/>
  <c r="E256" i="6"/>
  <c r="E265" i="7"/>
  <c r="S265" i="1"/>
  <c r="E265" i="6"/>
  <c r="E269" i="7"/>
  <c r="S269" i="1"/>
  <c r="E269" i="6"/>
  <c r="E224" i="7"/>
  <c r="E224" i="6"/>
  <c r="S224" i="1"/>
  <c r="S243" i="1"/>
  <c r="E243" i="6"/>
  <c r="E243" i="7"/>
  <c r="E257" i="7"/>
  <c r="E257" i="6"/>
  <c r="S257" i="1"/>
  <c r="S267" i="1"/>
  <c r="E267" i="6"/>
  <c r="E267" i="7"/>
  <c r="E283" i="7"/>
  <c r="E283" i="6"/>
  <c r="S283" i="1"/>
  <c r="E268" i="7"/>
  <c r="E268" i="6"/>
  <c r="S268" i="1"/>
  <c r="E212" i="7"/>
  <c r="E212" i="6"/>
  <c r="S212" i="1"/>
  <c r="R385" i="1"/>
  <c r="T389" i="1" l="1"/>
  <c r="AD379" i="1"/>
  <c r="T387" i="1"/>
  <c r="F212" i="7"/>
  <c r="F212" i="6"/>
  <c r="F283" i="7"/>
  <c r="G283" i="7" s="1"/>
  <c r="K283" i="7" s="1"/>
  <c r="F283" i="6"/>
  <c r="G283" i="6" s="1"/>
  <c r="K283" i="6" s="1"/>
  <c r="F257" i="7"/>
  <c r="G257" i="7" s="1"/>
  <c r="K257" i="7" s="1"/>
  <c r="F257" i="6"/>
  <c r="G257" i="6" s="1"/>
  <c r="K257" i="6" s="1"/>
  <c r="F265" i="7"/>
  <c r="G265" i="7" s="1"/>
  <c r="K265" i="7" s="1"/>
  <c r="F265" i="6"/>
  <c r="G265" i="6" s="1"/>
  <c r="K265" i="6" s="1"/>
  <c r="F275" i="7"/>
  <c r="G275" i="7" s="1"/>
  <c r="K275" i="7" s="1"/>
  <c r="F275" i="6"/>
  <c r="G275" i="6" s="1"/>
  <c r="K275" i="6" s="1"/>
  <c r="F278" i="6"/>
  <c r="G278" i="6" s="1"/>
  <c r="K278" i="6" s="1"/>
  <c r="F278" i="7"/>
  <c r="G278" i="7" s="1"/>
  <c r="K278" i="7" s="1"/>
  <c r="F261" i="6"/>
  <c r="F261" i="7"/>
  <c r="G261" i="7" s="1"/>
  <c r="K261" i="7" s="1"/>
  <c r="E255" i="7"/>
  <c r="S255" i="1"/>
  <c r="E255" i="6"/>
  <c r="F281" i="7"/>
  <c r="G281" i="7" s="1"/>
  <c r="K281" i="7" s="1"/>
  <c r="F281" i="6"/>
  <c r="G281" i="6" s="1"/>
  <c r="K281" i="6" s="1"/>
  <c r="F277" i="6"/>
  <c r="G277" i="6" s="1"/>
  <c r="K277" i="6" s="1"/>
  <c r="F277" i="7"/>
  <c r="G277" i="7" s="1"/>
  <c r="K277" i="7" s="1"/>
  <c r="F273" i="6"/>
  <c r="G273" i="6" s="1"/>
  <c r="K273" i="6" s="1"/>
  <c r="F273" i="7"/>
  <c r="G273" i="7" s="1"/>
  <c r="K273" i="7" s="1"/>
  <c r="F288" i="6"/>
  <c r="G288" i="6" s="1"/>
  <c r="K288" i="6" s="1"/>
  <c r="F288" i="7"/>
  <c r="G288" i="7" s="1"/>
  <c r="K288" i="7" s="1"/>
  <c r="F276" i="6"/>
  <c r="G276" i="6" s="1"/>
  <c r="K276" i="6" s="1"/>
  <c r="F276" i="7"/>
  <c r="G276" i="7" s="1"/>
  <c r="K276" i="7" s="1"/>
  <c r="F264" i="6"/>
  <c r="G264" i="6" s="1"/>
  <c r="K264" i="6" s="1"/>
  <c r="F264" i="7"/>
  <c r="G264" i="7" s="1"/>
  <c r="K264" i="7" s="1"/>
  <c r="F271" i="6"/>
  <c r="F271" i="7"/>
  <c r="G271" i="7" s="1"/>
  <c r="K271" i="7" s="1"/>
  <c r="E225" i="7"/>
  <c r="S225" i="1"/>
  <c r="E225" i="6"/>
  <c r="F246" i="7"/>
  <c r="G246" i="7" s="1"/>
  <c r="K246" i="7" s="1"/>
  <c r="F246" i="6"/>
  <c r="G246" i="6" s="1"/>
  <c r="K246" i="6" s="1"/>
  <c r="F248" i="6"/>
  <c r="F248" i="7"/>
  <c r="G248" i="7" s="1"/>
  <c r="K248" i="7" s="1"/>
  <c r="F282" i="7"/>
  <c r="G282" i="7" s="1"/>
  <c r="K282" i="7" s="1"/>
  <c r="F282" i="6"/>
  <c r="G282" i="6" s="1"/>
  <c r="K282" i="6" s="1"/>
  <c r="F250" i="7"/>
  <c r="G250" i="7" s="1"/>
  <c r="K250" i="7" s="1"/>
  <c r="F250" i="6"/>
  <c r="G250" i="6" s="1"/>
  <c r="K250" i="6" s="1"/>
  <c r="F258" i="7"/>
  <c r="G258" i="7" s="1"/>
  <c r="K258" i="7" s="1"/>
  <c r="F258" i="6"/>
  <c r="G258" i="6" s="1"/>
  <c r="K258" i="6" s="1"/>
  <c r="F270" i="7"/>
  <c r="G270" i="7" s="1"/>
  <c r="K270" i="7" s="1"/>
  <c r="F270" i="6"/>
  <c r="G270" i="6" s="1"/>
  <c r="K270" i="6" s="1"/>
  <c r="F268" i="7"/>
  <c r="G268" i="7" s="1"/>
  <c r="K268" i="7" s="1"/>
  <c r="F268" i="6"/>
  <c r="G268" i="6" s="1"/>
  <c r="K268" i="6" s="1"/>
  <c r="F267" i="7"/>
  <c r="G267" i="7" s="1"/>
  <c r="K267" i="7" s="1"/>
  <c r="F267" i="6"/>
  <c r="G267" i="6" s="1"/>
  <c r="K267" i="6" s="1"/>
  <c r="F243" i="7"/>
  <c r="G243" i="7" s="1"/>
  <c r="K243" i="7" s="1"/>
  <c r="F243" i="6"/>
  <c r="G243" i="6" s="1"/>
  <c r="K243" i="6" s="1"/>
  <c r="F224" i="7"/>
  <c r="G224" i="7" s="1"/>
  <c r="K224" i="7" s="1"/>
  <c r="F224" i="6"/>
  <c r="G224" i="6" s="1"/>
  <c r="K224" i="6" s="1"/>
  <c r="F269" i="7"/>
  <c r="G269" i="7" s="1"/>
  <c r="K269" i="7" s="1"/>
  <c r="F269" i="6"/>
  <c r="G269" i="6" s="1"/>
  <c r="K269" i="6" s="1"/>
  <c r="F256" i="6"/>
  <c r="G256" i="6" s="1"/>
  <c r="K256" i="6" s="1"/>
  <c r="F256" i="7"/>
  <c r="G256" i="7" s="1"/>
  <c r="K256" i="7" s="1"/>
  <c r="F254" i="6"/>
  <c r="G254" i="6" s="1"/>
  <c r="K254" i="6" s="1"/>
  <c r="F254" i="7"/>
  <c r="G254" i="7" s="1"/>
  <c r="K254" i="7" s="1"/>
  <c r="F279" i="6"/>
  <c r="G279" i="6" s="1"/>
  <c r="K279" i="6" s="1"/>
  <c r="F279" i="7"/>
  <c r="G279" i="7" s="1"/>
  <c r="K279" i="7" s="1"/>
  <c r="F263" i="7"/>
  <c r="G263" i="7" s="1"/>
  <c r="K263" i="7" s="1"/>
  <c r="F263" i="6"/>
  <c r="G263" i="6" s="1"/>
  <c r="K263" i="6" s="1"/>
  <c r="F290" i="7"/>
  <c r="G290" i="7" s="1"/>
  <c r="K290" i="7" s="1"/>
  <c r="F290" i="6"/>
  <c r="G290" i="6" s="1"/>
  <c r="K290" i="6" s="1"/>
  <c r="G261" i="6"/>
  <c r="K261" i="6" s="1"/>
  <c r="F218" i="7"/>
  <c r="G218" i="7" s="1"/>
  <c r="K218" i="7" s="1"/>
  <c r="F218" i="6"/>
  <c r="G218" i="6" s="1"/>
  <c r="K218" i="6" s="1"/>
  <c r="F284" i="7"/>
  <c r="G284" i="7" s="1"/>
  <c r="K284" i="7" s="1"/>
  <c r="F284" i="6"/>
  <c r="G284" i="6" s="1"/>
  <c r="K284" i="6" s="1"/>
  <c r="F280" i="7"/>
  <c r="G280" i="7" s="1"/>
  <c r="K280" i="7" s="1"/>
  <c r="F280" i="6"/>
  <c r="G280" i="6" s="1"/>
  <c r="K280" i="6" s="1"/>
  <c r="F259" i="6"/>
  <c r="G259" i="6" s="1"/>
  <c r="K259" i="6" s="1"/>
  <c r="F259" i="7"/>
  <c r="G259" i="7" s="1"/>
  <c r="K259" i="7" s="1"/>
  <c r="G271" i="6"/>
  <c r="K271" i="6" s="1"/>
  <c r="F253" i="7"/>
  <c r="G253" i="7" s="1"/>
  <c r="K253" i="7" s="1"/>
  <c r="F253" i="6"/>
  <c r="G253" i="6" s="1"/>
  <c r="K253" i="6" s="1"/>
  <c r="F286" i="6"/>
  <c r="G286" i="6" s="1"/>
  <c r="K286" i="6" s="1"/>
  <c r="F286" i="7"/>
  <c r="G286" i="7" s="1"/>
  <c r="K286" i="7" s="1"/>
  <c r="F244" i="6"/>
  <c r="G244" i="6" s="1"/>
  <c r="K244" i="6" s="1"/>
  <c r="F244" i="7"/>
  <c r="G244" i="7" s="1"/>
  <c r="K244" i="7" s="1"/>
  <c r="F289" i="7"/>
  <c r="G289" i="7" s="1"/>
  <c r="K289" i="7" s="1"/>
  <c r="F289" i="6"/>
  <c r="G289" i="6" s="1"/>
  <c r="K289" i="6" s="1"/>
  <c r="F249" i="7"/>
  <c r="G249" i="7" s="1"/>
  <c r="K249" i="7" s="1"/>
  <c r="F249" i="6"/>
  <c r="G249" i="6" s="1"/>
  <c r="K249" i="6" s="1"/>
  <c r="G248" i="6"/>
  <c r="K248" i="6" s="1"/>
  <c r="F266" i="6"/>
  <c r="G266" i="6" s="1"/>
  <c r="K266" i="6" s="1"/>
  <c r="F266" i="7"/>
  <c r="G266" i="7" s="1"/>
  <c r="K266" i="7" s="1"/>
  <c r="F245" i="6"/>
  <c r="G245" i="6" s="1"/>
  <c r="K245" i="6" s="1"/>
  <c r="F245" i="7"/>
  <c r="G245" i="7" s="1"/>
  <c r="K245" i="7" s="1"/>
  <c r="F247" i="6"/>
  <c r="G247" i="6" s="1"/>
  <c r="K247" i="6" s="1"/>
  <c r="F247" i="7"/>
  <c r="G247" i="7" s="1"/>
  <c r="K247" i="7" s="1"/>
  <c r="E376" i="6" l="1"/>
  <c r="E372" i="7"/>
  <c r="F225" i="6"/>
  <c r="G225" i="6" s="1"/>
  <c r="K225" i="6" s="1"/>
  <c r="F225" i="7"/>
  <c r="G225" i="7" s="1"/>
  <c r="K225" i="7" s="1"/>
  <c r="F255" i="7"/>
  <c r="G255" i="7" s="1"/>
  <c r="K255" i="7" s="1"/>
  <c r="F255" i="6"/>
  <c r="G255" i="6" s="1"/>
  <c r="K255" i="6" s="1"/>
  <c r="G212" i="6"/>
  <c r="S385" i="1"/>
  <c r="W385" i="1" s="1"/>
  <c r="G212" i="7"/>
  <c r="F376" i="6" l="1"/>
  <c r="J376" i="6" s="1"/>
  <c r="F372" i="7"/>
  <c r="K212" i="7"/>
  <c r="G372" i="7"/>
  <c r="K212" i="6"/>
  <c r="G376" i="6"/>
  <c r="H376" i="6" l="1"/>
  <c r="G377" i="6"/>
  <c r="H372" i="7"/>
  <c r="G373" i="7"/>
</calcChain>
</file>

<file path=xl/sharedStrings.xml><?xml version="1.0" encoding="utf-8"?>
<sst xmlns="http://schemas.openxmlformats.org/spreadsheetml/2006/main" count="3921" uniqueCount="728">
  <si>
    <t>№ п/п</t>
  </si>
  <si>
    <t>Обоснование</t>
  </si>
  <si>
    <t>Наименование работ и газового оборудования</t>
  </si>
  <si>
    <t>Единица измерения</t>
  </si>
  <si>
    <t>Состав исполнителей</t>
  </si>
  <si>
    <t>Часовой ФОТ, руб.</t>
  </si>
  <si>
    <t>Трудозатраты на ед.изм., чел.ч</t>
  </si>
  <si>
    <t>Фонд оплаты труда, руб.</t>
  </si>
  <si>
    <t>Соц. страх.</t>
  </si>
  <si>
    <t>Наименование материалов</t>
  </si>
  <si>
    <t>Ед. изм.</t>
  </si>
  <si>
    <t>Цена за ед.,
без НДС</t>
  </si>
  <si>
    <t>количество</t>
  </si>
  <si>
    <t>Стоимость материалов</t>
  </si>
  <si>
    <t>Накладные расходы</t>
  </si>
  <si>
    <t>Цена услуги, с НДС</t>
  </si>
  <si>
    <t>Цена услуги без НДС, руб.</t>
  </si>
  <si>
    <t>Итого прямые затраты, руб.</t>
  </si>
  <si>
    <t>Разработка эскиза установки внутридомового газового оборудования</t>
  </si>
  <si>
    <t xml:space="preserve">Разработка эскиза на установку газовой плиты от индивидуальной газобаллонной установки с размещением установки в шкафу </t>
  </si>
  <si>
    <t>объект</t>
  </si>
  <si>
    <t>Итого затраты на  оплату труда, руб.</t>
  </si>
  <si>
    <t>НДС, руб.</t>
  </si>
  <si>
    <t>Обрезка внутридомового газопровода с установкой сварной заглушки при диаметре газопровода до 32 мм</t>
  </si>
  <si>
    <t>обрезка</t>
  </si>
  <si>
    <t>м3</t>
  </si>
  <si>
    <t>кг</t>
  </si>
  <si>
    <t>шт.</t>
  </si>
  <si>
    <t>Сварка стыка диаметром до 50 мм</t>
  </si>
  <si>
    <t>стык</t>
  </si>
  <si>
    <t>2.2.30</t>
  </si>
  <si>
    <t>крепление</t>
  </si>
  <si>
    <t>2.2.31</t>
  </si>
  <si>
    <t>Масляная окраска наружного газопровода надземной прокладки, две окраски (без стоимости краски)</t>
  </si>
  <si>
    <t>кран</t>
  </si>
  <si>
    <t>МНВ</t>
  </si>
  <si>
    <t>м</t>
  </si>
  <si>
    <t>мастер</t>
  </si>
  <si>
    <t>8.2.24</t>
  </si>
  <si>
    <t>шкаф</t>
  </si>
  <si>
    <t>плита</t>
  </si>
  <si>
    <t>Демонтаж газовой плиты с установкой заглушки (со сваркой)</t>
  </si>
  <si>
    <t>Замена стола плиты</t>
  </si>
  <si>
    <t>Замена верхней горелки плиты</t>
  </si>
  <si>
    <t>Замена горелки духового шкафа</t>
  </si>
  <si>
    <t>Замена сопла горелки</t>
  </si>
  <si>
    <t>Замена смесителя горелки</t>
  </si>
  <si>
    <t>Замена газоподводящей трубки верхней горелки</t>
  </si>
  <si>
    <t>Замена прокладок газоподводящей трубки</t>
  </si>
  <si>
    <t>Замена (или ремонт) дверки духового шкафа</t>
  </si>
  <si>
    <t>Замена балансира дверки духового шкафа</t>
  </si>
  <si>
    <t>Замена пружины дверки духового шкафа</t>
  </si>
  <si>
    <t>Замена стекла дверки духового шкафа</t>
  </si>
  <si>
    <t>Замена подсветки духового шкафа</t>
  </si>
  <si>
    <t>Замена ручки дверки духового шкафа</t>
  </si>
  <si>
    <t>Замена привода вертела духового шкафа</t>
  </si>
  <si>
    <t>Замена терморегулятора духового шкафа</t>
  </si>
  <si>
    <t>Замена крана плиты</t>
  </si>
  <si>
    <t>Замена электророзжига  при гибкой прицепке</t>
  </si>
  <si>
    <t>Замена электророзжига  при жесткой прицепке</t>
  </si>
  <si>
    <t>Замена разрядника блока пъезорозжига</t>
  </si>
  <si>
    <t>Регулировка горения горелок духового шкафа плиты</t>
  </si>
  <si>
    <t>Прочистка, калибровка сопла горелки плиты</t>
  </si>
  <si>
    <t xml:space="preserve">Настройка электромагнитного клапана (ЭМК)  плиты </t>
  </si>
  <si>
    <t>Чистка форсунки</t>
  </si>
  <si>
    <t>Чистка подводящих трубок к горелкам</t>
  </si>
  <si>
    <t>Чистка горелки духового шкафа</t>
  </si>
  <si>
    <t>Чистка регулятора подачи воздуха</t>
  </si>
  <si>
    <t xml:space="preserve">Замена регулятора давления </t>
  </si>
  <si>
    <t>Замена шланга и прокладки регулятора</t>
  </si>
  <si>
    <t>Демонтаж газовой плиты и проточного водонагревателя с установкой заглушки (со сваркой)</t>
  </si>
  <si>
    <t>Замена блок-крана ВПГ</t>
  </si>
  <si>
    <t>Замена газовой части блок-крана ВПГ</t>
  </si>
  <si>
    <t>Замена водяного регулятора</t>
  </si>
  <si>
    <t>Замена штока газовой части блок-крана</t>
  </si>
  <si>
    <t>Замена штока водяной части блок-крана</t>
  </si>
  <si>
    <t>Замена мембраны водяной части блок-крана</t>
  </si>
  <si>
    <t>Замена запальника</t>
  </si>
  <si>
    <t>Замена направляющей планки запальника ВПГ</t>
  </si>
  <si>
    <t>Замена водяной части ВПГ</t>
  </si>
  <si>
    <t>Замена теплообменника ВПГ</t>
  </si>
  <si>
    <t>Замена сопла основной горелки</t>
  </si>
  <si>
    <t>Замена сопел основной горелки</t>
  </si>
  <si>
    <t>Замена подводящей трубки холодной воды</t>
  </si>
  <si>
    <t>Замена отводящей трубки горячей воды</t>
  </si>
  <si>
    <t>Замена трубки запальника</t>
  </si>
  <si>
    <t>Замена электромагнитного клапана ВПГ</t>
  </si>
  <si>
    <t>Замена датчика тяги</t>
  </si>
  <si>
    <t>Замена прокладки водорегулятора</t>
  </si>
  <si>
    <t>Замена прокладки к газоподводящей трубке</t>
  </si>
  <si>
    <t>Замена прокладки газового узла или смесителя</t>
  </si>
  <si>
    <t>Замена термопары</t>
  </si>
  <si>
    <t>Замена ручки ВПГ</t>
  </si>
  <si>
    <t>Прочистка штуцера водяной части</t>
  </si>
  <si>
    <t>Прочистка запальника</t>
  </si>
  <si>
    <t>Прочистка, калибровка сопла горелки</t>
  </si>
  <si>
    <t>Прочистка сопла водяного узла</t>
  </si>
  <si>
    <t>Прочистка сетки водяного редуктора с заменой прокладки</t>
  </si>
  <si>
    <t>Чистка горелки</t>
  </si>
  <si>
    <t>Высечка штуцера водяной части с корректировкой резьбы</t>
  </si>
  <si>
    <t>Установка подводящей трубки холодной воды</t>
  </si>
  <si>
    <t>Установка отводящей трубки горячей воды</t>
  </si>
  <si>
    <t>Развальцовка подводящей трубки холодной воды с заменой гайки или штуцера</t>
  </si>
  <si>
    <t>Смазка пробки блок-крана</t>
  </si>
  <si>
    <t>Смазка штока газового узла</t>
  </si>
  <si>
    <t>Регулировка штока газового узла</t>
  </si>
  <si>
    <t>Устранение течи воды в резьбовом соединении</t>
  </si>
  <si>
    <t>Промывка калорифера</t>
  </si>
  <si>
    <t>Снятие огневой камеры</t>
  </si>
  <si>
    <t>Установка огневой камеры</t>
  </si>
  <si>
    <t>Крепление корпуса горелки ВПГ</t>
  </si>
  <si>
    <t>Закрепление водонагревателя</t>
  </si>
  <si>
    <t>Замена элемента питания ВПГ</t>
  </si>
  <si>
    <t>Замена дисплея</t>
  </si>
  <si>
    <t>Замена блока батарей питания</t>
  </si>
  <si>
    <t>Замена электрода розжига горелки, контроля пламени</t>
  </si>
  <si>
    <t>Замена датчика перегрева</t>
  </si>
  <si>
    <t>Замена кожуха облицовки (лицевой крышки)</t>
  </si>
  <si>
    <t xml:space="preserve">Замена электронного блока управления </t>
  </si>
  <si>
    <t>Замена газового крана на газопроводе диаметром  до 32 мм</t>
  </si>
  <si>
    <t>Устранение утечки газа в муфтовом соединении внутреннего газопровода диаметром до 50 мм</t>
  </si>
  <si>
    <t>Отключение газового прибора с установкой заглушки (без сварки)</t>
  </si>
  <si>
    <t>Подключение газового прибора со снятием заглушки</t>
  </si>
  <si>
    <t>Отключение и подключение газового прибора без отсоединения  (установка и снятие пломбы "Сармат" на кран при временном отключении газа) без установки хомута</t>
  </si>
  <si>
    <t>штуцер</t>
  </si>
  <si>
    <t>11.1.95.</t>
  </si>
  <si>
    <t>Изготовление паронитовой прокладки</t>
  </si>
  <si>
    <t>Изготовление резиновой прокладки</t>
  </si>
  <si>
    <t>11.1.96.</t>
  </si>
  <si>
    <t>Изготовление переходника с 1/2" на 3/4"</t>
  </si>
  <si>
    <t>Ремонт огневой камеры (сварка змеевика)</t>
  </si>
  <si>
    <t>Ремонт огневой камеры (установка заплаты)</t>
  </si>
  <si>
    <t>Использование а/машины УАЗ-3909</t>
  </si>
  <si>
    <t>Использование а/машины Газель</t>
  </si>
  <si>
    <t>Выдача копий архивных документов населению</t>
  </si>
  <si>
    <t>Выдача справки о наличии задолженности</t>
  </si>
  <si>
    <t>Выдача справки по демонтированному газовому оборудованию</t>
  </si>
  <si>
    <t>Снятие ксерокопии документа</t>
  </si>
  <si>
    <t>Выдача дубликата квитанции по уплате за газ в баллонах по заявлению</t>
  </si>
  <si>
    <t>Регистрация газового оборудования (установленного другими организациями)</t>
  </si>
  <si>
    <t>Выдача согласования на перепланировку квартиры</t>
  </si>
  <si>
    <t>Возмещение непроизводительных расходов по доставке газа в баллонах по вине абонента</t>
  </si>
  <si>
    <t>Возмещение непроизводительных расходов при нарушении пользования газом</t>
  </si>
  <si>
    <t>Возмещение непроизводительных расходов на повторный выезд специалиста для разработки эскиза</t>
  </si>
  <si>
    <t>1.1</t>
  </si>
  <si>
    <t>1.2</t>
  </si>
  <si>
    <t>2.1</t>
  </si>
  <si>
    <t>↓Заполнить↓</t>
  </si>
  <si>
    <t>Тарифная ставка рабочего 1 разряда</t>
  </si>
  <si>
    <t>руб.</t>
  </si>
  <si>
    <t>РК и СН</t>
  </si>
  <si>
    <t>%</t>
  </si>
  <si>
    <t>% премии</t>
  </si>
  <si>
    <t>Коэф-т оплаты отпуска</t>
  </si>
  <si>
    <t>Кол-во рабочих часов в году</t>
  </si>
  <si>
    <t>час.</t>
  </si>
  <si>
    <t>% накладные расходы</t>
  </si>
  <si>
    <t>Рентабельность</t>
  </si>
  <si>
    <t>Наименование должности</t>
  </si>
  <si>
    <t>Кратность</t>
  </si>
  <si>
    <t>Оклад, руб.</t>
  </si>
  <si>
    <t>Доплата, руб.</t>
  </si>
  <si>
    <t>Премия, руб.</t>
  </si>
  <si>
    <t>РК и СН, руб.</t>
  </si>
  <si>
    <t>ФОТ, руб.</t>
  </si>
  <si>
    <t>ФОТ часовой, руб.</t>
  </si>
  <si>
    <t>ФОТ часовой с коэф-том оплаты отпуска, руб.</t>
  </si>
  <si>
    <t>слесарь 2 р</t>
  </si>
  <si>
    <t>слесарь 3 р</t>
  </si>
  <si>
    <t>слесарь 4 р</t>
  </si>
  <si>
    <t>инженер 1 кат.</t>
  </si>
  <si>
    <t>Замена гибкого соединения (шланга) на жесткое соединение (без стоимости трубы)</t>
  </si>
  <si>
    <t>штуцер 1-рожковый</t>
  </si>
  <si>
    <t>штуцер 2-рожковый</t>
  </si>
  <si>
    <t>эл.газосв.5 р</t>
  </si>
  <si>
    <t>Ремонт ШГБУ (приварка петель)</t>
  </si>
  <si>
    <t>вызов</t>
  </si>
  <si>
    <t>сл. 3-4 р</t>
  </si>
  <si>
    <t>1.4.2</t>
  </si>
  <si>
    <t>1.4.3</t>
  </si>
  <si>
    <t>2.1.9</t>
  </si>
  <si>
    <t>2.1.8</t>
  </si>
  <si>
    <t>2.4.7</t>
  </si>
  <si>
    <t>2.4.33</t>
  </si>
  <si>
    <t>2.4.25</t>
  </si>
  <si>
    <t>10.2.2</t>
  </si>
  <si>
    <t>10.2.1</t>
  </si>
  <si>
    <t>10.2.3</t>
  </si>
  <si>
    <t>стол</t>
  </si>
  <si>
    <t>10.2.6</t>
  </si>
  <si>
    <t>горелка</t>
  </si>
  <si>
    <t>10.2.7</t>
  </si>
  <si>
    <t>10.2.8</t>
  </si>
  <si>
    <t>сопло</t>
  </si>
  <si>
    <t>10.2.9</t>
  </si>
  <si>
    <t>смеситель</t>
  </si>
  <si>
    <t>10.2.10</t>
  </si>
  <si>
    <t>трубка</t>
  </si>
  <si>
    <t>10.2.11</t>
  </si>
  <si>
    <t>прокладка</t>
  </si>
  <si>
    <t>10.2.13</t>
  </si>
  <si>
    <t>дверка</t>
  </si>
  <si>
    <t>10.2.14</t>
  </si>
  <si>
    <t>деталь</t>
  </si>
  <si>
    <t>10.2.15</t>
  </si>
  <si>
    <t>пружина</t>
  </si>
  <si>
    <t>10.2.16</t>
  </si>
  <si>
    <t>стекло</t>
  </si>
  <si>
    <t>10.2.18</t>
  </si>
  <si>
    <t>10.2.19</t>
  </si>
  <si>
    <t>10.2.20</t>
  </si>
  <si>
    <t>операция</t>
  </si>
  <si>
    <t>10.2.21</t>
  </si>
  <si>
    <t>10.2.22</t>
  </si>
  <si>
    <t>10.2.25</t>
  </si>
  <si>
    <t>10.2.26</t>
  </si>
  <si>
    <t>10.2.31</t>
  </si>
  <si>
    <t>шланг</t>
  </si>
  <si>
    <t>10.2.34</t>
  </si>
  <si>
    <t>10.2.36</t>
  </si>
  <si>
    <t>10.2.37</t>
  </si>
  <si>
    <t>10.2.39</t>
  </si>
  <si>
    <t>ЭМК</t>
  </si>
  <si>
    <t>10.2.40</t>
  </si>
  <si>
    <t>форсунка</t>
  </si>
  <si>
    <t>10.2.41</t>
  </si>
  <si>
    <t>10.2.42</t>
  </si>
  <si>
    <t>10.2.43</t>
  </si>
  <si>
    <t>регулятор</t>
  </si>
  <si>
    <t>10.2.47</t>
  </si>
  <si>
    <t>10.2.49</t>
  </si>
  <si>
    <t>Плита газовая</t>
  </si>
  <si>
    <t>10.2.52</t>
  </si>
  <si>
    <t>2.4.27</t>
  </si>
  <si>
    <t>прибор</t>
  </si>
  <si>
    <t>10.2.53, 2.1.9</t>
  </si>
  <si>
    <t>плита, водонагреватель</t>
  </si>
  <si>
    <t>10.2.2, 10.2.53, 2.1.9</t>
  </si>
  <si>
    <t>10.2.54</t>
  </si>
  <si>
    <t>10.2.58</t>
  </si>
  <si>
    <t>Водонагреватель проточный газовый (ВПГ)</t>
  </si>
  <si>
    <t>Замена ВПГ без изменения подводки с пуском газа и регулировкой работы прибора</t>
  </si>
  <si>
    <t>Демонтаж ВПГ с установкой заглушки</t>
  </si>
  <si>
    <t>Демонтаж ВПГ с установкой заглушки (со сваркой)</t>
  </si>
  <si>
    <t>ВПГ</t>
  </si>
  <si>
    <t>Замена горелки ВПГ</t>
  </si>
  <si>
    <t>блок-кран</t>
  </si>
  <si>
    <t>10.2.64</t>
  </si>
  <si>
    <t>10.2.71</t>
  </si>
  <si>
    <t>10.2.72</t>
  </si>
  <si>
    <t>шток</t>
  </si>
  <si>
    <t>10.2.74</t>
  </si>
  <si>
    <t>мембрана</t>
  </si>
  <si>
    <t>10.2.75</t>
  </si>
  <si>
    <t>запальник</t>
  </si>
  <si>
    <t>10.2.76</t>
  </si>
  <si>
    <t>10.2.84</t>
  </si>
  <si>
    <t>10.2.90</t>
  </si>
  <si>
    <t>теплообменник</t>
  </si>
  <si>
    <t>клапан</t>
  </si>
  <si>
    <t>10.2.93</t>
  </si>
  <si>
    <t>13 сопел</t>
  </si>
  <si>
    <t>10.2.94</t>
  </si>
  <si>
    <t>10.2.95</t>
  </si>
  <si>
    <t>10.2.97</t>
  </si>
  <si>
    <t>10.2.98</t>
  </si>
  <si>
    <t>10.2.99</t>
  </si>
  <si>
    <t>датчик</t>
  </si>
  <si>
    <t>10.2.100</t>
  </si>
  <si>
    <t>10.2.101</t>
  </si>
  <si>
    <t>10.2.102</t>
  </si>
  <si>
    <t>10.2.103</t>
  </si>
  <si>
    <t>термопара</t>
  </si>
  <si>
    <t>10.2.104</t>
  </si>
  <si>
    <t>ручка</t>
  </si>
  <si>
    <t>сальник</t>
  </si>
  <si>
    <t>10.2.107</t>
  </si>
  <si>
    <t>10.2.108</t>
  </si>
  <si>
    <t>10.2.109</t>
  </si>
  <si>
    <t>10.2.110</t>
  </si>
  <si>
    <t>10.2.111</t>
  </si>
  <si>
    <t>10.2.114</t>
  </si>
  <si>
    <t>10.2.115</t>
  </si>
  <si>
    <t>10.2.117</t>
  </si>
  <si>
    <t>10.2.119</t>
  </si>
  <si>
    <t>10.2.122</t>
  </si>
  <si>
    <t>10.2.124</t>
  </si>
  <si>
    <t>10.2.125</t>
  </si>
  <si>
    <t>10.2.126</t>
  </si>
  <si>
    <t>10.2.127</t>
  </si>
  <si>
    <t>10.2.130</t>
  </si>
  <si>
    <t>10.2.131</t>
  </si>
  <si>
    <t>10.2.132</t>
  </si>
  <si>
    <t>10.2.133</t>
  </si>
  <si>
    <t>10.2.135</t>
  </si>
  <si>
    <t>Прочие работы</t>
  </si>
  <si>
    <t>10.2.207</t>
  </si>
  <si>
    <t>слесарь 5 р</t>
  </si>
  <si>
    <t>10.2.208</t>
  </si>
  <si>
    <t>участок</t>
  </si>
  <si>
    <t>10.2.209</t>
  </si>
  <si>
    <t>10.2.210</t>
  </si>
  <si>
    <t>сгон</t>
  </si>
  <si>
    <t>10.2.211</t>
  </si>
  <si>
    <t>соединение</t>
  </si>
  <si>
    <t>10.2.217</t>
  </si>
  <si>
    <t>10.2.218</t>
  </si>
  <si>
    <t>10.2.219</t>
  </si>
  <si>
    <t>токарь 6 р</t>
  </si>
  <si>
    <t>11.1.87</t>
  </si>
  <si>
    <t>11.1.88</t>
  </si>
  <si>
    <t>переходник</t>
  </si>
  <si>
    <t>11.1.45</t>
  </si>
  <si>
    <t>Ремонт газовой горелки ВПГ</t>
  </si>
  <si>
    <t>Ремонт газового блока ВПГ</t>
  </si>
  <si>
    <t>11.1.47</t>
  </si>
  <si>
    <t>11.1.68</t>
  </si>
  <si>
    <t>час</t>
  </si>
  <si>
    <t>км</t>
  </si>
  <si>
    <t>1.4.13</t>
  </si>
  <si>
    <t>абонент</t>
  </si>
  <si>
    <t>бухгалтер АО</t>
  </si>
  <si>
    <t>Раздел 2. Строительно-монтажные работы</t>
  </si>
  <si>
    <t>Возмещение непроизводительных расходов на восстановление газоснабжения у абонентов, допустивших самовольное подключение газовых приборов</t>
  </si>
  <si>
    <t>секретарь</t>
  </si>
  <si>
    <t>документ</t>
  </si>
  <si>
    <t>водитель (Газель)</t>
  </si>
  <si>
    <t>водитель (УАЗ)</t>
  </si>
  <si>
    <t>прирост в %</t>
  </si>
  <si>
    <t>ацетилен</t>
  </si>
  <si>
    <t>кислород</t>
  </si>
  <si>
    <t>Цена закупочная с НДС, руб.</t>
  </si>
  <si>
    <t>Цена закупочная без НДС, руб.</t>
  </si>
  <si>
    <t>Цена закупочная без НДС за ед.изм., руб.</t>
  </si>
  <si>
    <t>баллон</t>
  </si>
  <si>
    <t>мыло</t>
  </si>
  <si>
    <t>ветошь</t>
  </si>
  <si>
    <t>электроды</t>
  </si>
  <si>
    <t>прокладка паронитовая</t>
  </si>
  <si>
    <t>шнур асбестовый</t>
  </si>
  <si>
    <t>прокладка резиновая</t>
  </si>
  <si>
    <t>лента ФУМ 10 мм</t>
  </si>
  <si>
    <t>контрагайка Ду 15 мм</t>
  </si>
  <si>
    <t>муфта Ду 15 мм</t>
  </si>
  <si>
    <t>угольник Ду 15 мм</t>
  </si>
  <si>
    <t>хомутики для крепления резиновых шлангов</t>
  </si>
  <si>
    <t>тонна</t>
  </si>
  <si>
    <t>сварочная проволока СВ08А (3 мм)</t>
  </si>
  <si>
    <t>круг отрезной 150*22*2,5 мм</t>
  </si>
  <si>
    <t>2.4.9</t>
  </si>
  <si>
    <t>установка</t>
  </si>
  <si>
    <t>2.4.10</t>
  </si>
  <si>
    <t>10.2</t>
  </si>
  <si>
    <t>Раздел 3. Монтаж газобаллонных установок, текущий и капитальный ремонт газобаллонных установок</t>
  </si>
  <si>
    <t>3.34</t>
  </si>
  <si>
    <t>Первичный пуск газа в газовое оборудование жилого дома индивидуальной застройки</t>
  </si>
  <si>
    <t>2.2.3</t>
  </si>
  <si>
    <t>Прокладка с пневматическим испытанием внутридомового газопровода диаметром до 50 мм</t>
  </si>
  <si>
    <t>сварная заглушка</t>
  </si>
  <si>
    <t>10.2.67</t>
  </si>
  <si>
    <t>выезд</t>
  </si>
  <si>
    <t>водитель (ЗИЛ)</t>
  </si>
  <si>
    <t>слесарь</t>
  </si>
  <si>
    <t>в т.ч.</t>
  </si>
  <si>
    <t xml:space="preserve">переходник </t>
  </si>
  <si>
    <t>Перемонтаж подводки к газовому оборудованию (со сваркой)</t>
  </si>
  <si>
    <t>Перестановка газовой плиты с пуском газа</t>
  </si>
  <si>
    <t>Сверление отверстий в стене здания для прокладки газопровода</t>
  </si>
  <si>
    <t>2.2.9</t>
  </si>
  <si>
    <t>отверстие</t>
  </si>
  <si>
    <t>Замена шкафа газобаллонной установки (ШГБУ) (без стоимости шкафа)</t>
  </si>
  <si>
    <t>Петля</t>
  </si>
  <si>
    <t>Электроды</t>
  </si>
  <si>
    <t>петля</t>
  </si>
  <si>
    <t>Установка одного баллона для сжиженного газа в шкафу (без монтажа шкафа и без стоимости материалов)</t>
  </si>
  <si>
    <t>Установка двух баллонов для сжиженного газа в шкафу (без монтажа шкафа и без стоимости материалов)</t>
  </si>
  <si>
    <t>Установка одного баллона для сжиженного газа в шкафу (с монтажом шкафа, без стоимости материалов)</t>
  </si>
  <si>
    <t>Оповещение и отключение жилых домов на период ремонтных работ</t>
  </si>
  <si>
    <t>10.2.223</t>
  </si>
  <si>
    <t>Вызов слесаря для выполнения ремонта (Прием заявки диспетчером и проезд (переход) к объекту и обратно)</t>
  </si>
  <si>
    <t>Установка/замена гибкого шланга к плите (без стоимости шланга)</t>
  </si>
  <si>
    <t>приемщик заказов</t>
  </si>
  <si>
    <t>(с/пр-во)</t>
  </si>
  <si>
    <t>Раздел 1. Проектные работы</t>
  </si>
  <si>
    <t>Обрезка внутридомового газопровода без установки сварной заглушки при диаметре газопровода до 32 мм</t>
  </si>
  <si>
    <t>в т.ч.:</t>
  </si>
  <si>
    <t>Наименование и стоимость материалов, используемых при выполнении работ:</t>
  </si>
  <si>
    <t>Индекс-дефлятор</t>
  </si>
  <si>
    <t>труба ВГП 15*2,8</t>
  </si>
  <si>
    <t>Переустройство ШГБУ с 2-мя баллонами на 1 баллон (без сварки) (без стоимости шланга)</t>
  </si>
  <si>
    <t>прокладка паронитовая  1/2 для баллонов</t>
  </si>
  <si>
    <t>Переустройство ШГБУ с 2-мя баллонами на 1 баллон с применением сварки (без стоимости шланга)</t>
  </si>
  <si>
    <t>Установка второго баллона без применения сварки (без стоимости шланга)</t>
  </si>
  <si>
    <t>Установка второго баллона с применением сварки (без стоимости шланга)</t>
  </si>
  <si>
    <t>Перестановка газовой плиты с пуском газа (без применения сварки, без стоимости материалов)</t>
  </si>
  <si>
    <t>Замена ВПГ на гибкое соединение с пуском газа и регулировкой работы прибора (без стоимости гибкой подводки)</t>
  </si>
  <si>
    <t>Замена участка внутридомового газопровода длиной до одного метра диаметром 15 мм</t>
  </si>
  <si>
    <t>труба ВГП 32*3,2</t>
  </si>
  <si>
    <t>То же, на каждый дополнительный один метр газопровода диаметром 15 мм</t>
  </si>
  <si>
    <t>То же, на каждый дополнительный один метр газопровода диаметром 32 мм</t>
  </si>
  <si>
    <t>сгон 1/2</t>
  </si>
  <si>
    <t>Замена сгона внутреннего газопровода диаметром до 25 мм</t>
  </si>
  <si>
    <t>проволока ЛОК</t>
  </si>
  <si>
    <t>лист медный</t>
  </si>
  <si>
    <t>Расчет СУГ для транспорта</t>
  </si>
  <si>
    <t>Марка, модель ТС</t>
  </si>
  <si>
    <t>Расход СУГ, л на 100 км</t>
  </si>
  <si>
    <t>Средняя скорость, км/ч</t>
  </si>
  <si>
    <t>Расход л в час на 49 км</t>
  </si>
  <si>
    <t>Переводной коэффициент, кг/л</t>
  </si>
  <si>
    <t>Расход в кг</t>
  </si>
  <si>
    <t>летняя норма</t>
  </si>
  <si>
    <t>зимняя норма</t>
  </si>
  <si>
    <t>средняя норма</t>
  </si>
  <si>
    <t>на холодный период</t>
  </si>
  <si>
    <t>на теплый период</t>
  </si>
  <si>
    <t>ЗИЛ</t>
  </si>
  <si>
    <t>ВАЗ-2106</t>
  </si>
  <si>
    <t>Газель</t>
  </si>
  <si>
    <t>ИЖ-2715</t>
  </si>
  <si>
    <t>УАЗ</t>
  </si>
  <si>
    <t>ГАЗ 3307</t>
  </si>
  <si>
    <t>тыс руб/т</t>
  </si>
  <si>
    <t>Цена за газ</t>
  </si>
  <si>
    <t>Стоимость СУГ, руб. (для 1 км)</t>
  </si>
  <si>
    <t>Стоимость СУГ, руб. (для 1 часа)</t>
  </si>
  <si>
    <t>хомут со шпилькой и дюбелем</t>
  </si>
  <si>
    <t>Монтаж креплений под газопровод диаметром до 100 мм</t>
  </si>
  <si>
    <t>Ед. изм., закупается в …</t>
  </si>
  <si>
    <t>Ед. изм. для Прейскуранта</t>
  </si>
  <si>
    <t>Соотношение закупочных ед.изм. с ед.изм. в Прейскуранте</t>
  </si>
  <si>
    <t>Замена газовой плиты с пуском газа и регулировкой работы горелок плиты (на гибкое соединение) (без стоимости материалов)</t>
  </si>
  <si>
    <t>Замена газовой плиты на газовую варочную поверхность (на гибкое соединение) (без стоимости материалов)</t>
  </si>
  <si>
    <t>Установка отдельного духового шкафа (на гибкое соединение) (без стоимости материалов)</t>
  </si>
  <si>
    <t>Раздел 5. Ремонт газового оборудования</t>
  </si>
  <si>
    <t>Действующая цена</t>
  </si>
  <si>
    <t>Паронит</t>
  </si>
  <si>
    <t>Изготовление штуцера 1-рожкового</t>
  </si>
  <si>
    <t>Изготовление штуцера 2-рожкового</t>
  </si>
  <si>
    <t>поставила РК и СН 65%, тк только в птз токарь изготавливает материалы</t>
  </si>
  <si>
    <t>Замена микровыключателя</t>
  </si>
  <si>
    <t>Замена блока клапанов (сервоклапана)</t>
  </si>
  <si>
    <t>блок клапанов</t>
  </si>
  <si>
    <t>% изменения</t>
  </si>
  <si>
    <t>Изготовление заглушки 1/2</t>
  </si>
  <si>
    <t>11.1.103</t>
  </si>
  <si>
    <t>заглушка</t>
  </si>
  <si>
    <t>Изготовление заглушки 3/4</t>
  </si>
  <si>
    <t>техпластина ТМКЩ</t>
  </si>
  <si>
    <t>шестиграник</t>
  </si>
  <si>
    <t>2.2</t>
  </si>
  <si>
    <t>2.3</t>
  </si>
  <si>
    <t>2.4</t>
  </si>
  <si>
    <t>2.5</t>
  </si>
  <si>
    <t>2.6</t>
  </si>
  <si>
    <t>2.7</t>
  </si>
  <si>
    <t>2.8</t>
  </si>
  <si>
    <t>2.9</t>
  </si>
  <si>
    <t>2.10</t>
  </si>
  <si>
    <t>2.11</t>
  </si>
  <si>
    <t>2.12</t>
  </si>
  <si>
    <t>3.1</t>
  </si>
  <si>
    <t>3.2</t>
  </si>
  <si>
    <t>3.3</t>
  </si>
  <si>
    <t>3.4</t>
  </si>
  <si>
    <t>3.5</t>
  </si>
  <si>
    <t>3.6</t>
  </si>
  <si>
    <t>3.7</t>
  </si>
  <si>
    <t>3.8</t>
  </si>
  <si>
    <t>3.9</t>
  </si>
  <si>
    <t>3.10</t>
  </si>
  <si>
    <t>3.11</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</si>
  <si>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</si>
  <si>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</si>
  <si>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</si>
  <si>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</si>
  <si>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</si>
  <si>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</si>
  <si>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</si>
  <si>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</si>
  <si>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</si>
  <si>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</si>
  <si>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</si>
  <si>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</si>
  <si>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</si>
  <si>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</si>
  <si>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</si>
  <si>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</si>
  <si>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</si>
  <si>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</si>
  <si>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</si>
  <si>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</si>
  <si>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</si>
  <si>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</si>
  <si>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</si>
  <si>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</si>
  <si>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</si>
  <si>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</si>
  <si>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</si>
  <si>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</si>
  <si>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</si>
  <si>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</si>
  <si>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</si>
  <si>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</si>
  <si>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</si>
  <si>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</si>
  <si>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</si>
  <si>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</si>
  <si>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</si>
  <si>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</si>
  <si>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</si>
  <si>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</si>
  <si>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</si>
  <si>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</si>
  <si>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</si>
  <si>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4.45</t>
  </si>
  <si>
    <t>4.44</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</si>
  <si>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</si>
  <si>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</si>
  <si>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</si>
  <si>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</si>
  <si>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</si>
  <si>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</si>
  <si>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</si>
  <si>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</si>
  <si>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</si>
  <si>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</si>
  <si>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</si>
  <si>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</si>
  <si>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</si>
  <si>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</si>
  <si>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</si>
  <si>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</si>
  <si>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</si>
  <si>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</si>
  <si>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</si>
  <si>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</si>
  <si>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</si>
  <si>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</si>
  <si>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</si>
  <si>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</si>
  <si>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</si>
  <si>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</si>
  <si>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</si>
  <si>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</si>
  <si>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</si>
  <si>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</si>
  <si>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</si>
  <si>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</si>
  <si>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</si>
  <si>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</si>
  <si>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</si>
  <si>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</si>
  <si>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</si>
  <si>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</si>
  <si>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</si>
  <si>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</si>
  <si>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</si>
  <si>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</si>
  <si>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</si>
  <si>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</si>
  <si>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</si>
  <si>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</si>
  <si>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</si>
  <si>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</si>
  <si>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</si>
  <si>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</si>
  <si>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</si>
  <si>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</si>
  <si>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</si>
  <si>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</si>
  <si>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</si>
  <si>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</si>
  <si>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</si>
  <si>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</si>
  <si>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</si>
  <si>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5.1</t>
  </si>
  <si>
    <t>5.2</t>
  </si>
  <si>
    <t>5.3</t>
  </si>
  <si>
    <t>5.4</t>
  </si>
  <si>
    <t>6.1</t>
  </si>
  <si>
    <t>6.2</t>
  </si>
  <si>
    <t>6.8</t>
  </si>
  <si>
    <t>6.3</t>
  </si>
  <si>
    <t>6.4</t>
  </si>
  <si>
    <t>6.5</t>
  </si>
  <si>
    <t>6.6</t>
  </si>
  <si>
    <t>6.7</t>
  </si>
  <si>
    <t>6.9</t>
  </si>
  <si>
    <r>
      <t xml:space="preserve">Установка крана при монтаже внутридомового газового оборудования </t>
    </r>
    <r>
      <rPr>
        <b/>
        <sz val="10"/>
        <color theme="1"/>
        <rFont val="Times New Roman"/>
        <family val="1"/>
        <charset val="204"/>
      </rPr>
      <t>при диаметре 15 - 20 мм</t>
    </r>
    <r>
      <rPr>
        <sz val="10"/>
        <color theme="1"/>
        <rFont val="Times New Roman"/>
        <family val="1"/>
        <charset val="204"/>
      </rPr>
      <t xml:space="preserve"> (без стоимости крана)</t>
    </r>
  </si>
  <si>
    <r>
      <t xml:space="preserve">Установка крана при монтаже внутридомового газового оборудования </t>
    </r>
    <r>
      <rPr>
        <b/>
        <sz val="10"/>
        <color theme="1"/>
        <rFont val="Times New Roman"/>
        <family val="1"/>
        <charset val="204"/>
      </rPr>
      <t>при диаметре 25 - 50 мм</t>
    </r>
    <r>
      <rPr>
        <sz val="10"/>
        <color theme="1"/>
        <rFont val="Times New Roman"/>
        <family val="1"/>
        <charset val="204"/>
      </rPr>
      <t xml:space="preserve"> (без стоимости крана)</t>
    </r>
  </si>
  <si>
    <t>Заместитель генерального директора - главный инженер</t>
  </si>
  <si>
    <t>_________________</t>
  </si>
  <si>
    <t>В.С. Кукрашев</t>
  </si>
  <si>
    <t>Заместитель генерального директора по экономике и финансам</t>
  </si>
  <si>
    <t>Ю.В. Чушкова</t>
  </si>
  <si>
    <t xml:space="preserve">    При выполнении работ "Перемонтаж подводки к газовому оборудованию"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 В случае обрезки газопровода без установки заглушки применять п. 2.2 (п.2.1.9) "Обрезка внутридомового газопровода без установки сварной заглушки при диаметре газопровода до 32 мм"</t>
  </si>
  <si>
    <t xml:space="preserve"> * В ценах прейскуранта не учитывается и оплачивается заказчиком дополнительно стоимость расходных материлов, запасных частей, узлов, деталей, комплектующих изделий, используемых при оказании услуг, выполнении работ (за исключением вспомогательных материалов).</t>
  </si>
  <si>
    <t>Примечание</t>
  </si>
  <si>
    <r>
      <t xml:space="preserve">Установка крана при монтаже внутридомового газового оборудования </t>
    </r>
    <r>
      <rPr>
        <b/>
        <sz val="12"/>
        <color theme="1"/>
        <rFont val="Times New Roman"/>
        <family val="1"/>
        <charset val="204"/>
      </rPr>
      <t>при диаметре 15 - 20 мм</t>
    </r>
    <r>
      <rPr>
        <sz val="12"/>
        <color theme="1"/>
        <rFont val="Times New Roman"/>
        <family val="1"/>
        <charset val="204"/>
      </rPr>
      <t xml:space="preserve"> (без стоимости крана)</t>
    </r>
  </si>
  <si>
    <r>
      <t xml:space="preserve">Установка крана при монтаже внутридомового газового оборудования </t>
    </r>
    <r>
      <rPr>
        <b/>
        <sz val="12"/>
        <color theme="1"/>
        <rFont val="Times New Roman"/>
        <family val="1"/>
        <charset val="204"/>
      </rPr>
      <t>при диаметре 25 - 50 мм</t>
    </r>
    <r>
      <rPr>
        <sz val="12"/>
        <color theme="1"/>
        <rFont val="Times New Roman"/>
        <family val="1"/>
        <charset val="204"/>
      </rPr>
      <t xml:space="preserve"> (без стоимости крана)</t>
    </r>
  </si>
  <si>
    <r>
      <t xml:space="preserve">Оформление исполнительно-технической документации на газификацию жилого дома индивидуальной застройки 
</t>
    </r>
    <r>
      <rPr>
        <b/>
        <sz val="12"/>
        <rFont val="Times New Roman"/>
        <family val="1"/>
        <charset val="204"/>
      </rPr>
      <t>без выезда на место обследования</t>
    </r>
  </si>
  <si>
    <r>
      <t xml:space="preserve">Оформление исполнительно-технической документации на газификацию жилого дома индивидуальной застройки 
</t>
    </r>
    <r>
      <rPr>
        <b/>
        <sz val="12"/>
        <rFont val="Times New Roman"/>
        <family val="1"/>
        <charset val="204"/>
      </rPr>
      <t>с выездом на место обследования</t>
    </r>
  </si>
  <si>
    <r>
      <t xml:space="preserve">Перестановка газовой плиты с пуском газа (с применением сварки) </t>
    </r>
    <r>
      <rPr>
        <b/>
        <sz val="12"/>
        <rFont val="Times New Roman"/>
        <family val="1"/>
        <charset val="204"/>
      </rPr>
      <t>при централизованном газоснабжении</t>
    </r>
  </si>
  <si>
    <r>
      <t xml:space="preserve">Перестановка газовой плиты с пуском газа (с применением сварки) </t>
    </r>
    <r>
      <rPr>
        <b/>
        <sz val="12"/>
        <rFont val="Times New Roman"/>
        <family val="1"/>
        <charset val="204"/>
      </rPr>
      <t>при газоснабжении через ИГБУ</t>
    </r>
  </si>
  <si>
    <t xml:space="preserve">    При выполнении работ "Перестановка газовой плиты с пуском газа (с применением сварки) при централизованном газоснабжении"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 В случае обрезки газопровода без установки заглушки применять п. 2.2 (п.2.1.9) "Обрезка внутридомового газопровода без установки сварной заглушки при диаметре газопровода до 32 мм"</t>
  </si>
  <si>
    <t>Раздел 5. Ремонт деталей к газовому оборудованию</t>
  </si>
  <si>
    <t>Установка двух баллонов для сжиженного газа в шкафу (с монтажом шкафа, без стоимости материалов)</t>
  </si>
  <si>
    <r>
      <t>м</t>
    </r>
    <r>
      <rPr>
        <vertAlign val="superscript"/>
        <sz val="12"/>
        <rFont val="Times New Roman"/>
        <family val="1"/>
        <charset val="204"/>
      </rPr>
      <t>2</t>
    </r>
  </si>
  <si>
    <t xml:space="preserve">При выполнении работ "Перестановка газовой плиты с пуском газа (с применением сварки) при газоснабжении через ИГБУ"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 </t>
  </si>
  <si>
    <t>Замена участка внутридомового газопровода длиной до одного метра диаметром 32 мм</t>
  </si>
  <si>
    <t>_______________</t>
  </si>
  <si>
    <t>При выполнении работ "Перемонтаж подводки к газовому оборудованию"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 В случае обрезки газопровода без установки заглушки применять п. 2.2 (п.2.1.9) "Обрезка внутридомового газопровода без установки сварной заглушки при диаметре газопровода до 32 мм"</t>
  </si>
  <si>
    <t>При выполнении работ "Перестановка газовой плиты с пуском газа (с применением сварки) при централизованном газоснабжении"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 В случае обрезки газопровода без установки заглушки применять п. 2.2 (п.2.1.9) "Обрезка внутридомового газопровода без установки сварной заглушки при диаметре газопровода до 32 мм"</t>
  </si>
  <si>
    <t>При выполнении работ "Перестановка газовой плиты с пуском газа (с применением сварки) при газоснабжении через ИГБУ"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t>
  </si>
  <si>
    <t>Раздел 4. Внутренние газопроводы и бытовое газовое оборудование, в том числе монтаж/демонтаж газового оборудования</t>
  </si>
  <si>
    <t>Изготовление деталей к газовому оборудованию</t>
  </si>
  <si>
    <t>1</t>
  </si>
  <si>
    <t>2</t>
  </si>
  <si>
    <t>3</t>
  </si>
  <si>
    <t>5</t>
  </si>
  <si>
    <t>6</t>
  </si>
  <si>
    <r>
      <rPr>
        <i/>
        <u/>
        <sz val="10"/>
        <color theme="1"/>
        <rFont val="Arial Cyr"/>
        <charset val="204"/>
      </rPr>
      <t>Утверждено:</t>
    </r>
    <r>
      <rPr>
        <sz val="10"/>
        <color theme="1"/>
        <rFont val="Arial Cyr"/>
        <charset val="204"/>
      </rPr>
      <t xml:space="preserve">
Распоряжением АО "Карелгаз
от "_____" _____________ 201__г.</t>
    </r>
  </si>
  <si>
    <t>цена за ед.,
без НДС</t>
  </si>
  <si>
    <t>Страховые взносы</t>
  </si>
  <si>
    <t>Цена услуги, с НДС (2019 год)</t>
  </si>
  <si>
    <r>
      <rPr>
        <i/>
        <u/>
        <sz val="12"/>
        <color theme="1"/>
        <rFont val="Times New Roman"/>
        <family val="1"/>
        <charset val="204"/>
      </rPr>
      <t>Утверждено:</t>
    </r>
    <r>
      <rPr>
        <sz val="12"/>
        <color theme="1"/>
        <rFont val="Times New Roman"/>
        <family val="1"/>
        <charset val="204"/>
      </rPr>
      <t xml:space="preserve">
Распоряжением АО "Карелгаз
от "_____" _____________ 20 __г.</t>
    </r>
  </si>
  <si>
    <t>4.37.1</t>
  </si>
  <si>
    <t>Замена шланга и прокладки регулятора (со стоимостью шланга и хомутами)</t>
  </si>
  <si>
    <t xml:space="preserve">шланг </t>
  </si>
  <si>
    <t>хомут</t>
  </si>
  <si>
    <t>Раздел 6.Прочие услуги</t>
  </si>
  <si>
    <t>Раздел 6. Прочие услуги</t>
  </si>
  <si>
    <t>6.10</t>
  </si>
  <si>
    <t>6.11</t>
  </si>
  <si>
    <t>6.12</t>
  </si>
  <si>
    <t>6.13</t>
  </si>
  <si>
    <t>6.14</t>
  </si>
  <si>
    <t>6.15</t>
  </si>
  <si>
    <t>Цена услуги, с НДС (2020год)</t>
  </si>
  <si>
    <t>4.36.1</t>
  </si>
  <si>
    <t>Замена регулятора давления (со стоимостью регулятора давления)</t>
  </si>
  <si>
    <t xml:space="preserve">регулятор давления </t>
  </si>
  <si>
    <t>4.94.1</t>
  </si>
  <si>
    <t>Замена газового крана на газопроводе диаметром  до 32 мм (со стоимостью крана  газового шарового )</t>
  </si>
  <si>
    <t xml:space="preserve">кран газовый шаровый </t>
  </si>
  <si>
    <t xml:space="preserve">шт. </t>
  </si>
  <si>
    <t>общий рост</t>
  </si>
  <si>
    <t>Андриянов М.С. -ведущий инженер СЭГХ</t>
  </si>
  <si>
    <t>взяли усредненый оклад 2-х электрогазосварщиков (14383,13315)</t>
  </si>
  <si>
    <t>процент изменения планируемый</t>
  </si>
  <si>
    <t>Рост/снижение рентабельности  в абсолютном выражении</t>
  </si>
  <si>
    <t>Абсолютная разница после округл рентабельности</t>
  </si>
  <si>
    <t>рост в абсолютном выражении</t>
  </si>
  <si>
    <t>рентабельность в % 2021</t>
  </si>
  <si>
    <t>было до повышения отриц рентабельности</t>
  </si>
  <si>
    <t>были проценты при одинаковом росте 1,034</t>
  </si>
  <si>
    <t>если 1,34</t>
  </si>
  <si>
    <t>если разная</t>
  </si>
  <si>
    <t>рост</t>
  </si>
  <si>
    <t>если 1, 34</t>
  </si>
  <si>
    <t>процент роста, если увеличить отрицательную рентабельность выше 0</t>
  </si>
  <si>
    <t>прирост в % по сравнению с 2020</t>
  </si>
  <si>
    <t>рост в процентном отношении</t>
  </si>
  <si>
    <t>Прейскурант на услуги, оказываемые АО "Карелгаз" населению по ремонтным работам, работам по монтажу и замене газового оборудования,
действующий с "01" июля 2021 года</t>
  </si>
  <si>
    <t>проверка НДС</t>
  </si>
  <si>
    <t>Рост  с прошлым годом (в среднем по палате =68771,59-62014=6757,59</t>
  </si>
  <si>
    <t>Разница = 6759-6757,59=1,41 (погрешность округл)</t>
  </si>
  <si>
    <r>
      <t>м</t>
    </r>
    <r>
      <rPr>
        <vertAlign val="superscript"/>
        <sz val="10"/>
        <color theme="1"/>
        <rFont val="Times New Roman"/>
        <family val="1"/>
        <charset val="204"/>
      </rPr>
      <t>2</t>
    </r>
  </si>
  <si>
    <r>
      <t xml:space="preserve">Оформление исполнительно-технической документации на газификацию жилого дома индивидуальной застройки 
</t>
    </r>
    <r>
      <rPr>
        <b/>
        <sz val="10"/>
        <color theme="1"/>
        <rFont val="Times New Roman"/>
        <family val="1"/>
        <charset val="204"/>
      </rPr>
      <t>без выезда на место обследования</t>
    </r>
  </si>
  <si>
    <r>
      <t xml:space="preserve">Оформление исполнительно-технической документации на газификацию жилого дома индивидуальной застройки 
</t>
    </r>
    <r>
      <rPr>
        <b/>
        <sz val="10"/>
        <color theme="1"/>
        <rFont val="Times New Roman"/>
        <family val="1"/>
        <charset val="204"/>
      </rPr>
      <t>с выездом на место обследования</t>
    </r>
  </si>
  <si>
    <r>
      <t xml:space="preserve">Перестановка газовой плиты с пуском газа (с применением сварки) </t>
    </r>
    <r>
      <rPr>
        <b/>
        <sz val="10"/>
        <color theme="1"/>
        <rFont val="Times New Roman"/>
        <family val="1"/>
        <charset val="204"/>
      </rPr>
      <t>при централизованном газоснабжении</t>
    </r>
  </si>
  <si>
    <r>
      <t xml:space="preserve">Перестановка газовой плиты с пуском газа (с применением сварки) </t>
    </r>
    <r>
      <rPr>
        <b/>
        <sz val="10"/>
        <color theme="1"/>
        <rFont val="Times New Roman"/>
        <family val="1"/>
        <charset val="204"/>
      </rPr>
      <t>при газоснабжении через ИГБУ</t>
    </r>
  </si>
  <si>
    <r>
      <t>м</t>
    </r>
    <r>
      <rPr>
        <vertAlign val="superscript"/>
        <sz val="12"/>
        <color theme="1"/>
        <rFont val="Times New Roman"/>
        <family val="1"/>
        <charset val="204"/>
      </rPr>
      <t>2</t>
    </r>
  </si>
  <si>
    <r>
      <t xml:space="preserve">Оформление исполнительно-технической документации на газификацию жилого дома индивидуальной застройки 
</t>
    </r>
    <r>
      <rPr>
        <b/>
        <sz val="12"/>
        <color theme="1"/>
        <rFont val="Times New Roman"/>
        <family val="1"/>
        <charset val="204"/>
      </rPr>
      <t>без выезда на место обследования</t>
    </r>
  </si>
  <si>
    <r>
      <t xml:space="preserve">Оформление исполнительно-технической документации на газификацию жилого дома индивидуальной застройки 
</t>
    </r>
    <r>
      <rPr>
        <b/>
        <sz val="12"/>
        <color theme="1"/>
        <rFont val="Times New Roman"/>
        <family val="1"/>
        <charset val="204"/>
      </rPr>
      <t>с выездом на место обследования</t>
    </r>
  </si>
  <si>
    <r>
      <t xml:space="preserve">Перестановка газовой плиты с пуском газа (с применением сварки) </t>
    </r>
    <r>
      <rPr>
        <b/>
        <sz val="12"/>
        <color theme="1"/>
        <rFont val="Times New Roman"/>
        <family val="1"/>
        <charset val="204"/>
      </rPr>
      <t>при централизованном газоснабжении</t>
    </r>
  </si>
  <si>
    <r>
      <t xml:space="preserve">Перестановка газовой плиты с пуском газа (с применением сварки) </t>
    </r>
    <r>
      <rPr>
        <b/>
        <sz val="12"/>
        <color theme="1"/>
        <rFont val="Times New Roman"/>
        <family val="1"/>
        <charset val="204"/>
      </rPr>
      <t>при газоснабжении через ИГБУ</t>
    </r>
  </si>
  <si>
    <t>ЦЕНА 2021</t>
  </si>
  <si>
    <r>
      <t xml:space="preserve">Калькуляция на услуги, оказываемые АО "Карелгаз" населению по ремонтным работам, работам по монтажу и замене газового оборудования,
</t>
    </r>
    <r>
      <rPr>
        <b/>
        <sz val="14"/>
        <color rgb="FFFF0000"/>
        <rFont val="Times New Roman"/>
        <family val="1"/>
        <charset val="204"/>
      </rPr>
      <t>действующая с "01"июля 2021года</t>
    </r>
  </si>
  <si>
    <t xml:space="preserve">РЕГУЛЯТОР ДАВЛЕНИЯ </t>
  </si>
  <si>
    <t>ШЛАНГ</t>
  </si>
  <si>
    <t xml:space="preserve">было до повышения в 2021 году </t>
  </si>
  <si>
    <t>рентабельность  в абсолютном выражении( 2022)</t>
  </si>
  <si>
    <t>Амелькин</t>
  </si>
  <si>
    <t>Колчин, Орлов, Анхимков</t>
  </si>
  <si>
    <t>Кузьмина В.В.</t>
  </si>
  <si>
    <t>водитель (Клетка)</t>
  </si>
  <si>
    <t>Семенов,Костин</t>
  </si>
  <si>
    <t xml:space="preserve">рентабельность в % </t>
  </si>
  <si>
    <t>общий средний рост в %</t>
  </si>
  <si>
    <t xml:space="preserve">пломба </t>
  </si>
  <si>
    <t xml:space="preserve"> пломбировочная проволока</t>
  </si>
  <si>
    <t>шт</t>
  </si>
  <si>
    <t>Использование а/машины Газель (проезд (переход) к объекту и обратно)</t>
  </si>
  <si>
    <t>4.105</t>
  </si>
  <si>
    <t xml:space="preserve"> МНВ</t>
  </si>
  <si>
    <t xml:space="preserve">Замена элемента питания  в     приборе учета   (без пайки, выносной батарейный отсек, без стоимости  элемента питания) </t>
  </si>
  <si>
    <t>Вызов слесаря для выполнения замены  элемента питания (Прием заявки диспетчером )</t>
  </si>
  <si>
    <r>
      <rPr>
        <i/>
        <u/>
        <sz val="12"/>
        <color theme="1"/>
        <rFont val="Times New Roman"/>
        <family val="1"/>
        <charset val="204"/>
      </rPr>
      <t xml:space="preserve"> Приложение </t>
    </r>
    <r>
      <rPr>
        <sz val="12"/>
        <color theme="1"/>
        <rFont val="Times New Roman"/>
        <family val="1"/>
        <charset val="204"/>
      </rPr>
      <t xml:space="preserve">
 к Распоряжению АО "Карелгаз
от "_____" _____________ 20 __г.</t>
    </r>
  </si>
  <si>
    <t>____________</t>
  </si>
  <si>
    <t>Цена услуги, с НДС (2023 год)</t>
  </si>
  <si>
    <t xml:space="preserve"> </t>
  </si>
  <si>
    <t>Абсолютный рост, 2024 в сравнении сентябрем 2022</t>
  </si>
  <si>
    <r>
      <t>м</t>
    </r>
    <r>
      <rPr>
        <vertAlign val="superscript"/>
        <sz val="10"/>
        <rFont val="Times New Roman"/>
        <family val="1"/>
        <charset val="204"/>
      </rPr>
      <t>2</t>
    </r>
  </si>
  <si>
    <r>
      <t xml:space="preserve">Установка крана при монтаже внутридомового газового оборудования </t>
    </r>
    <r>
      <rPr>
        <b/>
        <sz val="10"/>
        <rFont val="Times New Roman"/>
        <family val="1"/>
        <charset val="204"/>
      </rPr>
      <t>при диаметре 15 - 20 мм</t>
    </r>
    <r>
      <rPr>
        <sz val="10"/>
        <rFont val="Times New Roman"/>
        <family val="1"/>
        <charset val="204"/>
      </rPr>
      <t xml:space="preserve"> (без стоимости крана)</t>
    </r>
  </si>
  <si>
    <r>
      <t xml:space="preserve">Установка крана при монтаже внутридомового газового оборудования </t>
    </r>
    <r>
      <rPr>
        <b/>
        <sz val="10"/>
        <rFont val="Times New Roman"/>
        <family val="1"/>
        <charset val="204"/>
      </rPr>
      <t>при диаметре 25 - 50 мм</t>
    </r>
    <r>
      <rPr>
        <sz val="10"/>
        <rFont val="Times New Roman"/>
        <family val="1"/>
        <charset val="204"/>
      </rPr>
      <t xml:space="preserve"> (без стоимости крана)</t>
    </r>
  </si>
  <si>
    <r>
      <t xml:space="preserve">Оформление исполнительно-технической документации на газификацию жилого дома индивидуальной застройки 
</t>
    </r>
    <r>
      <rPr>
        <b/>
        <sz val="10"/>
        <rFont val="Times New Roman"/>
        <family val="1"/>
        <charset val="204"/>
      </rPr>
      <t>без выезда на место обследования</t>
    </r>
  </si>
  <si>
    <r>
      <t xml:space="preserve">Оформление исполнительно-технической документации на газификацию жилого дома индивидуальной застройки 
</t>
    </r>
    <r>
      <rPr>
        <b/>
        <sz val="10"/>
        <rFont val="Times New Roman"/>
        <family val="1"/>
        <charset val="204"/>
      </rPr>
      <t>с выездом на место обследования</t>
    </r>
  </si>
  <si>
    <r>
      <t xml:space="preserve">Перестановка газовой плиты с пуском газа (с применением сварки) </t>
    </r>
    <r>
      <rPr>
        <b/>
        <sz val="10"/>
        <rFont val="Times New Roman"/>
        <family val="1"/>
        <charset val="204"/>
      </rPr>
      <t>при централизованном газоснабжении</t>
    </r>
  </si>
  <si>
    <r>
      <t xml:space="preserve">Перестановка газовой плиты с пуском газа (с применением сварки) </t>
    </r>
    <r>
      <rPr>
        <b/>
        <sz val="10"/>
        <rFont val="Times New Roman"/>
        <family val="1"/>
        <charset val="204"/>
      </rPr>
      <t>при газоснабжении через ИГБУ</t>
    </r>
  </si>
  <si>
    <t>отправлено природниками в МРГ, менять не будут</t>
  </si>
  <si>
    <t>4.101.1</t>
  </si>
  <si>
    <t>10.2.217, 2.4.30</t>
  </si>
  <si>
    <t xml:space="preserve">Отключение газового прибора  и демонтаж  (снятие) бытового  счетчика газа с установкой заглушки (без сварки) </t>
  </si>
  <si>
    <t>4.102.1</t>
  </si>
  <si>
    <t>10.2.218, 2.4.13</t>
  </si>
  <si>
    <t>Подключение газового прибора со снятием заглушки с установкой бытового счетчика газа</t>
  </si>
  <si>
    <t>4.94.2</t>
  </si>
  <si>
    <t>Замена газового крана на газопроводе диаметром 40-50мм</t>
  </si>
  <si>
    <t>*не пересматривалось с 2021 года</t>
  </si>
  <si>
    <r>
      <rPr>
        <i/>
        <u/>
        <sz val="12"/>
        <rFont val="Times New Roman"/>
        <family val="1"/>
        <charset val="204"/>
      </rPr>
      <t xml:space="preserve"> Пприложение  к Прейскуранту,   по   </t>
    </r>
    <r>
      <rPr>
        <sz val="12"/>
        <rFont val="Times New Roman"/>
        <family val="1"/>
        <charset val="204"/>
      </rPr>
      <t xml:space="preserve">
Распоряжению АО "Карелгаз
от "_____" _____________ 20 __г.</t>
    </r>
  </si>
  <si>
    <t>Калькуляция на услуги, оказываемые АО "Карелгаз" населению по ремонтным работам, работам по монтажу и замене газового оборудования,
действующая с 01.01.2024</t>
  </si>
  <si>
    <r>
      <t xml:space="preserve">Прейскурант на услуги, оказываемые АО "Карелгаз" населению по ремонтным работам, работам по монтажу и замене газового оборудования,
</t>
    </r>
    <r>
      <rPr>
        <b/>
        <sz val="14"/>
        <color rgb="FFC00000"/>
        <rFont val="Times New Roman"/>
        <family val="1"/>
        <charset val="204"/>
      </rPr>
      <t>действующий с "01" января 2024 года</t>
    </r>
  </si>
  <si>
    <t>Главный инженер</t>
  </si>
  <si>
    <t>В.В. Ширяев</t>
  </si>
  <si>
    <t>В.В.Ширяев</t>
  </si>
  <si>
    <t>Вызов слесаря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</si>
</sst>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00" x14ac:knownFonts="1">
    <font>
      <sz val="11"/>
      <color theme="1"/>
      <name val="Calibri"/>
      <family val="2"/>
      <charset val="204"/>
      <scheme val="minor"/>
    </font>
    <font>
      <sz val="8"/>
      <name val="Arial Cyr"/>
      <charset val="204"/>
    </font>
    <font>
      <i/>
      <sz val="8"/>
      <name val="Arial Cyr"/>
      <charset val="204"/>
    </font>
    <font>
      <i/>
      <sz val="8"/>
      <color theme="1"/>
      <name val="Calibri"/>
      <family val="2"/>
      <charset val="204"/>
      <scheme val="minor"/>
    </font>
    <font>
      <sz val="8"/>
      <color theme="1"/>
      <name val="Arial Cyr"/>
      <charset val="204"/>
    </font>
    <font>
      <b/>
      <sz val="10"/>
      <color theme="1"/>
      <name val="Arial Cyr"/>
      <charset val="204"/>
    </font>
    <font>
      <b/>
      <sz val="10"/>
      <name val="Arial"/>
      <family val="2"/>
      <charset val="204"/>
    </font>
    <font>
      <sz val="10"/>
      <name val="Arial"/>
      <family val="2"/>
      <charset val="204"/>
    </font>
    <font>
      <sz val="10"/>
      <color theme="1"/>
      <name val="Arial"/>
      <family val="2"/>
      <charset val="204"/>
    </font>
    <font>
      <i/>
      <sz val="8"/>
      <name val="Arial"/>
      <family val="2"/>
      <charset val="204"/>
    </font>
    <font>
      <b/>
      <sz val="11"/>
      <color theme="1"/>
      <name val="Calibri"/>
      <family val="2"/>
      <charset val="204"/>
      <scheme val="minor"/>
    </font>
    <font>
      <b/>
      <sz val="12"/>
      <color theme="1"/>
      <name val="Calibri"/>
      <family val="2"/>
      <charset val="204"/>
      <scheme val="minor"/>
    </font>
    <font>
      <sz val="10"/>
      <name val="Times New Roman"/>
      <family val="1"/>
      <charset val="204"/>
    </font>
    <font>
      <sz val="8"/>
      <color theme="1"/>
      <name val="Times New Roman"/>
      <family val="1"/>
      <charset val="204"/>
    </font>
    <font>
      <i/>
      <sz val="8"/>
      <color theme="1"/>
      <name val="Times New Roman"/>
      <family val="1"/>
      <charset val="204"/>
    </font>
    <font>
      <b/>
      <sz val="10"/>
      <color theme="1"/>
      <name val="Times New Roman"/>
      <family val="1"/>
      <charset val="204"/>
    </font>
    <font>
      <sz val="11"/>
      <color theme="1"/>
      <name val="Times New Roman"/>
      <family val="1"/>
      <charset val="204"/>
    </font>
    <font>
      <sz val="10"/>
      <color theme="1"/>
      <name val="Calibri"/>
      <family val="2"/>
      <charset val="204"/>
      <scheme val="minor"/>
    </font>
    <font>
      <sz val="10"/>
      <color theme="1"/>
      <name val="Times New Roman"/>
      <family val="1"/>
      <charset val="204"/>
    </font>
    <font>
      <b/>
      <sz val="12"/>
      <color theme="1"/>
      <name val="Times New Roman"/>
      <family val="1"/>
      <charset val="204"/>
    </font>
    <font>
      <sz val="12"/>
      <color theme="1"/>
      <name val="Times New Roman"/>
      <family val="1"/>
      <charset val="204"/>
    </font>
    <font>
      <sz val="12"/>
      <color theme="1"/>
      <name val="Calibri"/>
      <family val="2"/>
      <charset val="204"/>
      <scheme val="minor"/>
    </font>
    <font>
      <i/>
      <sz val="10"/>
      <color theme="1"/>
      <name val="Times New Roman"/>
      <family val="1"/>
      <charset val="204"/>
    </font>
    <font>
      <i/>
      <sz val="12"/>
      <color theme="1"/>
      <name val="Times New Roman"/>
      <family val="1"/>
      <charset val="204"/>
    </font>
    <font>
      <i/>
      <u/>
      <sz val="12"/>
      <color theme="1"/>
      <name val="Times New Roman"/>
      <family val="1"/>
      <charset val="204"/>
    </font>
    <font>
      <b/>
      <sz val="14"/>
      <color theme="1"/>
      <name val="Times New Roman"/>
      <family val="1"/>
      <charset val="204"/>
    </font>
    <font>
      <b/>
      <i/>
      <sz val="12"/>
      <color theme="1"/>
      <name val="Times New Roman"/>
      <family val="1"/>
      <charset val="204"/>
    </font>
    <font>
      <b/>
      <i/>
      <sz val="12"/>
      <name val="Times New Roman"/>
      <family val="1"/>
      <charset val="204"/>
    </font>
    <font>
      <b/>
      <sz val="11"/>
      <color theme="1"/>
      <name val="Times New Roman"/>
      <family val="1"/>
      <charset val="204"/>
    </font>
    <font>
      <sz val="14"/>
      <color theme="1"/>
      <name val="Times New Roman"/>
      <family val="1"/>
      <charset val="204"/>
    </font>
    <font>
      <sz val="14"/>
      <color theme="1"/>
      <name val="Calibri"/>
      <family val="2"/>
      <charset val="204"/>
      <scheme val="minor"/>
    </font>
    <font>
      <sz val="12"/>
      <name val="Times New Roman"/>
      <family val="1"/>
      <charset val="204"/>
    </font>
    <font>
      <b/>
      <sz val="12"/>
      <name val="Times New Roman"/>
      <family val="1"/>
      <charset val="204"/>
    </font>
    <font>
      <i/>
      <sz val="12"/>
      <name val="Times New Roman"/>
      <family val="1"/>
      <charset val="204"/>
    </font>
    <font>
      <b/>
      <i/>
      <sz val="14"/>
      <color theme="1"/>
      <name val="Times New Roman"/>
      <family val="1"/>
      <charset val="204"/>
    </font>
    <font>
      <b/>
      <i/>
      <sz val="14"/>
      <name val="Times New Roman"/>
      <family val="1"/>
      <charset val="204"/>
    </font>
    <font>
      <sz val="12"/>
      <color theme="0"/>
      <name val="Times New Roman"/>
      <family val="1"/>
      <charset val="204"/>
    </font>
    <font>
      <vertAlign val="superscript"/>
      <sz val="12"/>
      <name val="Times New Roman"/>
      <family val="1"/>
      <charset val="204"/>
    </font>
    <font>
      <sz val="11"/>
      <color theme="1"/>
      <name val="Arial Cyr"/>
      <charset val="204"/>
    </font>
    <font>
      <sz val="10"/>
      <color theme="1"/>
      <name val="Arial Cyr"/>
      <charset val="204"/>
    </font>
    <font>
      <i/>
      <u/>
      <sz val="10"/>
      <color theme="1"/>
      <name val="Arial Cyr"/>
      <charset val="204"/>
    </font>
    <font>
      <b/>
      <sz val="14"/>
      <color rgb="FFFF0000"/>
      <name val="Times New Roman"/>
      <family val="1"/>
      <charset val="204"/>
    </font>
    <font>
      <sz val="11"/>
      <color rgb="FFFF0000"/>
      <name val="Calibri"/>
      <family val="2"/>
      <charset val="204"/>
      <scheme val="minor"/>
    </font>
    <font>
      <sz val="11"/>
      <color rgb="FFFF0000"/>
      <name val="Times New Roman"/>
      <family val="1"/>
      <charset val="204"/>
    </font>
    <font>
      <sz val="10"/>
      <color rgb="FFFF0000"/>
      <name val="Calibri"/>
      <family val="2"/>
      <charset val="204"/>
      <scheme val="minor"/>
    </font>
    <font>
      <sz val="10"/>
      <color theme="4" tint="-0.499984740745262"/>
      <name val="Calibri"/>
      <family val="2"/>
      <charset val="204"/>
      <scheme val="minor"/>
    </font>
    <font>
      <sz val="10"/>
      <color rgb="FF0070C0"/>
      <name val="Calibri"/>
      <family val="2"/>
      <charset val="204"/>
      <scheme val="minor"/>
    </font>
    <font>
      <sz val="11"/>
      <name val="Calibri"/>
      <family val="2"/>
      <charset val="204"/>
      <scheme val="minor"/>
    </font>
    <font>
      <b/>
      <sz val="10"/>
      <color theme="1"/>
      <name val="Calibri"/>
      <family val="2"/>
      <charset val="204"/>
      <scheme val="minor"/>
    </font>
    <font>
      <sz val="11"/>
      <name val="Times New Roman"/>
      <family val="1"/>
      <charset val="204"/>
    </font>
    <font>
      <sz val="10"/>
      <color rgb="FFC00000"/>
      <name val="Calibri"/>
      <family val="2"/>
      <charset val="204"/>
      <scheme val="minor"/>
    </font>
    <font>
      <b/>
      <sz val="10"/>
      <name val="Calibri"/>
      <family val="2"/>
      <charset val="204"/>
      <scheme val="minor"/>
    </font>
    <font>
      <sz val="12"/>
      <name val="Calibri"/>
      <family val="2"/>
      <charset val="204"/>
      <scheme val="minor"/>
    </font>
    <font>
      <i/>
      <sz val="12"/>
      <color theme="1"/>
      <name val="Calibri"/>
      <family val="2"/>
      <charset val="204"/>
      <scheme val="minor"/>
    </font>
    <font>
      <vertAlign val="superscript"/>
      <sz val="10"/>
      <color theme="1"/>
      <name val="Times New Roman"/>
      <family val="1"/>
      <charset val="204"/>
    </font>
    <font>
      <vertAlign val="superscript"/>
      <sz val="12"/>
      <color theme="1"/>
      <name val="Times New Roman"/>
      <family val="1"/>
      <charset val="204"/>
    </font>
    <font>
      <sz val="10"/>
      <color theme="0"/>
      <name val="Times New Roman"/>
      <family val="1"/>
      <charset val="204"/>
    </font>
    <font>
      <i/>
      <sz val="14"/>
      <color theme="1"/>
      <name val="Calibri"/>
      <family val="2"/>
      <charset val="204"/>
      <scheme val="minor"/>
    </font>
    <font>
      <sz val="11"/>
      <color theme="0"/>
      <name val="Calibri"/>
      <family val="2"/>
      <charset val="204"/>
      <scheme val="minor"/>
    </font>
    <font>
      <sz val="11"/>
      <color rgb="FF7030A0"/>
      <name val="Calibri"/>
      <family val="2"/>
      <charset val="204"/>
      <scheme val="minor"/>
    </font>
    <font>
      <i/>
      <sz val="11"/>
      <color rgb="FF7030A0"/>
      <name val="Calibri"/>
      <family val="2"/>
      <charset val="204"/>
      <scheme val="minor"/>
    </font>
    <font>
      <sz val="11"/>
      <color rgb="FF7030A0"/>
      <name val="Times New Roman"/>
      <family val="1"/>
      <charset val="204"/>
    </font>
    <font>
      <sz val="12"/>
      <name val="Times New Roman Cyr"/>
      <family val="1"/>
      <charset val="204"/>
    </font>
    <font>
      <sz val="12"/>
      <color rgb="FFFF0000"/>
      <name val="Times New Roman Cyr"/>
      <family val="1"/>
      <charset val="204"/>
    </font>
    <font>
      <sz val="12"/>
      <color theme="1"/>
      <name val="Calibri"/>
      <family val="2"/>
      <charset val="204"/>
    </font>
    <font>
      <sz val="11"/>
      <color rgb="FFC00000"/>
      <name val="Calibri"/>
      <family val="2"/>
      <charset val="204"/>
      <scheme val="minor"/>
    </font>
    <font>
      <b/>
      <sz val="11"/>
      <color rgb="FFC00000"/>
      <name val="Calibri"/>
      <family val="2"/>
      <charset val="204"/>
      <scheme val="minor"/>
    </font>
    <font>
      <sz val="11"/>
      <color theme="0"/>
      <name val="Times New Roman"/>
      <family val="1"/>
      <charset val="204"/>
    </font>
    <font>
      <b/>
      <sz val="12"/>
      <color rgb="FFC00000"/>
      <name val="Calibri"/>
      <family val="2"/>
      <charset val="204"/>
      <scheme val="minor"/>
    </font>
    <font>
      <b/>
      <sz val="14"/>
      <color rgb="FFC00000"/>
      <name val="Times New Roman"/>
      <family val="1"/>
      <charset val="204"/>
    </font>
    <font>
      <sz val="11"/>
      <color rgb="FFC00000"/>
      <name val="Times New Roman"/>
      <family val="1"/>
      <charset val="204"/>
    </font>
    <font>
      <b/>
      <sz val="11"/>
      <color rgb="FFFF0000"/>
      <name val="Calibri"/>
      <family val="2"/>
      <charset val="204"/>
      <scheme val="minor"/>
    </font>
    <font>
      <sz val="10"/>
      <color rgb="FF7030A0"/>
      <name val="Times New Roman"/>
      <family val="1"/>
      <charset val="204"/>
    </font>
    <font>
      <sz val="14"/>
      <color rgb="FFFF0000"/>
      <name val="Calibri"/>
      <family val="2"/>
      <charset val="204"/>
      <scheme val="minor"/>
    </font>
    <font>
      <sz val="12"/>
      <color theme="1"/>
      <name val="Times New Roman Cyr"/>
      <family val="1"/>
      <charset val="204"/>
    </font>
    <font>
      <sz val="8"/>
      <name val="Times New Roman"/>
      <family val="1"/>
      <charset val="204"/>
    </font>
    <font>
      <sz val="10"/>
      <name val="Calibri"/>
      <family val="2"/>
      <charset val="204"/>
      <scheme val="minor"/>
    </font>
    <font>
      <sz val="10"/>
      <color rgb="FFFF0000"/>
      <name val="Times New Roman"/>
      <family val="1"/>
      <charset val="204"/>
    </font>
    <font>
      <b/>
      <sz val="14"/>
      <name val="Times New Roman"/>
      <family val="1"/>
      <charset val="204"/>
    </font>
    <font>
      <b/>
      <sz val="10"/>
      <color rgb="FFFF0000"/>
      <name val="Calibri"/>
      <family val="2"/>
      <charset val="204"/>
      <scheme val="minor"/>
    </font>
    <font>
      <b/>
      <sz val="12"/>
      <color rgb="FFFF0000"/>
      <name val="Calibri"/>
      <family val="2"/>
      <charset val="204"/>
      <scheme val="minor"/>
    </font>
    <font>
      <i/>
      <sz val="10"/>
      <name val="Times New Roman"/>
      <family val="1"/>
      <charset val="204"/>
    </font>
    <font>
      <vertAlign val="superscript"/>
      <sz val="10"/>
      <name val="Times New Roman"/>
      <family val="1"/>
      <charset val="204"/>
    </font>
    <font>
      <b/>
      <sz val="10"/>
      <name val="Times New Roman"/>
      <family val="1"/>
      <charset val="204"/>
    </font>
    <font>
      <sz val="11"/>
      <color theme="9" tint="-0.499984740745262"/>
      <name val="Times New Roman"/>
      <family val="1"/>
      <charset val="204"/>
    </font>
    <font>
      <b/>
      <sz val="10"/>
      <color rgb="FFFF0000"/>
      <name val="Times New Roman"/>
      <family val="1"/>
      <charset val="204"/>
    </font>
    <font>
      <b/>
      <sz val="11"/>
      <color rgb="FFFF0000"/>
      <name val="Times New Roman"/>
      <family val="1"/>
      <charset val="204"/>
    </font>
    <font>
      <sz val="10"/>
      <name val="Arial Cyr"/>
      <charset val="204"/>
    </font>
    <font>
      <sz val="7"/>
      <color indexed="8"/>
      <name val="Arial"/>
      <family val="2"/>
      <charset val="204"/>
    </font>
    <font>
      <b/>
      <i/>
      <sz val="7"/>
      <color indexed="8"/>
      <name val="Times New Roman"/>
      <family val="1"/>
      <charset val="204"/>
    </font>
    <font>
      <sz val="9"/>
      <color indexed="8"/>
      <name val="Arial"/>
      <family val="2"/>
      <charset val="204"/>
    </font>
    <font>
      <b/>
      <sz val="8"/>
      <color indexed="8"/>
      <name val="Arial"/>
      <family val="2"/>
      <charset val="204"/>
    </font>
    <font>
      <sz val="8"/>
      <color indexed="8"/>
      <name val="Arial"/>
      <family val="2"/>
      <charset val="204"/>
    </font>
    <font>
      <b/>
      <sz val="7"/>
      <color indexed="8"/>
      <name val="Arial"/>
      <family val="2"/>
      <charset val="204"/>
    </font>
    <font>
      <sz val="10"/>
      <color indexed="8"/>
      <name val="Arial"/>
      <family val="2"/>
      <charset val="204"/>
    </font>
    <font>
      <b/>
      <sz val="12"/>
      <color indexed="8"/>
      <name val="Arial"/>
      <family val="2"/>
      <charset val="204"/>
    </font>
    <font>
      <i/>
      <u/>
      <sz val="12"/>
      <name val="Times New Roman"/>
      <family val="1"/>
      <charset val="204"/>
    </font>
    <font>
      <i/>
      <sz val="8"/>
      <name val="Times New Roman"/>
      <family val="1"/>
      <charset val="204"/>
    </font>
    <font>
      <b/>
      <i/>
      <sz val="10"/>
      <name val="Times New Roman"/>
      <family val="1"/>
      <charset val="204"/>
    </font>
    <font>
      <b/>
      <sz val="11"/>
      <name val="Times New Roman"/>
      <family val="1"/>
      <charset val="204"/>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xf numFmtId="0" fontId="87" fillId="0" borderId="0"/>
    <xf numFmtId="164" fontId="87" fillId="0" borderId="0" applyFont="0" applyFill="0" applyBorder="0" applyAlignment="0" applyProtection="0"/>
    <xf numFmtId="164" fontId="87" fillId="0" borderId="0" applyFont="0" applyFill="0" applyBorder="0" applyAlignment="0" applyProtection="0"/>
    <xf numFmtId="9" fontId="87" fillId="0" borderId="0" applyFont="0" applyFill="0" applyBorder="0" applyAlignment="0" applyProtection="0"/>
    <xf numFmtId="0" fontId="88" fillId="0" borderId="0">
      <alignment horizontal="left" vertical="top"/>
    </xf>
    <xf numFmtId="0" fontId="89" fillId="0" borderId="0">
      <alignment horizontal="right" vertical="top"/>
    </xf>
    <xf numFmtId="0" fontId="90" fillId="0" borderId="0">
      <alignment horizontal="left" vertical="center"/>
    </xf>
    <xf numFmtId="0" fontId="88" fillId="0" borderId="16">
      <alignment horizontal="center" vertical="center"/>
    </xf>
    <xf numFmtId="0" fontId="91" fillId="0" borderId="0">
      <alignment horizontal="left" vertical="center"/>
    </xf>
    <xf numFmtId="0" fontId="88" fillId="0" borderId="1">
      <alignment horizontal="center" vertical="center"/>
    </xf>
    <xf numFmtId="0" fontId="88" fillId="0" borderId="1">
      <alignment horizontal="center" vertical="center"/>
    </xf>
    <xf numFmtId="0" fontId="88" fillId="0" borderId="1">
      <alignment horizontal="center" vertical="center"/>
    </xf>
    <xf numFmtId="0" fontId="88" fillId="0" borderId="17">
      <alignment horizontal="center" vertical="center"/>
    </xf>
    <xf numFmtId="0" fontId="88" fillId="0" borderId="17">
      <alignment horizontal="center" vertical="center"/>
    </xf>
    <xf numFmtId="0" fontId="88" fillId="0" borderId="16">
      <alignment horizontal="center" vertical="center"/>
    </xf>
    <xf numFmtId="0" fontId="88" fillId="0" borderId="1">
      <alignment horizontal="center" vertical="center"/>
    </xf>
    <xf numFmtId="0" fontId="88" fillId="0" borderId="17">
      <alignment horizontal="center" vertical="center"/>
    </xf>
    <xf numFmtId="0" fontId="91" fillId="0" borderId="23">
      <alignment horizontal="center" vertical="center"/>
    </xf>
    <xf numFmtId="0" fontId="88" fillId="0" borderId="0">
      <alignment horizontal="center" vertical="top"/>
    </xf>
    <xf numFmtId="0" fontId="92" fillId="0" borderId="0">
      <alignment horizontal="left" vertical="center"/>
    </xf>
    <xf numFmtId="0" fontId="88" fillId="0" borderId="0">
      <alignment horizontal="left" vertical="top"/>
    </xf>
    <xf numFmtId="0" fontId="88" fillId="0" borderId="0">
      <alignment horizontal="right" vertical="top"/>
    </xf>
    <xf numFmtId="0" fontId="88" fillId="0" borderId="0">
      <alignment horizontal="right" vertical="top"/>
    </xf>
    <xf numFmtId="0" fontId="91" fillId="0" borderId="4">
      <alignment horizontal="left" vertical="top"/>
    </xf>
    <xf numFmtId="0" fontId="93" fillId="0" borderId="4">
      <alignment horizontal="right" vertical="top"/>
    </xf>
    <xf numFmtId="0" fontId="91" fillId="0" borderId="4">
      <alignment horizontal="right" vertical="top"/>
    </xf>
    <xf numFmtId="0" fontId="92" fillId="0" borderId="0">
      <alignment horizontal="left" vertical="top"/>
    </xf>
    <xf numFmtId="0" fontId="90" fillId="0" borderId="0">
      <alignment horizontal="left" vertical="top"/>
    </xf>
    <xf numFmtId="0" fontId="88" fillId="0" borderId="0">
      <alignment horizontal="right" vertical="top"/>
    </xf>
    <xf numFmtId="0" fontId="88" fillId="0" borderId="0">
      <alignment horizontal="right" vertical="top"/>
    </xf>
    <xf numFmtId="0" fontId="91" fillId="0" borderId="0">
      <alignment horizontal="right" vertical="top"/>
    </xf>
    <xf numFmtId="0" fontId="92" fillId="0" borderId="0">
      <alignment horizontal="right" vertical="center"/>
    </xf>
    <xf numFmtId="0" fontId="92" fillId="0" borderId="0">
      <alignment horizontal="left" vertical="center"/>
    </xf>
    <xf numFmtId="0" fontId="92" fillId="0" borderId="0">
      <alignment horizontal="left" vertical="top"/>
    </xf>
    <xf numFmtId="0" fontId="92" fillId="0" borderId="23">
      <alignment horizontal="left" vertical="center"/>
    </xf>
    <xf numFmtId="0" fontId="92" fillId="0" borderId="23">
      <alignment horizontal="left" vertical="center"/>
    </xf>
    <xf numFmtId="0" fontId="94" fillId="0" borderId="0">
      <alignment horizontal="left" vertical="center"/>
    </xf>
    <xf numFmtId="0" fontId="95" fillId="0" borderId="0">
      <alignment horizontal="center"/>
    </xf>
    <xf numFmtId="0" fontId="90" fillId="0" borderId="0">
      <alignment horizontal="center" vertical="center"/>
    </xf>
    <xf numFmtId="0" fontId="90" fillId="0" borderId="0">
      <alignment horizontal="left" vertical="center"/>
    </xf>
    <xf numFmtId="164" fontId="87" fillId="0" borderId="0" applyFont="0" applyFill="0" applyBorder="0" applyAlignment="0" applyProtection="0"/>
    <xf numFmtId="164" fontId="87" fillId="0" borderId="0" applyFont="0" applyFill="0" applyBorder="0" applyAlignment="0" applyProtection="0"/>
  </cellStyleXfs>
  <cellXfs count="1085">
    <xf numFmtId="0" fontId="0" fillId="0" borderId="0" xfId="0"/>
    <xf numFmtId="49" fontId="2" fillId="0" borderId="1" xfId="0" applyNumberFormat="1" applyFont="1" applyBorder="1" applyAlignment="1">
      <alignment horizontal="center" vertical="center"/>
    </xf>
    <xf numFmtId="0" fontId="2" fillId="0" borderId="1" xfId="0" applyFont="1" applyBorder="1" applyAlignment="1">
      <alignment horizontal="center"/>
    </xf>
    <xf numFmtId="0" fontId="3" fillId="0" borderId="0" xfId="0" applyFont="1"/>
    <xf numFmtId="0" fontId="1" fillId="0" borderId="1" xfId="0" applyFont="1" applyFill="1" applyBorder="1" applyAlignment="1">
      <alignment horizontal="left" vertical="center" wrapText="1"/>
    </xf>
    <xf numFmtId="0" fontId="6" fillId="2" borderId="0" xfId="0" applyFont="1" applyFill="1" applyAlignment="1">
      <alignment horizontal="center" vertical="center"/>
    </xf>
    <xf numFmtId="0" fontId="7" fillId="3" borderId="6" xfId="0" applyFont="1" applyFill="1" applyBorder="1" applyAlignment="1">
      <alignment horizontal="left" wrapText="1"/>
    </xf>
    <xf numFmtId="0" fontId="7" fillId="3" borderId="7" xfId="0" applyFont="1" applyFill="1" applyBorder="1" applyAlignment="1">
      <alignment horizontal="center" vertical="center"/>
    </xf>
    <xf numFmtId="0" fontId="0" fillId="3" borderId="8" xfId="0" applyFill="1" applyBorder="1" applyAlignment="1">
      <alignment horizontal="center" vertical="center"/>
    </xf>
    <xf numFmtId="0" fontId="7" fillId="3" borderId="9" xfId="0" applyFont="1" applyFill="1" applyBorder="1"/>
    <xf numFmtId="0" fontId="7" fillId="3" borderId="1" xfId="0" applyFont="1" applyFill="1" applyBorder="1" applyAlignment="1">
      <alignment horizontal="center" vertical="center"/>
    </xf>
    <xf numFmtId="9" fontId="0" fillId="3" borderId="10" xfId="0" applyNumberFormat="1" applyFill="1" applyBorder="1" applyAlignment="1">
      <alignment horizontal="center" vertical="center"/>
    </xf>
    <xf numFmtId="0" fontId="0" fillId="3" borderId="10" xfId="0" applyFill="1" applyBorder="1" applyAlignment="1">
      <alignment horizontal="center" vertical="center"/>
    </xf>
    <xf numFmtId="10" fontId="0" fillId="3" borderId="10" xfId="0" applyNumberFormat="1" applyFill="1" applyBorder="1" applyAlignment="1">
      <alignment horizontal="center" vertical="center"/>
    </xf>
    <xf numFmtId="0" fontId="7" fillId="3" borderId="11" xfId="0" applyFont="1" applyFill="1" applyBorder="1"/>
    <xf numFmtId="0" fontId="7" fillId="3" borderId="12" xfId="0" applyFont="1" applyFill="1" applyBorder="1" applyAlignment="1">
      <alignment horizontal="center" vertical="center"/>
    </xf>
    <xf numFmtId="0" fontId="0" fillId="0" borderId="0" xfId="0" applyAlignment="1">
      <alignment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10" fontId="0" fillId="3" borderId="1" xfId="0" applyNumberFormat="1" applyFill="1" applyBorder="1" applyAlignment="1">
      <alignment horizontal="center"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4" fontId="8" fillId="0" borderId="10" xfId="0" applyNumberFormat="1" applyFont="1" applyBorder="1" applyAlignment="1">
      <alignment horizontal="center" vertical="center"/>
    </xf>
    <xf numFmtId="0" fontId="8" fillId="3" borderId="12" xfId="0" applyFont="1" applyFill="1" applyBorder="1" applyAlignment="1">
      <alignment horizontal="center" vertical="center"/>
    </xf>
    <xf numFmtId="4" fontId="8" fillId="0" borderId="12" xfId="0" applyNumberFormat="1" applyFont="1" applyBorder="1" applyAlignment="1">
      <alignment horizontal="center" vertical="center"/>
    </xf>
    <xf numFmtId="4" fontId="8" fillId="0" borderId="13" xfId="0" applyNumberFormat="1" applyFont="1" applyBorder="1" applyAlignment="1">
      <alignment horizontal="center" vertical="center"/>
    </xf>
    <xf numFmtId="3" fontId="9" fillId="5" borderId="9" xfId="0" applyNumberFormat="1" applyFont="1" applyFill="1" applyBorder="1" applyAlignment="1">
      <alignment horizontal="center" vertical="center"/>
    </xf>
    <xf numFmtId="3" fontId="9" fillId="5" borderId="1"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8" fillId="0" borderId="2" xfId="0" applyFont="1" applyBorder="1" applyAlignment="1">
      <alignment horizontal="center" vertical="center"/>
    </xf>
    <xf numFmtId="2" fontId="8" fillId="3" borderId="2"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3" fontId="9" fillId="5" borderId="16" xfId="0" applyNumberFormat="1" applyFont="1" applyFill="1" applyBorder="1" applyAlignment="1">
      <alignment horizontal="center" vertical="center"/>
    </xf>
    <xf numFmtId="3" fontId="9" fillId="5"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2" fillId="0" borderId="1" xfId="0" applyFont="1" applyBorder="1" applyAlignment="1">
      <alignment horizontal="center" vertical="center"/>
    </xf>
    <xf numFmtId="49" fontId="0" fillId="0" borderId="0" xfId="0" applyNumberFormat="1" applyAlignment="1">
      <alignment horizontal="center" vertical="center"/>
    </xf>
    <xf numFmtId="0" fontId="0" fillId="3" borderId="1" xfId="0" applyFill="1" applyBorder="1" applyAlignment="1">
      <alignment horizontal="left" vertical="center" wrapText="1"/>
    </xf>
    <xf numFmtId="165" fontId="8" fillId="3" borderId="2" xfId="0" applyNumberFormat="1"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3" borderId="1" xfId="0" applyFont="1" applyFill="1" applyBorder="1" applyAlignment="1">
      <alignment horizontal="center" vertical="center"/>
    </xf>
    <xf numFmtId="10" fontId="0" fillId="3" borderId="1" xfId="0" applyNumberFormat="1" applyFont="1" applyFill="1" applyBorder="1" applyAlignment="1">
      <alignment horizontal="center" vertical="center"/>
    </xf>
    <xf numFmtId="0" fontId="0" fillId="0" borderId="0" xfId="0" applyFont="1"/>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4" fontId="0" fillId="0" borderId="1" xfId="0" applyNumberFormat="1" applyFont="1" applyBorder="1" applyAlignment="1">
      <alignment horizontal="center" vertical="center"/>
    </xf>
    <xf numFmtId="0" fontId="0" fillId="0" borderId="1" xfId="0" applyFill="1" applyBorder="1" applyAlignment="1">
      <alignment wrapText="1"/>
    </xf>
    <xf numFmtId="0" fontId="0" fillId="0" borderId="0"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1" xfId="0" applyFont="1" applyFill="1" applyBorder="1" applyAlignment="1">
      <alignment horizontal="left" vertical="center" wrapText="1"/>
    </xf>
    <xf numFmtId="0" fontId="0" fillId="3" borderId="13" xfId="0" applyFill="1" applyBorder="1" applyAlignment="1">
      <alignment horizontal="center" vertical="center"/>
    </xf>
    <xf numFmtId="0" fontId="6" fillId="0" borderId="0" xfId="0" applyFont="1" applyFill="1" applyAlignment="1">
      <alignment horizontal="center" vertical="center"/>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10" fontId="0" fillId="0" borderId="0"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14" fillId="0" borderId="0" xfId="0" applyFont="1"/>
    <xf numFmtId="0" fontId="16" fillId="0" borderId="0" xfId="0" applyFont="1"/>
    <xf numFmtId="2" fontId="13" fillId="0" borderId="0" xfId="0" applyNumberFormat="1" applyFont="1" applyAlignment="1">
      <alignment horizontal="center" vertical="center"/>
    </xf>
    <xf numFmtId="0" fontId="17" fillId="0" borderId="0" xfId="0" applyFont="1"/>
    <xf numFmtId="0" fontId="20" fillId="0" borderId="0" xfId="0" applyFont="1"/>
    <xf numFmtId="0" fontId="21" fillId="0" borderId="0" xfId="0" applyFont="1"/>
    <xf numFmtId="4" fontId="20" fillId="0" borderId="0" xfId="0" applyNumberFormat="1" applyFont="1"/>
    <xf numFmtId="2" fontId="18" fillId="0" borderId="0" xfId="0" applyNumberFormat="1" applyFont="1" applyAlignment="1">
      <alignment horizontal="center" vertical="center"/>
    </xf>
    <xf numFmtId="4" fontId="18" fillId="0" borderId="0" xfId="0" applyNumberFormat="1" applyFont="1"/>
    <xf numFmtId="0" fontId="18" fillId="0" borderId="0" xfId="0" applyFont="1"/>
    <xf numFmtId="0" fontId="18" fillId="0" borderId="14" xfId="0" applyFont="1" applyBorder="1" applyAlignment="1">
      <alignment horizontal="center"/>
    </xf>
    <xf numFmtId="0" fontId="16" fillId="0" borderId="0" xfId="0" applyFont="1" applyAlignment="1">
      <alignment horizontal="left" vertical="center"/>
    </xf>
    <xf numFmtId="49" fontId="17" fillId="0" borderId="0" xfId="0" applyNumberFormat="1" applyFont="1" applyAlignment="1">
      <alignment horizontal="center" vertical="center"/>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9" fontId="31" fillId="0" borderId="3" xfId="0" applyNumberFormat="1" applyFont="1" applyFill="1" applyBorder="1" applyAlignment="1">
      <alignment horizontal="center" vertical="center" wrapText="1"/>
    </xf>
    <xf numFmtId="0" fontId="35" fillId="0" borderId="16" xfId="0" applyFont="1" applyBorder="1" applyAlignment="1">
      <alignment vertical="center" wrapText="1"/>
    </xf>
    <xf numFmtId="9" fontId="36" fillId="0"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0" xfId="0" applyFont="1" applyAlignment="1">
      <alignment wrapText="1"/>
    </xf>
    <xf numFmtId="0" fontId="34" fillId="0" borderId="16" xfId="0" applyFont="1" applyBorder="1" applyAlignment="1">
      <alignment vertical="center"/>
    </xf>
    <xf numFmtId="2" fontId="18" fillId="0" borderId="16" xfId="0" applyNumberFormat="1" applyFont="1" applyBorder="1" applyAlignment="1">
      <alignment horizontal="center" vertical="center"/>
    </xf>
    <xf numFmtId="4" fontId="18" fillId="0" borderId="20" xfId="0" applyNumberFormat="1" applyFont="1" applyBorder="1" applyAlignment="1">
      <alignment horizontal="center" vertical="center"/>
    </xf>
    <xf numFmtId="4" fontId="0" fillId="0" borderId="0" xfId="0" applyNumberFormat="1"/>
    <xf numFmtId="49" fontId="4" fillId="0" borderId="1" xfId="0" applyNumberFormat="1" applyFont="1" applyBorder="1" applyAlignment="1">
      <alignment horizontal="center" vertical="center"/>
    </xf>
    <xf numFmtId="0" fontId="38" fillId="0" borderId="0" xfId="0" applyFont="1"/>
    <xf numFmtId="10" fontId="4" fillId="0" borderId="0" xfId="0" applyNumberFormat="1" applyFont="1" applyAlignment="1">
      <alignment horizontal="center" vertical="center"/>
    </xf>
    <xf numFmtId="2" fontId="13" fillId="0" borderId="0" xfId="0" applyNumberFormat="1" applyFont="1" applyBorder="1" applyAlignment="1">
      <alignment horizontal="center" vertical="center"/>
    </xf>
    <xf numFmtId="2" fontId="18" fillId="0" borderId="0" xfId="0" applyNumberFormat="1" applyFont="1" applyBorder="1" applyAlignment="1">
      <alignment horizontal="center" vertical="center"/>
    </xf>
    <xf numFmtId="4" fontId="18" fillId="0" borderId="19" xfId="0" applyNumberFormat="1" applyFont="1" applyBorder="1" applyAlignment="1">
      <alignment horizontal="center" vertical="center"/>
    </xf>
    <xf numFmtId="4" fontId="18" fillId="0" borderId="22" xfId="0" applyNumberFormat="1" applyFont="1" applyBorder="1" applyAlignment="1">
      <alignment horizontal="center" vertical="center"/>
    </xf>
    <xf numFmtId="2" fontId="13" fillId="0" borderId="14" xfId="0" applyNumberFormat="1" applyFont="1" applyBorder="1" applyAlignment="1">
      <alignment horizontal="center" vertical="center"/>
    </xf>
    <xf numFmtId="4" fontId="18" fillId="0" borderId="16" xfId="0" applyNumberFormat="1" applyFont="1" applyBorder="1" applyAlignment="1">
      <alignment horizontal="center" vertical="center"/>
    </xf>
    <xf numFmtId="4" fontId="13" fillId="0" borderId="19" xfId="0" applyNumberFormat="1" applyFont="1" applyBorder="1" applyAlignment="1">
      <alignment horizontal="center" vertical="center"/>
    </xf>
    <xf numFmtId="4" fontId="13" fillId="0" borderId="16" xfId="0" applyNumberFormat="1" applyFont="1" applyBorder="1" applyAlignment="1">
      <alignment horizontal="center" vertical="center"/>
    </xf>
    <xf numFmtId="2" fontId="18" fillId="0" borderId="14" xfId="0" applyNumberFormat="1" applyFont="1" applyBorder="1" applyAlignment="1">
      <alignment horizontal="center" vertical="center"/>
    </xf>
    <xf numFmtId="2" fontId="13" fillId="0" borderId="14" xfId="0" applyNumberFormat="1" applyFont="1" applyBorder="1" applyAlignment="1">
      <alignment vertical="center"/>
    </xf>
    <xf numFmtId="2" fontId="18" fillId="6" borderId="0" xfId="0" applyNumberFormat="1" applyFont="1" applyFill="1" applyAlignment="1">
      <alignment horizontal="center" vertical="center"/>
    </xf>
    <xf numFmtId="4" fontId="18" fillId="0" borderId="16" xfId="0" applyNumberFormat="1" applyFont="1" applyBorder="1" applyAlignment="1">
      <alignment horizontal="center" vertical="center"/>
    </xf>
    <xf numFmtId="0" fontId="0" fillId="3" borderId="0" xfId="0" applyFill="1"/>
    <xf numFmtId="0" fontId="14" fillId="3" borderId="0" xfId="0" applyFont="1" applyFill="1"/>
    <xf numFmtId="0" fontId="20" fillId="3" borderId="1" xfId="0" applyFont="1" applyFill="1" applyBorder="1"/>
    <xf numFmtId="0" fontId="20" fillId="3" borderId="0" xfId="0" applyFont="1" applyFill="1"/>
    <xf numFmtId="4" fontId="18" fillId="3" borderId="1" xfId="0" applyNumberFormat="1" applyFont="1" applyFill="1" applyBorder="1" applyAlignment="1">
      <alignment horizontal="center" vertical="center"/>
    </xf>
    <xf numFmtId="2" fontId="18" fillId="3" borderId="0" xfId="0" applyNumberFormat="1" applyFont="1" applyFill="1" applyAlignment="1">
      <alignment horizontal="center" vertical="center"/>
    </xf>
    <xf numFmtId="4" fontId="20" fillId="3" borderId="1" xfId="0" applyNumberFormat="1" applyFont="1" applyFill="1" applyBorder="1"/>
    <xf numFmtId="4" fontId="18" fillId="3" borderId="1" xfId="0" applyNumberFormat="1" applyFont="1" applyFill="1" applyBorder="1"/>
    <xf numFmtId="0" fontId="18" fillId="3" borderId="0" xfId="0" applyFont="1" applyFill="1"/>
    <xf numFmtId="0" fontId="18" fillId="3" borderId="0" xfId="0" applyFont="1" applyFill="1" applyBorder="1" applyAlignment="1">
      <alignment horizontal="center"/>
    </xf>
    <xf numFmtId="2" fontId="13" fillId="3" borderId="0" xfId="0" applyNumberFormat="1" applyFont="1" applyFill="1" applyAlignment="1">
      <alignment horizontal="center" vertical="center"/>
    </xf>
    <xf numFmtId="0" fontId="16" fillId="3" borderId="0" xfId="0" applyFont="1" applyFill="1"/>
    <xf numFmtId="0" fontId="18" fillId="3" borderId="1" xfId="0" applyFont="1" applyFill="1" applyBorder="1"/>
    <xf numFmtId="0" fontId="26" fillId="3" borderId="16" xfId="0" applyFont="1" applyFill="1" applyBorder="1" applyAlignment="1">
      <alignment vertical="center"/>
    </xf>
    <xf numFmtId="0" fontId="27" fillId="3" borderId="16" xfId="0" applyFont="1" applyFill="1" applyBorder="1" applyAlignment="1">
      <alignment vertical="center" wrapText="1"/>
    </xf>
    <xf numFmtId="0" fontId="17" fillId="3" borderId="0" xfId="0" applyFont="1" applyFill="1"/>
    <xf numFmtId="0" fontId="3" fillId="3" borderId="0" xfId="0" applyFont="1" applyFill="1"/>
    <xf numFmtId="0" fontId="21" fillId="3" borderId="0" xfId="0" applyFont="1" applyFill="1"/>
    <xf numFmtId="0" fontId="42" fillId="3" borderId="0" xfId="0" applyFont="1" applyFill="1"/>
    <xf numFmtId="4" fontId="18" fillId="3" borderId="2" xfId="0" applyNumberFormat="1" applyFont="1" applyFill="1" applyBorder="1" applyAlignment="1">
      <alignment horizontal="center" vertical="center"/>
    </xf>
    <xf numFmtId="2" fontId="18" fillId="3"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4" fontId="18" fillId="3" borderId="16" xfId="0" applyNumberFormat="1" applyFont="1" applyFill="1" applyBorder="1" applyAlignment="1">
      <alignment horizontal="center" vertical="center"/>
    </xf>
    <xf numFmtId="0" fontId="43" fillId="3" borderId="1" xfId="0" applyFont="1" applyFill="1" applyBorder="1" applyAlignment="1">
      <alignment horizontal="center" vertical="center"/>
    </xf>
    <xf numFmtId="4" fontId="18" fillId="3" borderId="19" xfId="0" applyNumberFormat="1" applyFont="1" applyFill="1" applyBorder="1" applyAlignment="1">
      <alignment horizontal="center" vertical="center"/>
    </xf>
    <xf numFmtId="0" fontId="42" fillId="0" borderId="0" xfId="0" applyFont="1"/>
    <xf numFmtId="2" fontId="18" fillId="6" borderId="17" xfId="0" applyNumberFormat="1" applyFont="1" applyFill="1" applyBorder="1" applyAlignment="1">
      <alignment horizontal="center" vertical="center"/>
    </xf>
    <xf numFmtId="0" fontId="0" fillId="3" borderId="15" xfId="0" applyFill="1" applyBorder="1"/>
    <xf numFmtId="0" fontId="0" fillId="0" borderId="16" xfId="0" applyBorder="1"/>
    <xf numFmtId="0" fontId="17" fillId="0" borderId="17" xfId="0" applyFont="1" applyBorder="1"/>
    <xf numFmtId="164" fontId="18" fillId="0" borderId="3" xfId="0" applyNumberFormat="1" applyFont="1" applyFill="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0" fillId="0" borderId="16" xfId="0" applyBorder="1" applyAlignment="1">
      <alignment horizontal="center" vertical="center"/>
    </xf>
    <xf numFmtId="0" fontId="45" fillId="0" borderId="1" xfId="0" applyFont="1" applyBorder="1" applyAlignment="1">
      <alignment horizontal="center" vertical="center"/>
    </xf>
    <xf numFmtId="2" fontId="13" fillId="0" borderId="0" xfId="0" applyNumberFormat="1" applyFont="1" applyFill="1" applyAlignment="1">
      <alignment horizontal="center" vertical="center"/>
    </xf>
    <xf numFmtId="0" fontId="16" fillId="0" borderId="1" xfId="0" applyFont="1" applyFill="1" applyBorder="1" applyAlignment="1">
      <alignment horizontal="center" vertical="center"/>
    </xf>
    <xf numFmtId="0" fontId="0" fillId="0" borderId="0" xfId="0" applyFill="1"/>
    <xf numFmtId="0" fontId="45" fillId="0" borderId="1" xfId="0" applyFont="1" applyFill="1" applyBorder="1" applyAlignment="1">
      <alignment horizontal="center" vertical="center"/>
    </xf>
    <xf numFmtId="0" fontId="46" fillId="0" borderId="17" xfId="0" applyFont="1" applyBorder="1" applyAlignment="1">
      <alignment horizontal="center" vertical="center"/>
    </xf>
    <xf numFmtId="0" fontId="17" fillId="0" borderId="17" xfId="0" applyFont="1" applyBorder="1" applyAlignment="1">
      <alignment horizontal="center" vertical="center"/>
    </xf>
    <xf numFmtId="0" fontId="46" fillId="0" borderId="17" xfId="0" applyFont="1" applyFill="1" applyBorder="1" applyAlignment="1">
      <alignment horizontal="center" vertical="center"/>
    </xf>
    <xf numFmtId="10" fontId="0" fillId="0" borderId="0" xfId="0" applyNumberFormat="1" applyAlignment="1">
      <alignment horizontal="center" vertical="center"/>
    </xf>
    <xf numFmtId="4" fontId="18" fillId="0" borderId="17" xfId="0" applyNumberFormat="1" applyFont="1" applyBorder="1" applyAlignment="1">
      <alignment horizontal="center" vertical="center"/>
    </xf>
    <xf numFmtId="0" fontId="21" fillId="0" borderId="1" xfId="0" applyFont="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17" fillId="0" borderId="1" xfId="0" applyFont="1" applyFill="1" applyBorder="1" applyAlignment="1">
      <alignment horizontal="center" vertical="center"/>
    </xf>
    <xf numFmtId="4" fontId="0" fillId="0" borderId="1" xfId="0" applyNumberFormat="1" applyBorder="1"/>
    <xf numFmtId="0" fontId="0" fillId="0" borderId="1" xfId="0" applyBorder="1"/>
    <xf numFmtId="4" fontId="0" fillId="0" borderId="0" xfId="0" applyNumberFormat="1" applyAlignment="1">
      <alignment horizontal="center" vertical="center"/>
    </xf>
    <xf numFmtId="4" fontId="47" fillId="0" borderId="0" xfId="0" applyNumberFormat="1" applyFont="1"/>
    <xf numFmtId="10" fontId="48" fillId="0" borderId="17" xfId="0" applyNumberFormat="1" applyFont="1" applyBorder="1" applyAlignment="1">
      <alignment horizontal="center" vertical="center"/>
    </xf>
    <xf numFmtId="49" fontId="16" fillId="0" borderId="0" xfId="0" applyNumberFormat="1" applyFont="1" applyFill="1" applyAlignment="1">
      <alignment horizontal="center" vertical="center"/>
    </xf>
    <xf numFmtId="0" fontId="16" fillId="0" borderId="0" xfId="0" applyFont="1" applyFill="1"/>
    <xf numFmtId="0" fontId="16" fillId="0" borderId="0" xfId="0" applyFont="1" applyFill="1" applyAlignment="1">
      <alignment horizontal="left" vertical="center"/>
    </xf>
    <xf numFmtId="0" fontId="16" fillId="0" borderId="0" xfId="0" applyFont="1" applyFill="1" applyAlignment="1">
      <alignment horizontal="center" vertical="center"/>
    </xf>
    <xf numFmtId="4" fontId="16" fillId="0" borderId="0" xfId="0" applyNumberFormat="1" applyFont="1" applyFill="1"/>
    <xf numFmtId="3" fontId="14" fillId="0" borderId="2" xfId="0" applyNumberFormat="1" applyFont="1" applyFill="1" applyBorder="1" applyAlignment="1">
      <alignment horizontal="center"/>
    </xf>
    <xf numFmtId="0" fontId="19" fillId="0" borderId="15" xfId="0" applyFont="1" applyFill="1" applyBorder="1" applyAlignment="1">
      <alignment vertical="center"/>
    </xf>
    <xf numFmtId="0" fontId="18" fillId="0" borderId="1" xfId="0" applyFont="1" applyFill="1" applyBorder="1" applyAlignment="1">
      <alignment horizontal="right" vertical="center"/>
    </xf>
    <xf numFmtId="0" fontId="22" fillId="0" borderId="1" xfId="0" applyFont="1" applyFill="1" applyBorder="1" applyAlignment="1">
      <alignment horizontal="center" vertical="center"/>
    </xf>
    <xf numFmtId="4" fontId="18" fillId="0" borderId="1" xfId="0" applyNumberFormat="1" applyFont="1" applyFill="1" applyBorder="1"/>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26" fillId="0" borderId="15" xfId="0" applyFont="1" applyFill="1" applyBorder="1" applyAlignment="1">
      <alignment vertical="center"/>
    </xf>
    <xf numFmtId="2" fontId="22" fillId="0" borderId="1" xfId="0" applyNumberFormat="1" applyFont="1" applyFill="1" applyBorder="1" applyAlignment="1">
      <alignment horizontal="left" vertical="center" wrapText="1"/>
    </xf>
    <xf numFmtId="166" fontId="18" fillId="0" borderId="1" xfId="0" applyNumberFormat="1" applyFont="1" applyFill="1" applyBorder="1" applyAlignment="1">
      <alignment horizontal="center" vertical="center"/>
    </xf>
    <xf numFmtId="0" fontId="22" fillId="0" borderId="1" xfId="0" applyFont="1" applyFill="1" applyBorder="1" applyAlignment="1">
      <alignment horizontal="left" vertical="center"/>
    </xf>
    <xf numFmtId="165" fontId="18" fillId="0" borderId="1" xfId="0" applyNumberFormat="1" applyFont="1" applyFill="1" applyBorder="1" applyAlignment="1">
      <alignment horizontal="center" vertical="center"/>
    </xf>
    <xf numFmtId="0" fontId="18" fillId="0" borderId="1" xfId="0" applyFont="1" applyFill="1" applyBorder="1" applyAlignment="1">
      <alignment horizontal="center" wrapText="1"/>
    </xf>
    <xf numFmtId="49" fontId="0" fillId="0" borderId="0" xfId="0" applyNumberFormat="1" applyFill="1" applyAlignment="1">
      <alignment horizontal="center" vertical="center"/>
    </xf>
    <xf numFmtId="0" fontId="20" fillId="0" borderId="0" xfId="0" applyFont="1" applyFill="1" applyAlignment="1">
      <alignment horizontal="left" vertical="center"/>
    </xf>
    <xf numFmtId="0" fontId="20" fillId="0" borderId="0" xfId="0" applyFont="1" applyFill="1"/>
    <xf numFmtId="0" fontId="0" fillId="0" borderId="0" xfId="0" applyFill="1" applyAlignment="1">
      <alignment horizontal="center" vertical="center"/>
    </xf>
    <xf numFmtId="4" fontId="0" fillId="0" borderId="0" xfId="0" applyNumberFormat="1" applyFill="1"/>
    <xf numFmtId="0" fontId="16" fillId="0" borderId="0" xfId="0" applyFont="1" applyFill="1" applyAlignment="1">
      <alignment wrapText="1"/>
    </xf>
    <xf numFmtId="49" fontId="33" fillId="0" borderId="1" xfId="0" applyNumberFormat="1" applyFont="1" applyFill="1" applyBorder="1" applyAlignment="1">
      <alignment horizontal="center" vertical="center"/>
    </xf>
    <xf numFmtId="0" fontId="33" fillId="0" borderId="1" xfId="0" applyFont="1" applyFill="1" applyBorder="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center" wrapText="1"/>
    </xf>
    <xf numFmtId="0" fontId="23" fillId="0" borderId="1" xfId="0" applyFont="1" applyFill="1" applyBorder="1" applyAlignment="1">
      <alignment horizontal="center"/>
    </xf>
    <xf numFmtId="0" fontId="20" fillId="0" borderId="1" xfId="0" applyFont="1" applyFill="1" applyBorder="1"/>
    <xf numFmtId="0" fontId="20" fillId="0" borderId="1" xfId="0" applyFont="1" applyFill="1" applyBorder="1" applyAlignment="1">
      <alignment horizontal="left" vertical="center"/>
    </xf>
    <xf numFmtId="0" fontId="20" fillId="0" borderId="1" xfId="0" applyFont="1" applyFill="1" applyBorder="1" applyAlignment="1">
      <alignment wrapText="1"/>
    </xf>
    <xf numFmtId="4" fontId="20" fillId="0" borderId="1" xfId="0" applyNumberFormat="1" applyFont="1" applyFill="1" applyBorder="1"/>
    <xf numFmtId="0" fontId="20" fillId="0" borderId="1" xfId="0" applyFont="1" applyFill="1" applyBorder="1" applyAlignment="1">
      <alignment horizontal="left" vertical="center" wrapText="1"/>
    </xf>
    <xf numFmtId="49" fontId="31" fillId="0" borderId="5" xfId="0" applyNumberFormat="1"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4" fontId="20" fillId="0" borderId="5" xfId="0" applyNumberFormat="1" applyFont="1" applyFill="1" applyBorder="1" applyAlignment="1">
      <alignment horizontal="center" vertical="center"/>
    </xf>
    <xf numFmtId="0" fontId="20" fillId="0" borderId="15" xfId="0" applyFont="1" applyFill="1" applyBorder="1" applyAlignment="1">
      <alignment vertical="center" wrapText="1"/>
    </xf>
    <xf numFmtId="49" fontId="31" fillId="0" borderId="4" xfId="0" applyNumberFormat="1" applyFont="1" applyFill="1" applyBorder="1" applyAlignment="1">
      <alignment vertical="center" wrapText="1"/>
    </xf>
    <xf numFmtId="49" fontId="31" fillId="0" borderId="0" xfId="0" applyNumberFormat="1" applyFont="1" applyFill="1" applyBorder="1" applyAlignment="1">
      <alignment vertical="center" wrapText="1"/>
    </xf>
    <xf numFmtId="49" fontId="31" fillId="0" borderId="23" xfId="0" applyNumberFormat="1" applyFont="1" applyFill="1" applyBorder="1" applyAlignment="1">
      <alignment vertical="center" wrapText="1"/>
    </xf>
    <xf numFmtId="0" fontId="34" fillId="0" borderId="15" xfId="0" applyFont="1" applyFill="1" applyBorder="1" applyAlignment="1">
      <alignment vertical="center"/>
    </xf>
    <xf numFmtId="0" fontId="20" fillId="0" borderId="1" xfId="0" applyFont="1" applyFill="1" applyBorder="1" applyAlignment="1">
      <alignment horizontal="center" vertical="center"/>
    </xf>
    <xf numFmtId="0" fontId="31" fillId="0" borderId="15" xfId="0" applyFont="1" applyFill="1" applyBorder="1" applyAlignment="1">
      <alignment vertical="center" wrapText="1"/>
    </xf>
    <xf numFmtId="0" fontId="31" fillId="0" borderId="1" xfId="0" applyFont="1" applyFill="1" applyBorder="1" applyAlignment="1">
      <alignment vertical="center" wrapText="1"/>
    </xf>
    <xf numFmtId="49" fontId="18" fillId="0" borderId="17"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xf>
    <xf numFmtId="0" fontId="12" fillId="0" borderId="15" xfId="0" applyFont="1" applyFill="1" applyBorder="1" applyAlignment="1">
      <alignment horizontal="left"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31" fillId="0" borderId="5" xfId="0" applyFont="1" applyFill="1" applyBorder="1" applyAlignment="1">
      <alignment horizontal="left" vertical="center" wrapText="1"/>
    </xf>
    <xf numFmtId="0" fontId="18" fillId="0" borderId="0" xfId="0" applyFont="1" applyFill="1" applyAlignment="1">
      <alignment wrapText="1"/>
    </xf>
    <xf numFmtId="0" fontId="18" fillId="0" borderId="0" xfId="0" applyFont="1" applyFill="1"/>
    <xf numFmtId="49" fontId="18" fillId="0" borderId="0" xfId="0" applyNumberFormat="1" applyFont="1" applyFill="1" applyAlignment="1">
      <alignment horizontal="center" vertical="center"/>
    </xf>
    <xf numFmtId="0" fontId="18" fillId="0" borderId="0" xfId="0" applyFont="1" applyFill="1" applyAlignment="1">
      <alignment horizontal="left" vertical="center"/>
    </xf>
    <xf numFmtId="0" fontId="29" fillId="0" borderId="0" xfId="0" applyFont="1" applyFill="1"/>
    <xf numFmtId="0" fontId="29" fillId="0" borderId="0" xfId="0" applyFont="1" applyFill="1" applyAlignment="1">
      <alignment wrapText="1"/>
    </xf>
    <xf numFmtId="0" fontId="30" fillId="0" borderId="0" xfId="0" applyFont="1" applyFill="1"/>
    <xf numFmtId="49" fontId="17" fillId="0" borderId="0" xfId="0" applyNumberFormat="1" applyFont="1" applyFill="1" applyAlignment="1">
      <alignment horizontal="center" vertical="center"/>
    </xf>
    <xf numFmtId="0" fontId="17" fillId="0" borderId="0" xfId="0" applyFont="1" applyFill="1"/>
    <xf numFmtId="0" fontId="17" fillId="0" borderId="0" xfId="0" applyFont="1" applyFill="1" applyAlignment="1">
      <alignment horizontal="left" vertical="center"/>
    </xf>
    <xf numFmtId="0" fontId="17" fillId="0" borderId="0" xfId="0" applyFont="1" applyFill="1" applyAlignment="1">
      <alignment wrapText="1"/>
    </xf>
    <xf numFmtId="0" fontId="17" fillId="0" borderId="1" xfId="0" applyFont="1" applyBorder="1" applyAlignment="1">
      <alignment horizontal="center"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17" fillId="0" borderId="1" xfId="0" applyFont="1" applyBorder="1" applyAlignment="1">
      <alignment horizontal="center" vertical="center"/>
    </xf>
    <xf numFmtId="10" fontId="17" fillId="0" borderId="1" xfId="0" applyNumberFormat="1" applyFont="1" applyBorder="1" applyAlignment="1">
      <alignment horizontal="center" vertical="center"/>
    </xf>
    <xf numFmtId="10" fontId="21" fillId="0" borderId="1" xfId="0" applyNumberFormat="1" applyFont="1" applyBorder="1" applyAlignment="1">
      <alignment horizontal="center" vertical="center"/>
    </xf>
    <xf numFmtId="10" fontId="0" fillId="0" borderId="1" xfId="0" applyNumberFormat="1" applyBorder="1" applyAlignment="1">
      <alignment horizontal="center" vertical="center"/>
    </xf>
    <xf numFmtId="10" fontId="0" fillId="0" borderId="1" xfId="0" applyNumberFormat="1" applyFill="1" applyBorder="1" applyAlignment="1">
      <alignment horizontal="center" vertical="center"/>
    </xf>
    <xf numFmtId="0" fontId="0" fillId="3" borderId="0" xfId="0" applyFill="1" applyAlignment="1">
      <alignment horizontal="center" vertical="center"/>
    </xf>
    <xf numFmtId="0" fontId="0" fillId="0" borderId="0" xfId="0" applyNumberFormat="1" applyAlignment="1">
      <alignment horizontal="center" vertical="center"/>
    </xf>
    <xf numFmtId="0" fontId="50" fillId="0" borderId="2" xfId="0" applyFont="1" applyFill="1" applyBorder="1" applyAlignment="1">
      <alignment horizontal="center" vertical="center"/>
    </xf>
    <xf numFmtId="0" fontId="50" fillId="0" borderId="1" xfId="0" applyFont="1" applyBorder="1" applyAlignment="1">
      <alignment horizontal="center" vertical="center"/>
    </xf>
    <xf numFmtId="10" fontId="0" fillId="0" borderId="0" xfId="0" applyNumberFormat="1" applyFont="1" applyAlignment="1">
      <alignment horizontal="center" vertical="center"/>
    </xf>
    <xf numFmtId="10" fontId="0" fillId="0" borderId="1" xfId="0" applyNumberFormat="1" applyFont="1" applyBorder="1" applyAlignment="1">
      <alignment vertical="center"/>
    </xf>
    <xf numFmtId="0" fontId="17" fillId="3" borderId="0" xfId="0" applyFont="1" applyFill="1" applyAlignment="1">
      <alignment horizontal="center"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10" fontId="0" fillId="0" borderId="0" xfId="0" applyNumberFormat="1"/>
    <xf numFmtId="10" fontId="0" fillId="0" borderId="1" xfId="0" applyNumberFormat="1" applyFont="1" applyBorder="1" applyAlignment="1">
      <alignment horizontal="center" vertical="center"/>
    </xf>
    <xf numFmtId="10" fontId="0" fillId="0" borderId="1" xfId="0" applyNumberFormat="1" applyBorder="1"/>
    <xf numFmtId="10" fontId="18" fillId="6" borderId="17" xfId="0" applyNumberFormat="1" applyFont="1" applyFill="1" applyBorder="1" applyAlignment="1">
      <alignment horizontal="center" vertical="center"/>
    </xf>
    <xf numFmtId="10" fontId="51" fillId="0" borderId="17" xfId="0" applyNumberFormat="1" applyFont="1" applyBorder="1" applyAlignment="1">
      <alignment horizontal="center" vertical="center"/>
    </xf>
    <xf numFmtId="4" fontId="0" fillId="0" borderId="1" xfId="0" applyNumberFormat="1" applyFill="1" applyBorder="1"/>
    <xf numFmtId="4" fontId="42" fillId="0" borderId="0" xfId="0" applyNumberFormat="1" applyFont="1" applyFill="1"/>
    <xf numFmtId="0" fontId="0" fillId="3" borderId="0" xfId="0" applyFont="1" applyFill="1"/>
    <xf numFmtId="0" fontId="18"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49" fontId="20" fillId="0" borderId="2"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2" fontId="18" fillId="0" borderId="14" xfId="0" applyNumberFormat="1" applyFont="1" applyBorder="1" applyAlignment="1">
      <alignment horizontal="center" vertical="center"/>
    </xf>
    <xf numFmtId="49" fontId="20" fillId="0" borderId="1" xfId="0" applyNumberFormat="1" applyFont="1" applyFill="1" applyBorder="1" applyAlignment="1">
      <alignment horizontal="center" vertical="center"/>
    </xf>
    <xf numFmtId="0" fontId="31" fillId="0" borderId="1" xfId="0" applyFont="1" applyFill="1" applyBorder="1" applyAlignment="1">
      <alignment horizontal="left" vertical="center" wrapText="1"/>
    </xf>
    <xf numFmtId="4" fontId="20" fillId="0" borderId="1" xfId="0" applyNumberFormat="1" applyFont="1" applyFill="1" applyBorder="1" applyAlignment="1">
      <alignment horizontal="center" vertical="center"/>
    </xf>
    <xf numFmtId="4" fontId="18" fillId="0" borderId="19" xfId="0" applyNumberFormat="1" applyFont="1" applyBorder="1" applyAlignment="1">
      <alignment horizontal="center" vertical="center"/>
    </xf>
    <xf numFmtId="4" fontId="18" fillId="0" borderId="22" xfId="0" applyNumberFormat="1" applyFont="1" applyBorder="1" applyAlignment="1">
      <alignment horizontal="center" vertical="center"/>
    </xf>
    <xf numFmtId="2" fontId="13" fillId="0" borderId="14" xfId="0" applyNumberFormat="1" applyFont="1" applyBorder="1" applyAlignment="1">
      <alignment horizontal="center" vertical="center"/>
    </xf>
    <xf numFmtId="4" fontId="20" fillId="0" borderId="2" xfId="0" applyNumberFormat="1" applyFont="1" applyFill="1" applyBorder="1" applyAlignment="1">
      <alignment horizontal="center" vertical="center"/>
    </xf>
    <xf numFmtId="4" fontId="20" fillId="0" borderId="3"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4" fontId="13" fillId="0" borderId="19" xfId="0" applyNumberFormat="1" applyFont="1" applyBorder="1" applyAlignment="1">
      <alignment horizontal="center" vertical="center"/>
    </xf>
    <xf numFmtId="4" fontId="13" fillId="0" borderId="1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3" xfId="0"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4" fontId="18" fillId="0" borderId="16" xfId="0" applyNumberFormat="1" applyFont="1" applyBorder="1" applyAlignment="1">
      <alignment horizontal="center" vertical="center"/>
    </xf>
    <xf numFmtId="0" fontId="29" fillId="0" borderId="0" xfId="0" applyFont="1" applyFill="1" applyAlignment="1">
      <alignment horizontal="left" vertical="center"/>
    </xf>
    <xf numFmtId="2" fontId="13" fillId="0" borderId="0" xfId="0" applyNumberFormat="1" applyFont="1" applyBorder="1" applyAlignment="1">
      <alignment horizontal="center" vertical="center"/>
    </xf>
    <xf numFmtId="0" fontId="35" fillId="0" borderId="15" xfId="0" applyFont="1" applyFill="1" applyBorder="1" applyAlignment="1">
      <alignment vertical="center" wrapText="1"/>
    </xf>
    <xf numFmtId="4" fontId="20" fillId="7" borderId="1" xfId="0" applyNumberFormat="1" applyFont="1" applyFill="1" applyBorder="1" applyAlignment="1">
      <alignment horizontal="center" vertical="center"/>
    </xf>
    <xf numFmtId="0" fontId="0" fillId="7" borderId="0" xfId="0" applyFill="1"/>
    <xf numFmtId="0" fontId="17" fillId="7" borderId="0" xfId="0" applyFont="1" applyFill="1"/>
    <xf numFmtId="0" fontId="21" fillId="0" borderId="0" xfId="0" applyFont="1" applyFill="1"/>
    <xf numFmtId="0" fontId="53" fillId="0" borderId="0" xfId="0" applyFont="1" applyFill="1"/>
    <xf numFmtId="0" fontId="21" fillId="0" borderId="1" xfId="0" applyFont="1" applyFill="1" applyBorder="1" applyAlignment="1">
      <alignment horizontal="center" vertical="center"/>
    </xf>
    <xf numFmtId="4" fontId="52" fillId="0" borderId="0" xfId="0" applyNumberFormat="1" applyFont="1" applyFill="1"/>
    <xf numFmtId="0" fontId="16" fillId="7" borderId="0" xfId="0" applyFont="1" applyFill="1"/>
    <xf numFmtId="0" fontId="23" fillId="7" borderId="1" xfId="0" applyFont="1" applyFill="1" applyBorder="1" applyAlignment="1">
      <alignment horizontal="center"/>
    </xf>
    <xf numFmtId="4" fontId="20" fillId="7" borderId="1" xfId="0" applyNumberFormat="1" applyFont="1" applyFill="1" applyBorder="1"/>
    <xf numFmtId="4" fontId="20" fillId="7" borderId="5" xfId="0" applyNumberFormat="1" applyFont="1" applyFill="1" applyBorder="1" applyAlignment="1">
      <alignment horizontal="center" vertical="center"/>
    </xf>
    <xf numFmtId="4" fontId="20" fillId="7" borderId="2" xfId="0" applyNumberFormat="1" applyFont="1" applyFill="1" applyBorder="1" applyAlignment="1">
      <alignment horizontal="center" vertical="center"/>
    </xf>
    <xf numFmtId="0" fontId="20" fillId="7" borderId="16" xfId="0" applyFont="1" applyFill="1" applyBorder="1" applyAlignment="1">
      <alignment vertical="center" wrapText="1"/>
    </xf>
    <xf numFmtId="4" fontId="20" fillId="7" borderId="3" xfId="0" applyNumberFormat="1" applyFont="1" applyFill="1" applyBorder="1" applyAlignment="1">
      <alignment horizontal="center" vertical="center"/>
    </xf>
    <xf numFmtId="49" fontId="31" fillId="7" borderId="19" xfId="0" applyNumberFormat="1" applyFont="1" applyFill="1" applyBorder="1" applyAlignment="1">
      <alignment vertical="center" wrapText="1"/>
    </xf>
    <xf numFmtId="49" fontId="31" fillId="7" borderId="20" xfId="0" applyNumberFormat="1" applyFont="1" applyFill="1" applyBorder="1" applyAlignment="1">
      <alignment vertical="center" wrapText="1"/>
    </xf>
    <xf numFmtId="49" fontId="31" fillId="7" borderId="22" xfId="0" applyNumberFormat="1" applyFont="1" applyFill="1" applyBorder="1" applyAlignment="1">
      <alignment vertical="center" wrapText="1"/>
    </xf>
    <xf numFmtId="0" fontId="34" fillId="7" borderId="16" xfId="0" applyFont="1" applyFill="1" applyBorder="1" applyAlignment="1">
      <alignment vertical="center"/>
    </xf>
    <xf numFmtId="0" fontId="31" fillId="7" borderId="16" xfId="0" applyFont="1" applyFill="1" applyBorder="1" applyAlignment="1">
      <alignment vertical="center" wrapText="1"/>
    </xf>
    <xf numFmtId="4" fontId="18" fillId="7" borderId="16" xfId="0" applyNumberFormat="1" applyFont="1" applyFill="1" applyBorder="1" applyAlignment="1">
      <alignment horizontal="center" vertical="center"/>
    </xf>
    <xf numFmtId="0" fontId="35" fillId="7" borderId="16" xfId="0" applyFont="1" applyFill="1" applyBorder="1" applyAlignment="1">
      <alignment vertical="center" wrapText="1"/>
    </xf>
    <xf numFmtId="4" fontId="18" fillId="7" borderId="1" xfId="0" applyNumberFormat="1" applyFont="1" applyFill="1" applyBorder="1" applyAlignment="1">
      <alignment horizontal="center" vertical="center"/>
    </xf>
    <xf numFmtId="0" fontId="18" fillId="7" borderId="0" xfId="0" applyFont="1" applyFill="1"/>
    <xf numFmtId="0" fontId="29" fillId="7" borderId="0" xfId="0" applyFont="1" applyFill="1"/>
    <xf numFmtId="0" fontId="30" fillId="7" borderId="0" xfId="0" applyFont="1" applyFill="1"/>
    <xf numFmtId="4" fontId="47" fillId="7" borderId="0" xfId="0" applyNumberFormat="1" applyFont="1" applyFill="1"/>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4" fontId="20" fillId="0" borderId="2" xfId="0" applyNumberFormat="1" applyFont="1" applyFill="1" applyBorder="1" applyAlignment="1">
      <alignment horizontal="center" vertical="center"/>
    </xf>
    <xf numFmtId="4" fontId="20" fillId="0" borderId="3"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0" fontId="29" fillId="0" borderId="0" xfId="0" applyFont="1" applyFill="1" applyAlignment="1">
      <alignment horizontal="left" vertical="center"/>
    </xf>
    <xf numFmtId="49" fontId="20" fillId="0" borderId="5"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49" fontId="20"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0" fontId="14" fillId="0" borderId="2" xfId="0" applyFont="1" applyFill="1" applyBorder="1" applyAlignment="1">
      <alignment horizontal="center"/>
    </xf>
    <xf numFmtId="0" fontId="14" fillId="0" borderId="2" xfId="0" applyFont="1" applyFill="1" applyBorder="1" applyAlignment="1">
      <alignment horizontal="center" vertical="center"/>
    </xf>
    <xf numFmtId="0" fontId="18" fillId="0" borderId="1" xfId="0" applyFont="1" applyFill="1" applyBorder="1" applyAlignment="1">
      <alignment vertical="center" wrapText="1"/>
    </xf>
    <xf numFmtId="0" fontId="26" fillId="0" borderId="15" xfId="0" applyFont="1" applyFill="1" applyBorder="1" applyAlignment="1">
      <alignment vertical="center" wrapText="1"/>
    </xf>
    <xf numFmtId="0" fontId="19" fillId="0" borderId="16" xfId="0" applyFont="1" applyFill="1" applyBorder="1" applyAlignment="1">
      <alignment vertical="center"/>
    </xf>
    <xf numFmtId="49" fontId="0" fillId="0" borderId="0" xfId="0" applyNumberFormat="1" applyFont="1" applyFill="1" applyAlignment="1">
      <alignment horizontal="center" vertical="center"/>
    </xf>
    <xf numFmtId="0" fontId="0" fillId="0" borderId="0" xfId="0" applyFont="1" applyFill="1"/>
    <xf numFmtId="0" fontId="0" fillId="0" borderId="0" xfId="0" applyFont="1" applyFill="1" applyAlignment="1">
      <alignment horizontal="center" vertical="center"/>
    </xf>
    <xf numFmtId="4" fontId="0" fillId="0" borderId="0" xfId="0" applyNumberFormat="1" applyFont="1" applyFill="1"/>
    <xf numFmtId="10" fontId="56" fillId="0" borderId="3" xfId="0" applyNumberFormat="1" applyFont="1" applyFill="1" applyBorder="1" applyAlignment="1">
      <alignment horizontal="center" vertical="center" wrapText="1"/>
    </xf>
    <xf numFmtId="0" fontId="0" fillId="3" borderId="0" xfId="0" applyFill="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4" fontId="17" fillId="0" borderId="1" xfId="0" applyNumberFormat="1" applyFont="1" applyBorder="1" applyAlignment="1">
      <alignment horizontal="center" vertical="center"/>
    </xf>
    <xf numFmtId="0" fontId="18" fillId="0" borderId="1" xfId="0" applyFont="1" applyFill="1" applyBorder="1" applyAlignment="1">
      <alignment horizontal="center" vertical="center"/>
    </xf>
    <xf numFmtId="4" fontId="18" fillId="3" borderId="2"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2"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2" fontId="18" fillId="6" borderId="1" xfId="0" applyNumberFormat="1" applyFont="1" applyFill="1" applyBorder="1" applyAlignment="1">
      <alignment horizontal="center" vertical="center"/>
    </xf>
    <xf numFmtId="0" fontId="50" fillId="0" borderId="2" xfId="0" applyFont="1" applyBorder="1" applyAlignment="1">
      <alignment horizontal="center" vertical="center"/>
    </xf>
    <xf numFmtId="4" fontId="18" fillId="0" borderId="1" xfId="0" applyNumberFormat="1" applyFont="1" applyFill="1" applyBorder="1" applyAlignment="1">
      <alignment horizontal="center" vertical="center"/>
    </xf>
    <xf numFmtId="2" fontId="13" fillId="3" borderId="0" xfId="0" applyNumberFormat="1" applyFont="1" applyFill="1" applyBorder="1" applyAlignment="1">
      <alignment horizontal="center" vertical="center"/>
    </xf>
    <xf numFmtId="2" fontId="18" fillId="3" borderId="0"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0" fontId="18" fillId="0" borderId="1" xfId="0" applyFont="1" applyFill="1" applyBorder="1"/>
    <xf numFmtId="0" fontId="16" fillId="0" borderId="1" xfId="0" applyFont="1" applyBorder="1" applyAlignment="1">
      <alignment horizontal="center" vertical="center"/>
    </xf>
    <xf numFmtId="49" fontId="20"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4" fontId="16" fillId="3" borderId="1" xfId="0" applyNumberFormat="1" applyFont="1" applyFill="1" applyBorder="1" applyAlignment="1">
      <alignment horizontal="center" vertical="center"/>
    </xf>
    <xf numFmtId="4" fontId="20"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17" fillId="3" borderId="1" xfId="0" applyFont="1" applyFill="1" applyBorder="1" applyAlignment="1">
      <alignment horizontal="center" vertical="center"/>
    </xf>
    <xf numFmtId="10" fontId="17" fillId="3"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4" fontId="20" fillId="3" borderId="1" xfId="0" applyNumberFormat="1" applyFont="1" applyFill="1" applyBorder="1" applyAlignment="1">
      <alignment horizontal="center" vertical="center"/>
    </xf>
    <xf numFmtId="0" fontId="30" fillId="0" borderId="0" xfId="0" applyFont="1"/>
    <xf numFmtId="0" fontId="57" fillId="0" borderId="0" xfId="0" applyFont="1"/>
    <xf numFmtId="0" fontId="20" fillId="0" borderId="1" xfId="0" applyFont="1" applyBorder="1"/>
    <xf numFmtId="4" fontId="20" fillId="0" borderId="1" xfId="0" applyNumberFormat="1" applyFont="1" applyBorder="1"/>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4" fontId="17" fillId="0" borderId="0" xfId="0" applyNumberFormat="1" applyFont="1" applyBorder="1" applyAlignment="1">
      <alignment horizontal="center" vertical="center"/>
    </xf>
    <xf numFmtId="4" fontId="17" fillId="3" borderId="0" xfId="0" applyNumberFormat="1" applyFont="1" applyFill="1" applyBorder="1" applyAlignment="1">
      <alignment horizontal="center" vertical="center"/>
    </xf>
    <xf numFmtId="2" fontId="16" fillId="6" borderId="1" xfId="0" applyNumberFormat="1" applyFont="1" applyFill="1" applyBorder="1" applyAlignment="1">
      <alignment horizontal="center" vertical="center"/>
    </xf>
    <xf numFmtId="2" fontId="16" fillId="3"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4" fontId="16" fillId="0" borderId="0" xfId="0" applyNumberFormat="1" applyFont="1"/>
    <xf numFmtId="2" fontId="16" fillId="6" borderId="0" xfId="0" applyNumberFormat="1" applyFont="1" applyFill="1" applyAlignment="1">
      <alignment horizontal="center" vertical="center"/>
    </xf>
    <xf numFmtId="4" fontId="0" fillId="0" borderId="0" xfId="0" applyNumberFormat="1" applyFont="1"/>
    <xf numFmtId="2" fontId="16" fillId="6" borderId="17" xfId="0" applyNumberFormat="1" applyFont="1" applyFill="1" applyBorder="1" applyAlignment="1">
      <alignment horizontal="center" vertical="center"/>
    </xf>
    <xf numFmtId="0" fontId="58" fillId="0" borderId="0" xfId="0" applyFont="1"/>
    <xf numFmtId="0" fontId="59" fillId="0" borderId="0" xfId="0" applyFont="1"/>
    <xf numFmtId="0" fontId="59" fillId="0" borderId="0" xfId="0" applyFont="1" applyAlignment="1">
      <alignment horizontal="center" vertical="center"/>
    </xf>
    <xf numFmtId="0" fontId="60" fillId="0" borderId="0" xfId="0" applyFont="1"/>
    <xf numFmtId="4" fontId="61" fillId="0" borderId="17" xfId="0" applyNumberFormat="1" applyFont="1" applyBorder="1" applyAlignment="1">
      <alignment horizontal="center" vertical="center"/>
    </xf>
    <xf numFmtId="0" fontId="59" fillId="3" borderId="0" xfId="0" applyFont="1" applyFill="1"/>
    <xf numFmtId="0" fontId="59" fillId="0" borderId="0" xfId="0" applyFont="1" applyFill="1"/>
    <xf numFmtId="0" fontId="59" fillId="0" borderId="1" xfId="0" applyFont="1" applyBorder="1"/>
    <xf numFmtId="2" fontId="62" fillId="0" borderId="0" xfId="0" applyNumberFormat="1" applyFont="1"/>
    <xf numFmtId="10" fontId="16" fillId="6" borderId="17" xfId="0" applyNumberFormat="1" applyFont="1" applyFill="1" applyBorder="1" applyAlignment="1">
      <alignment horizontal="center" vertical="center"/>
    </xf>
    <xf numFmtId="2" fontId="63" fillId="0" borderId="0" xfId="0" applyNumberFormat="1" applyFont="1"/>
    <xf numFmtId="0" fontId="59" fillId="8" borderId="0" xfId="0" applyFont="1" applyFill="1"/>
    <xf numFmtId="4" fontId="17" fillId="8" borderId="0" xfId="0" applyNumberFormat="1" applyFont="1" applyFill="1" applyBorder="1" applyAlignment="1">
      <alignment horizontal="center" vertical="center"/>
    </xf>
    <xf numFmtId="0" fontId="17" fillId="8" borderId="0" xfId="0" applyFont="1" applyFill="1"/>
    <xf numFmtId="0" fontId="17" fillId="8" borderId="0" xfId="0" applyFont="1" applyFill="1" applyAlignment="1">
      <alignment horizontal="center" vertical="center"/>
    </xf>
    <xf numFmtId="2" fontId="62" fillId="8" borderId="0" xfId="0" applyNumberFormat="1" applyFont="1" applyFill="1"/>
    <xf numFmtId="0" fontId="0" fillId="8" borderId="0" xfId="0" applyFill="1"/>
    <xf numFmtId="2" fontId="18" fillId="8" borderId="0" xfId="0" applyNumberFormat="1" applyFont="1" applyFill="1" applyAlignment="1">
      <alignment horizontal="center" vertical="center"/>
    </xf>
    <xf numFmtId="4" fontId="18" fillId="8" borderId="1" xfId="0" applyNumberFormat="1" applyFont="1" applyFill="1" applyBorder="1" applyAlignment="1">
      <alignment horizontal="center" vertical="center"/>
    </xf>
    <xf numFmtId="2" fontId="18" fillId="8" borderId="0" xfId="0" applyNumberFormat="1" applyFont="1" applyFill="1" applyBorder="1" applyAlignment="1">
      <alignment horizontal="center" vertical="center"/>
    </xf>
    <xf numFmtId="4" fontId="16" fillId="8" borderId="1"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xf>
    <xf numFmtId="0" fontId="17" fillId="8" borderId="1" xfId="0" applyFont="1" applyFill="1" applyBorder="1" applyAlignment="1">
      <alignment horizontal="center" vertical="center"/>
    </xf>
    <xf numFmtId="0" fontId="45" fillId="8" borderId="1" xfId="0" applyFont="1" applyFill="1" applyBorder="1" applyAlignment="1">
      <alignment horizontal="center" vertical="center"/>
    </xf>
    <xf numFmtId="10" fontId="17" fillId="8" borderId="1" xfId="0" applyNumberFormat="1" applyFont="1" applyFill="1" applyBorder="1" applyAlignment="1">
      <alignment horizontal="center" vertical="center"/>
    </xf>
    <xf numFmtId="4" fontId="20" fillId="8" borderId="1" xfId="0" applyNumberFormat="1" applyFont="1" applyFill="1" applyBorder="1" applyAlignment="1">
      <alignment horizontal="center" vertical="center"/>
    </xf>
    <xf numFmtId="0" fontId="30" fillId="8" borderId="0" xfId="0" applyFont="1" applyFill="1"/>
    <xf numFmtId="0" fontId="0" fillId="8" borderId="0" xfId="0" applyFill="1" applyAlignment="1">
      <alignment horizontal="center" vertical="center"/>
    </xf>
    <xf numFmtId="0" fontId="0" fillId="8" borderId="1" xfId="0" applyFill="1" applyBorder="1" applyAlignment="1">
      <alignment horizontal="center" vertical="center"/>
    </xf>
    <xf numFmtId="10" fontId="0" fillId="8" borderId="1" xfId="0" applyNumberFormat="1" applyFill="1" applyBorder="1" applyAlignment="1">
      <alignment horizontal="center" vertical="center"/>
    </xf>
    <xf numFmtId="0" fontId="0" fillId="0" borderId="0" xfId="0" applyAlignment="1">
      <alignment horizontal="center"/>
    </xf>
    <xf numFmtId="4" fontId="20" fillId="0" borderId="1" xfId="0" applyNumberFormat="1" applyFont="1" applyBorder="1" applyAlignment="1">
      <alignment horizontal="center" vertical="center"/>
    </xf>
    <xf numFmtId="4" fontId="20" fillId="8" borderId="1" xfId="0" applyNumberFormat="1" applyFont="1" applyFill="1" applyBorder="1" applyAlignment="1">
      <alignment horizontal="center" vertical="center"/>
    </xf>
    <xf numFmtId="4" fontId="16" fillId="8" borderId="1" xfId="0" applyNumberFormat="1" applyFont="1" applyFill="1" applyBorder="1" applyAlignment="1">
      <alignment horizontal="center" vertical="center"/>
    </xf>
    <xf numFmtId="4" fontId="18" fillId="8" borderId="1"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0" fontId="18" fillId="8" borderId="0" xfId="0" applyFont="1" applyFill="1" applyBorder="1" applyAlignment="1">
      <alignment horizontal="center"/>
    </xf>
    <xf numFmtId="4" fontId="61" fillId="8"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64" fillId="10" borderId="1" xfId="0" applyFont="1" applyFill="1" applyBorder="1" applyAlignment="1">
      <alignment horizontal="left" vertical="center" wrapText="1"/>
    </xf>
    <xf numFmtId="0" fontId="65" fillId="0" borderId="0" xfId="0" applyFont="1"/>
    <xf numFmtId="0" fontId="65" fillId="8" borderId="0" xfId="0" applyFont="1" applyFill="1"/>
    <xf numFmtId="0" fontId="65" fillId="3" borderId="0" xfId="0" applyFont="1" applyFill="1"/>
    <xf numFmtId="0" fontId="65" fillId="0" borderId="0" xfId="0" applyFont="1" applyFill="1"/>
    <xf numFmtId="0" fontId="65" fillId="0" borderId="1" xfId="0" applyFont="1" applyBorder="1"/>
    <xf numFmtId="0" fontId="66" fillId="8" borderId="0" xfId="0" applyFont="1" applyFill="1" applyBorder="1" applyAlignment="1">
      <alignment vertical="center"/>
    </xf>
    <xf numFmtId="10" fontId="66" fillId="8" borderId="1" xfId="0" applyNumberFormat="1" applyFont="1" applyFill="1" applyBorder="1" applyAlignment="1">
      <alignment horizontal="center" vertical="center"/>
    </xf>
    <xf numFmtId="10" fontId="66" fillId="0" borderId="1" xfId="0" applyNumberFormat="1" applyFont="1" applyBorder="1" applyAlignment="1">
      <alignment horizontal="center" vertical="center"/>
    </xf>
    <xf numFmtId="10" fontId="66" fillId="3"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0" fillId="9" borderId="1" xfId="0" applyNumberFormat="1" applyFont="1" applyFill="1" applyBorder="1" applyAlignment="1">
      <alignment horizontal="center" vertical="center"/>
    </xf>
    <xf numFmtId="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9" borderId="1" xfId="0" applyFont="1" applyFill="1" applyBorder="1" applyAlignment="1">
      <alignment horizontal="center" vertical="center"/>
    </xf>
    <xf numFmtId="10" fontId="0" fillId="0" borderId="1" xfId="0" applyNumberFormat="1" applyFont="1" applyFill="1" applyBorder="1" applyAlignment="1">
      <alignment horizontal="center" vertical="center"/>
    </xf>
    <xf numFmtId="10" fontId="66" fillId="3" borderId="0" xfId="0" applyNumberFormat="1" applyFont="1" applyFill="1" applyAlignment="1">
      <alignment horizontal="center" vertical="center"/>
    </xf>
    <xf numFmtId="4" fontId="58" fillId="0" borderId="2" xfId="0" applyNumberFormat="1" applyFont="1" applyBorder="1"/>
    <xf numFmtId="2" fontId="59" fillId="0" borderId="0" xfId="0" applyNumberFormat="1" applyFont="1" applyAlignment="1">
      <alignment horizontal="center" vertical="center"/>
    </xf>
    <xf numFmtId="2" fontId="59" fillId="0" borderId="1" xfId="0" applyNumberFormat="1" applyFont="1" applyBorder="1" applyAlignment="1">
      <alignment horizontal="center" vertical="center"/>
    </xf>
    <xf numFmtId="2" fontId="59" fillId="8" borderId="1" xfId="0" applyNumberFormat="1" applyFont="1" applyFill="1" applyBorder="1" applyAlignment="1">
      <alignment horizontal="center" vertical="center"/>
    </xf>
    <xf numFmtId="2" fontId="59" fillId="3" borderId="1" xfId="0" applyNumberFormat="1" applyFont="1" applyFill="1" applyBorder="1" applyAlignment="1">
      <alignment horizontal="center" vertical="center"/>
    </xf>
    <xf numFmtId="2" fontId="59" fillId="0" borderId="1" xfId="0" applyNumberFormat="1" applyFont="1" applyFill="1" applyBorder="1" applyAlignment="1">
      <alignment horizontal="center" vertical="center"/>
    </xf>
    <xf numFmtId="0" fontId="7" fillId="0" borderId="9" xfId="0" applyFont="1" applyFill="1" applyBorder="1" applyAlignment="1">
      <alignment horizontal="left" vertical="center"/>
    </xf>
    <xf numFmtId="10" fontId="10" fillId="0" borderId="0" xfId="0" applyNumberFormat="1" applyFont="1" applyAlignment="1">
      <alignment horizontal="center" vertical="center"/>
    </xf>
    <xf numFmtId="4" fontId="70" fillId="0" borderId="1" xfId="0" applyNumberFormat="1" applyFont="1" applyBorder="1" applyAlignment="1">
      <alignment horizontal="center" vertical="center"/>
    </xf>
    <xf numFmtId="4" fontId="67" fillId="0" borderId="0" xfId="0" applyNumberFormat="1" applyFont="1" applyFill="1" applyBorder="1" applyAlignment="1">
      <alignment horizontal="center"/>
    </xf>
    <xf numFmtId="0" fontId="58" fillId="0" borderId="0" xfId="0" applyFont="1" applyBorder="1"/>
    <xf numFmtId="4" fontId="58" fillId="0" borderId="0" xfId="0" applyNumberFormat="1" applyFont="1" applyBorder="1"/>
    <xf numFmtId="10" fontId="48" fillId="0" borderId="1" xfId="0" applyNumberFormat="1" applyFont="1" applyBorder="1" applyAlignment="1">
      <alignment horizontal="center" vertical="center"/>
    </xf>
    <xf numFmtId="10" fontId="48" fillId="8" borderId="1" xfId="0" applyNumberFormat="1" applyFont="1" applyFill="1" applyBorder="1" applyAlignment="1">
      <alignment horizontal="center" vertical="center"/>
    </xf>
    <xf numFmtId="10" fontId="68" fillId="0" borderId="1" xfId="0" applyNumberFormat="1" applyFont="1" applyBorder="1" applyAlignment="1">
      <alignment horizontal="center" vertical="center"/>
    </xf>
    <xf numFmtId="10" fontId="11" fillId="8" borderId="1" xfId="0" applyNumberFormat="1" applyFont="1" applyFill="1" applyBorder="1" applyAlignment="1">
      <alignment horizontal="center" vertical="center"/>
    </xf>
    <xf numFmtId="4" fontId="71" fillId="0" borderId="1" xfId="0" applyNumberFormat="1" applyFont="1" applyBorder="1" applyAlignment="1">
      <alignment horizontal="center" vertical="center"/>
    </xf>
    <xf numFmtId="4" fontId="70" fillId="0" borderId="1" xfId="0" applyNumberFormat="1" applyFont="1" applyBorder="1" applyAlignment="1">
      <alignment horizontal="center" vertical="center"/>
    </xf>
    <xf numFmtId="4" fontId="70" fillId="0" borderId="1" xfId="0" applyNumberFormat="1" applyFont="1" applyFill="1" applyBorder="1" applyAlignment="1">
      <alignment horizontal="center" vertical="center"/>
    </xf>
    <xf numFmtId="4" fontId="70" fillId="3" borderId="1" xfId="0" applyNumberFormat="1" applyFont="1" applyFill="1" applyBorder="1" applyAlignment="1">
      <alignment horizontal="center" vertical="center"/>
    </xf>
    <xf numFmtId="4" fontId="59" fillId="0" borderId="1" xfId="0" applyNumberFormat="1" applyFont="1" applyBorder="1" applyAlignment="1">
      <alignment horizontal="center" vertical="center"/>
    </xf>
    <xf numFmtId="4" fontId="59" fillId="8" borderId="1" xfId="0" applyNumberFormat="1" applyFont="1" applyFill="1" applyBorder="1" applyAlignment="1">
      <alignment horizontal="center" vertical="center"/>
    </xf>
    <xf numFmtId="4" fontId="73" fillId="0" borderId="0" xfId="0" applyNumberFormat="1" applyFont="1"/>
    <xf numFmtId="2" fontId="0" fillId="0" borderId="1" xfId="0" applyNumberFormat="1" applyBorder="1" applyAlignment="1">
      <alignment horizontal="center" vertical="center"/>
    </xf>
    <xf numFmtId="0" fontId="66" fillId="0" borderId="1" xfId="0" applyFont="1" applyBorder="1"/>
    <xf numFmtId="0" fontId="0" fillId="0" borderId="0" xfId="0" applyFont="1" applyAlignment="1">
      <alignment horizontal="center" vertical="center"/>
    </xf>
    <xf numFmtId="2" fontId="74" fillId="0" borderId="0" xfId="0" applyNumberFormat="1" applyFont="1"/>
    <xf numFmtId="0" fontId="47" fillId="0" borderId="0" xfId="0" applyFont="1"/>
    <xf numFmtId="0" fontId="76" fillId="0" borderId="0" xfId="0" applyFont="1"/>
    <xf numFmtId="4" fontId="20" fillId="0" borderId="1" xfId="0" applyNumberFormat="1" applyFont="1" applyBorder="1" applyAlignment="1">
      <alignment horizontal="center" vertical="center"/>
    </xf>
    <xf numFmtId="10" fontId="48" fillId="0" borderId="1" xfId="0" applyNumberFormat="1" applyFont="1" applyBorder="1" applyAlignment="1">
      <alignment horizontal="center" vertical="center"/>
    </xf>
    <xf numFmtId="4" fontId="70" fillId="0" borderId="1" xfId="0" applyNumberFormat="1" applyFont="1" applyBorder="1" applyAlignment="1">
      <alignment horizontal="center" vertical="center"/>
    </xf>
    <xf numFmtId="2" fontId="16" fillId="6" borderId="1" xfId="0" applyNumberFormat="1" applyFont="1" applyFill="1" applyBorder="1" applyAlignment="1">
      <alignment horizontal="center" vertical="center"/>
    </xf>
    <xf numFmtId="2" fontId="59" fillId="0" borderId="1" xfId="0" applyNumberFormat="1" applyFont="1" applyBorder="1" applyAlignment="1">
      <alignment horizontal="center"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4" fontId="20" fillId="0" borderId="1" xfId="0" applyNumberFormat="1" applyFont="1" applyBorder="1" applyAlignment="1">
      <alignment horizontal="center" vertical="center"/>
    </xf>
    <xf numFmtId="2" fontId="59" fillId="0" borderId="1" xfId="0" applyNumberFormat="1" applyFont="1" applyBorder="1" applyAlignment="1">
      <alignment horizontal="center" vertical="center"/>
    </xf>
    <xf numFmtId="2" fontId="16" fillId="6" borderId="1" xfId="0" applyNumberFormat="1" applyFont="1" applyFill="1" applyBorder="1" applyAlignment="1">
      <alignment horizontal="center" vertical="center"/>
    </xf>
    <xf numFmtId="4" fontId="70" fillId="0" borderId="1" xfId="0" applyNumberFormat="1" applyFont="1" applyBorder="1" applyAlignment="1">
      <alignment horizontal="center" vertical="center"/>
    </xf>
    <xf numFmtId="0" fontId="20" fillId="0" borderId="1" xfId="0" applyFont="1" applyFill="1" applyBorder="1" applyAlignment="1">
      <alignment horizontal="left" vertical="center" wrapText="1"/>
    </xf>
    <xf numFmtId="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4" fontId="18" fillId="0" borderId="16" xfId="0" applyNumberFormat="1" applyFont="1" applyBorder="1" applyAlignment="1">
      <alignment horizontal="center" vertical="center"/>
    </xf>
    <xf numFmtId="49" fontId="20" fillId="0"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10" fontId="48" fillId="0" borderId="1" xfId="0" applyNumberFormat="1" applyFont="1" applyBorder="1" applyAlignment="1">
      <alignment horizontal="center" vertical="center"/>
    </xf>
    <xf numFmtId="4" fontId="70" fillId="0" borderId="1" xfId="0" applyNumberFormat="1" applyFont="1" applyBorder="1" applyAlignment="1">
      <alignment horizontal="center" vertical="center"/>
    </xf>
    <xf numFmtId="4" fontId="18" fillId="3" borderId="2"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10" fontId="48" fillId="0" borderId="1" xfId="0" applyNumberFormat="1" applyFont="1" applyBorder="1" applyAlignment="1">
      <alignment horizontal="center" vertical="center"/>
    </xf>
    <xf numFmtId="4" fontId="70" fillId="0" borderId="1" xfId="0" applyNumberFormat="1" applyFont="1" applyBorder="1" applyAlignment="1">
      <alignment horizontal="center" vertical="center"/>
    </xf>
    <xf numFmtId="2" fontId="18" fillId="3" borderId="0" xfId="0" applyNumberFormat="1" applyFont="1" applyFill="1" applyBorder="1" applyAlignment="1">
      <alignment horizontal="center" vertical="center"/>
    </xf>
    <xf numFmtId="4" fontId="18" fillId="11" borderId="1" xfId="0" applyNumberFormat="1" applyFont="1" applyFill="1" applyBorder="1" applyAlignment="1">
      <alignment horizontal="center" vertical="center"/>
    </xf>
    <xf numFmtId="4" fontId="18" fillId="3" borderId="3" xfId="0" applyNumberFormat="1" applyFont="1" applyFill="1" applyBorder="1" applyAlignment="1">
      <alignment vertical="center"/>
    </xf>
    <xf numFmtId="4" fontId="77" fillId="3" borderId="1" xfId="0" applyNumberFormat="1" applyFont="1" applyFill="1" applyBorder="1" applyAlignment="1">
      <alignment horizontal="center" vertical="center"/>
    </xf>
    <xf numFmtId="4" fontId="43" fillId="0" borderId="1" xfId="0" applyNumberFormat="1" applyFont="1" applyBorder="1" applyAlignment="1">
      <alignment horizontal="center" vertical="center"/>
    </xf>
    <xf numFmtId="2" fontId="43" fillId="0" borderId="1" xfId="0" applyNumberFormat="1" applyFont="1" applyFill="1" applyBorder="1" applyAlignment="1">
      <alignment horizontal="center" vertical="center"/>
    </xf>
    <xf numFmtId="10" fontId="79" fillId="0" borderId="1" xfId="0" applyNumberFormat="1" applyFont="1" applyBorder="1" applyAlignment="1">
      <alignment horizontal="center" vertical="center"/>
    </xf>
    <xf numFmtId="4" fontId="8" fillId="8" borderId="1" xfId="0" applyNumberFormat="1" applyFont="1" applyFill="1" applyBorder="1" applyAlignment="1">
      <alignment horizontal="center" vertical="center"/>
    </xf>
    <xf numFmtId="4" fontId="8" fillId="8" borderId="12" xfId="0" applyNumberFormat="1" applyFont="1" applyFill="1" applyBorder="1" applyAlignment="1">
      <alignment horizontal="center" vertical="center"/>
    </xf>
    <xf numFmtId="4" fontId="77" fillId="12" borderId="1" xfId="0" applyNumberFormat="1" applyFont="1" applyFill="1" applyBorder="1" applyAlignment="1">
      <alignment horizontal="center" vertical="center"/>
    </xf>
    <xf numFmtId="4" fontId="43" fillId="12" borderId="1" xfId="0" applyNumberFormat="1" applyFont="1" applyFill="1" applyBorder="1" applyAlignment="1">
      <alignment horizontal="center" vertical="center"/>
    </xf>
    <xf numFmtId="2" fontId="43" fillId="12" borderId="1" xfId="0" applyNumberFormat="1" applyFont="1" applyFill="1" applyBorder="1" applyAlignment="1">
      <alignment horizontal="center" vertical="center"/>
    </xf>
    <xf numFmtId="10" fontId="48" fillId="12" borderId="1" xfId="0" applyNumberFormat="1" applyFont="1" applyFill="1" applyBorder="1" applyAlignment="1">
      <alignment horizontal="center" vertical="center"/>
    </xf>
    <xf numFmtId="4" fontId="70" fillId="11" borderId="1" xfId="0" applyNumberFormat="1" applyFont="1" applyFill="1" applyBorder="1" applyAlignment="1">
      <alignment horizontal="center" vertical="center"/>
    </xf>
    <xf numFmtId="2" fontId="16" fillId="11" borderId="1" xfId="0" applyNumberFormat="1" applyFont="1" applyFill="1" applyBorder="1" applyAlignment="1">
      <alignment horizontal="center" vertical="center"/>
    </xf>
    <xf numFmtId="10" fontId="48" fillId="11" borderId="1" xfId="0" applyNumberFormat="1" applyFont="1" applyFill="1" applyBorder="1" applyAlignment="1">
      <alignment horizontal="center" vertical="center"/>
    </xf>
    <xf numFmtId="4" fontId="0" fillId="8" borderId="1" xfId="0" applyNumberFormat="1" applyFont="1" applyFill="1" applyBorder="1" applyAlignment="1">
      <alignment horizontal="center" vertical="center"/>
    </xf>
    <xf numFmtId="0" fontId="0" fillId="8" borderId="1" xfId="0" applyFont="1" applyFill="1" applyBorder="1" applyAlignment="1">
      <alignment horizontal="center" vertical="center"/>
    </xf>
    <xf numFmtId="0" fontId="22" fillId="3" borderId="0" xfId="0" applyFont="1" applyFill="1"/>
    <xf numFmtId="2" fontId="18" fillId="11" borderId="0" xfId="0" applyNumberFormat="1" applyFont="1" applyFill="1" applyAlignment="1">
      <alignment horizontal="center" vertical="center"/>
    </xf>
    <xf numFmtId="2" fontId="18" fillId="0" borderId="0" xfId="0" applyNumberFormat="1" applyFont="1" applyFill="1" applyAlignment="1">
      <alignment horizontal="center" vertical="center"/>
    </xf>
    <xf numFmtId="2" fontId="77" fillId="3" borderId="0" xfId="0" applyNumberFormat="1" applyFont="1" applyFill="1" applyAlignment="1">
      <alignment horizontal="center" vertical="center"/>
    </xf>
    <xf numFmtId="2" fontId="77" fillId="12" borderId="0" xfId="0" applyNumberFormat="1" applyFont="1" applyFill="1" applyAlignment="1">
      <alignment horizontal="center" vertical="center"/>
    </xf>
    <xf numFmtId="0" fontId="12" fillId="0" borderId="1" xfId="0" applyFont="1" applyFill="1" applyBorder="1"/>
    <xf numFmtId="0" fontId="12" fillId="0" borderId="1" xfId="0" applyFont="1" applyFill="1" applyBorder="1" applyAlignment="1">
      <alignment horizontal="right" vertical="center"/>
    </xf>
    <xf numFmtId="2" fontId="81" fillId="0" borderId="1" xfId="0" applyNumberFormat="1" applyFont="1" applyFill="1" applyBorder="1" applyAlignment="1">
      <alignment horizontal="left" vertical="center" wrapText="1"/>
    </xf>
    <xf numFmtId="0" fontId="81" fillId="0" borderId="1" xfId="0" applyFont="1" applyFill="1" applyBorder="1" applyAlignment="1">
      <alignment horizontal="center" vertical="center"/>
    </xf>
    <xf numFmtId="4" fontId="12" fillId="0" borderId="1" xfId="0" applyNumberFormat="1" applyFont="1" applyFill="1" applyBorder="1"/>
    <xf numFmtId="166" fontId="12" fillId="0" borderId="1" xfId="0" applyNumberFormat="1" applyFont="1" applyFill="1" applyBorder="1" applyAlignment="1">
      <alignment horizontal="center" vertical="center"/>
    </xf>
    <xf numFmtId="0" fontId="81" fillId="0" borderId="1" xfId="0" applyFont="1" applyFill="1" applyBorder="1" applyAlignment="1">
      <alignment horizontal="left" vertical="center" wrapText="1"/>
    </xf>
    <xf numFmtId="0" fontId="27" fillId="0" borderId="15" xfId="0" applyFont="1" applyFill="1" applyBorder="1" applyAlignment="1">
      <alignment vertical="center"/>
    </xf>
    <xf numFmtId="0" fontId="12" fillId="0" borderId="1" xfId="0" applyFont="1" applyFill="1" applyBorder="1" applyAlignment="1">
      <alignment vertical="center" wrapText="1"/>
    </xf>
    <xf numFmtId="0" fontId="27" fillId="0" borderId="15" xfId="0" applyFont="1" applyFill="1" applyBorder="1" applyAlignment="1">
      <alignment vertical="center" wrapText="1"/>
    </xf>
    <xf numFmtId="0" fontId="81" fillId="0" borderId="1" xfId="0" applyFont="1" applyFill="1" applyBorder="1" applyAlignment="1">
      <alignment horizontal="left" vertical="center"/>
    </xf>
    <xf numFmtId="49" fontId="12" fillId="0" borderId="2" xfId="0" applyNumberFormat="1" applyFont="1" applyFill="1" applyBorder="1" applyAlignment="1">
      <alignment vertical="center"/>
    </xf>
    <xf numFmtId="0" fontId="12" fillId="0" borderId="2" xfId="0" applyFont="1" applyFill="1" applyBorder="1" applyAlignment="1">
      <alignment vertical="center" wrapText="1"/>
    </xf>
    <xf numFmtId="0" fontId="12" fillId="0" borderId="2" xfId="0" applyFont="1" applyFill="1" applyBorder="1" applyAlignment="1">
      <alignment vertical="center"/>
    </xf>
    <xf numFmtId="2" fontId="12" fillId="0" borderId="2" xfId="0" applyNumberFormat="1" applyFont="1" applyFill="1" applyBorder="1" applyAlignment="1">
      <alignment horizontal="center" vertical="center"/>
    </xf>
    <xf numFmtId="0" fontId="12" fillId="0" borderId="1" xfId="0" applyFont="1" applyFill="1" applyBorder="1" applyAlignment="1">
      <alignment vertical="center"/>
    </xf>
    <xf numFmtId="0" fontId="12" fillId="0" borderId="17" xfId="0" applyFont="1" applyFill="1" applyBorder="1" applyAlignment="1">
      <alignment horizontal="center" vertical="center"/>
    </xf>
    <xf numFmtId="2" fontId="12" fillId="0" borderId="2" xfId="0" applyNumberFormat="1" applyFont="1" applyFill="1" applyBorder="1" applyAlignment="1">
      <alignment vertical="center"/>
    </xf>
    <xf numFmtId="0" fontId="12" fillId="0" borderId="5" xfId="0" applyFont="1" applyFill="1" applyBorder="1" applyAlignment="1">
      <alignment vertical="center"/>
    </xf>
    <xf numFmtId="49" fontId="12" fillId="0" borderId="5" xfId="0" applyNumberFormat="1" applyFont="1" applyFill="1" applyBorder="1" applyAlignment="1">
      <alignment vertical="center"/>
    </xf>
    <xf numFmtId="0" fontId="12" fillId="0" borderId="5" xfId="0" applyFont="1" applyFill="1" applyBorder="1" applyAlignment="1">
      <alignment vertical="center" wrapText="1"/>
    </xf>
    <xf numFmtId="2" fontId="12" fillId="0" borderId="5" xfId="0" applyNumberFormat="1" applyFont="1" applyFill="1" applyBorder="1" applyAlignment="1">
      <alignment vertical="center"/>
    </xf>
    <xf numFmtId="4" fontId="12" fillId="0" borderId="5" xfId="0" applyNumberFormat="1" applyFont="1" applyFill="1" applyBorder="1" applyAlignment="1">
      <alignment vertical="center"/>
    </xf>
    <xf numFmtId="0" fontId="12" fillId="0" borderId="3" xfId="0" applyFont="1" applyFill="1" applyBorder="1" applyAlignment="1">
      <alignment vertical="center"/>
    </xf>
    <xf numFmtId="49" fontId="12" fillId="0" borderId="3" xfId="0" applyNumberFormat="1" applyFont="1" applyFill="1" applyBorder="1" applyAlignment="1">
      <alignment vertical="center"/>
    </xf>
    <xf numFmtId="0" fontId="12" fillId="0" borderId="3" xfId="0" applyFont="1" applyFill="1" applyBorder="1" applyAlignment="1">
      <alignment vertical="center" wrapText="1"/>
    </xf>
    <xf numFmtId="2" fontId="12" fillId="0" borderId="3" xfId="0" applyNumberFormat="1" applyFont="1" applyFill="1" applyBorder="1" applyAlignment="1">
      <alignment vertical="center"/>
    </xf>
    <xf numFmtId="4" fontId="12" fillId="0" borderId="3" xfId="0" applyNumberFormat="1" applyFont="1" applyFill="1" applyBorder="1" applyAlignment="1">
      <alignment vertical="center"/>
    </xf>
    <xf numFmtId="0" fontId="83" fillId="0" borderId="1" xfId="0" applyFont="1" applyFill="1" applyBorder="1" applyAlignment="1">
      <alignment horizontal="left" vertical="center"/>
    </xf>
    <xf numFmtId="0" fontId="83" fillId="0" borderId="1" xfId="0" applyFont="1" applyFill="1" applyBorder="1" applyAlignment="1">
      <alignment horizontal="center" vertical="center"/>
    </xf>
    <xf numFmtId="165" fontId="12" fillId="0" borderId="1" xfId="0" applyNumberFormat="1" applyFont="1" applyFill="1" applyBorder="1" applyAlignment="1">
      <alignment horizontal="center" vertical="center"/>
    </xf>
    <xf numFmtId="0" fontId="12" fillId="0" borderId="1" xfId="0" applyFont="1" applyFill="1" applyBorder="1" applyAlignment="1">
      <alignment horizontal="center" wrapText="1"/>
    </xf>
    <xf numFmtId="4" fontId="20" fillId="0" borderId="1" xfId="0" applyNumberFormat="1" applyFont="1" applyBorder="1" applyAlignment="1">
      <alignment horizontal="center" vertical="center"/>
    </xf>
    <xf numFmtId="2" fontId="59" fillId="0" borderId="1" xfId="0" applyNumberFormat="1" applyFont="1" applyBorder="1" applyAlignment="1">
      <alignment horizontal="center" vertical="center"/>
    </xf>
    <xf numFmtId="10" fontId="48" fillId="0" borderId="1" xfId="0" applyNumberFormat="1" applyFont="1" applyBorder="1" applyAlignment="1">
      <alignment horizontal="center" vertical="center"/>
    </xf>
    <xf numFmtId="2" fontId="16" fillId="6" borderId="1" xfId="0" applyNumberFormat="1" applyFont="1" applyFill="1" applyBorder="1" applyAlignment="1">
      <alignment horizontal="center" vertical="center"/>
    </xf>
    <xf numFmtId="4" fontId="70" fillId="0" borderId="1" xfId="0" applyNumberFormat="1" applyFont="1" applyBorder="1" applyAlignment="1">
      <alignment horizontal="center" vertical="center"/>
    </xf>
    <xf numFmtId="4" fontId="84" fillId="11" borderId="1" xfId="0" applyNumberFormat="1" applyFont="1" applyFill="1" applyBorder="1" applyAlignment="1">
      <alignment horizontal="center" vertical="center"/>
    </xf>
    <xf numFmtId="2" fontId="85" fillId="3" borderId="0" xfId="0" applyNumberFormat="1" applyFont="1" applyFill="1" applyAlignment="1">
      <alignment horizontal="center" vertical="center"/>
    </xf>
    <xf numFmtId="4" fontId="85" fillId="0" borderId="1" xfId="0" applyNumberFormat="1" applyFont="1" applyFill="1" applyBorder="1" applyAlignment="1">
      <alignment horizontal="center" vertical="center"/>
    </xf>
    <xf numFmtId="4" fontId="86" fillId="0" borderId="1" xfId="0" applyNumberFormat="1" applyFont="1" applyFill="1" applyBorder="1" applyAlignment="1">
      <alignment horizontal="center" vertical="center"/>
    </xf>
    <xf numFmtId="2" fontId="86" fillId="0" borderId="1" xfId="0" applyNumberFormat="1" applyFont="1" applyFill="1" applyBorder="1" applyAlignment="1">
      <alignment horizontal="center" vertical="center"/>
    </xf>
    <xf numFmtId="4" fontId="85" fillId="3" borderId="1" xfId="0" applyNumberFormat="1" applyFont="1" applyFill="1" applyBorder="1" applyAlignment="1">
      <alignment horizontal="center" vertical="center"/>
    </xf>
    <xf numFmtId="4" fontId="86"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49" fontId="31" fillId="0" borderId="3"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2" xfId="0" applyFont="1" applyFill="1" applyBorder="1" applyAlignment="1">
      <alignment horizontal="center" vertical="center"/>
    </xf>
    <xf numFmtId="2"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31" fillId="0" borderId="1" xfId="0" applyNumberFormat="1" applyFont="1" applyFill="1" applyBorder="1" applyAlignment="1">
      <alignment horizontal="center" vertical="center"/>
    </xf>
    <xf numFmtId="49" fontId="83" fillId="0" borderId="1" xfId="0" applyNumberFormat="1" applyFont="1" applyFill="1" applyBorder="1" applyAlignment="1">
      <alignment horizontal="center" vertical="center"/>
    </xf>
    <xf numFmtId="0" fontId="83" fillId="0" borderId="1" xfId="0" applyFont="1" applyFill="1" applyBorder="1" applyAlignment="1">
      <alignment horizontal="left" vertical="center" wrapText="1"/>
    </xf>
    <xf numFmtId="0" fontId="83" fillId="0" borderId="1" xfId="0" applyFont="1" applyFill="1" applyBorder="1" applyAlignment="1">
      <alignment horizontal="center" vertical="center" wrapText="1"/>
    </xf>
    <xf numFmtId="2" fontId="83" fillId="0" borderId="1" xfId="0" applyNumberFormat="1" applyFont="1" applyFill="1" applyBorder="1" applyAlignment="1">
      <alignment horizontal="center" vertical="center"/>
    </xf>
    <xf numFmtId="4" fontId="83" fillId="0" borderId="1" xfId="0" applyNumberFormat="1" applyFont="1" applyFill="1" applyBorder="1" applyAlignment="1">
      <alignment horizontal="center" vertical="center"/>
    </xf>
    <xf numFmtId="0" fontId="0" fillId="0" borderId="0" xfId="0" applyBorder="1" applyAlignment="1">
      <alignment horizontal="center" vertical="center"/>
    </xf>
    <xf numFmtId="0" fontId="17" fillId="0" borderId="0" xfId="0" applyFont="1" applyBorder="1" applyAlignment="1">
      <alignment horizontal="center" vertical="center"/>
    </xf>
    <xf numFmtId="0" fontId="45" fillId="0" borderId="0" xfId="0" applyFont="1" applyBorder="1" applyAlignment="1">
      <alignment horizontal="center" vertical="center"/>
    </xf>
    <xf numFmtId="10" fontId="0" fillId="0" borderId="0" xfId="0" applyNumberFormat="1" applyBorder="1" applyAlignment="1">
      <alignment horizontal="center" vertical="center"/>
    </xf>
    <xf numFmtId="10" fontId="17" fillId="0" borderId="0" xfId="0" applyNumberFormat="1" applyFont="1" applyBorder="1" applyAlignment="1">
      <alignment horizontal="center" vertical="center"/>
    </xf>
    <xf numFmtId="4" fontId="20" fillId="0" borderId="0" xfId="0" applyNumberFormat="1" applyFont="1" applyBorder="1" applyAlignment="1">
      <alignment horizontal="center" vertical="center"/>
    </xf>
    <xf numFmtId="10" fontId="0" fillId="3" borderId="2" xfId="0" applyNumberFormat="1" applyFill="1" applyBorder="1" applyAlignment="1">
      <alignment horizontal="center" vertical="center"/>
    </xf>
    <xf numFmtId="4" fontId="16" fillId="3" borderId="2" xfId="0" applyNumberFormat="1" applyFont="1" applyFill="1" applyBorder="1" applyAlignment="1">
      <alignment horizontal="center" vertical="center"/>
    </xf>
    <xf numFmtId="4" fontId="59" fillId="0" borderId="2" xfId="0" applyNumberFormat="1" applyFont="1" applyBorder="1" applyAlignment="1">
      <alignment horizontal="center" vertical="center"/>
    </xf>
    <xf numFmtId="0" fontId="0" fillId="3" borderId="2" xfId="0" applyFill="1" applyBorder="1" applyAlignment="1">
      <alignment horizontal="center" vertical="center"/>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4" fontId="18" fillId="3" borderId="1" xfId="0" applyNumberFormat="1" applyFont="1" applyFill="1" applyBorder="1" applyAlignment="1">
      <alignment horizontal="center" vertical="center"/>
    </xf>
    <xf numFmtId="2" fontId="18" fillId="3" borderId="0" xfId="0" applyNumberFormat="1" applyFont="1" applyFill="1" applyAlignment="1">
      <alignment horizontal="center" vertical="center"/>
    </xf>
    <xf numFmtId="0" fontId="45" fillId="0" borderId="1" xfId="0" applyFont="1" applyBorder="1" applyAlignment="1">
      <alignment horizontal="center" vertical="center"/>
    </xf>
    <xf numFmtId="0" fontId="17" fillId="0" borderId="1" xfId="0" applyFont="1" applyBorder="1" applyAlignment="1">
      <alignment horizontal="center" vertical="center"/>
    </xf>
    <xf numFmtId="10" fontId="17" fillId="0" borderId="1" xfId="0" applyNumberFormat="1" applyFont="1" applyBorder="1" applyAlignment="1">
      <alignment horizontal="center" vertical="center"/>
    </xf>
    <xf numFmtId="10" fontId="0" fillId="0" borderId="1" xfId="0" applyNumberFormat="1" applyBorder="1" applyAlignment="1">
      <alignment horizontal="center" vertical="center"/>
    </xf>
    <xf numFmtId="4" fontId="20" fillId="0" borderId="1" xfId="0" applyNumberFormat="1" applyFont="1" applyBorder="1" applyAlignment="1">
      <alignment horizontal="center" vertical="center"/>
    </xf>
    <xf numFmtId="0" fontId="30" fillId="0" borderId="0" xfId="0" applyFont="1"/>
    <xf numFmtId="4" fontId="17" fillId="0" borderId="0" xfId="0" applyNumberFormat="1" applyFont="1" applyBorder="1" applyAlignment="1">
      <alignment horizontal="center" vertical="center"/>
    </xf>
    <xf numFmtId="2" fontId="16" fillId="6" borderId="1" xfId="0" applyNumberFormat="1" applyFont="1" applyFill="1" applyBorder="1" applyAlignment="1">
      <alignment horizontal="center" vertical="center"/>
    </xf>
    <xf numFmtId="0" fontId="59" fillId="0" borderId="0" xfId="0" applyFont="1"/>
    <xf numFmtId="2" fontId="62" fillId="0" borderId="0" xfId="0" applyNumberFormat="1" applyFont="1"/>
    <xf numFmtId="0" fontId="65" fillId="0" borderId="0" xfId="0" applyFont="1"/>
    <xf numFmtId="2" fontId="59" fillId="0" borderId="1" xfId="0" applyNumberFormat="1" applyFont="1" applyBorder="1" applyAlignment="1">
      <alignment horizontal="center" vertical="center"/>
    </xf>
    <xf numFmtId="4" fontId="70" fillId="0" borderId="1" xfId="0" applyNumberFormat="1" applyFont="1" applyBorder="1" applyAlignment="1">
      <alignment horizontal="center" vertical="center"/>
    </xf>
    <xf numFmtId="10" fontId="48" fillId="0" borderId="1" xfId="0" applyNumberFormat="1" applyFont="1" applyBorder="1" applyAlignment="1">
      <alignment horizontal="center" vertical="center"/>
    </xf>
    <xf numFmtId="4" fontId="59" fillId="0" borderId="1" xfId="0" applyNumberFormat="1" applyFont="1" applyBorder="1" applyAlignment="1">
      <alignment horizontal="center" vertical="center"/>
    </xf>
    <xf numFmtId="0" fontId="0" fillId="0" borderId="0" xfId="0"/>
    <xf numFmtId="0" fontId="0" fillId="0" borderId="0" xfId="0" applyFont="1"/>
    <xf numFmtId="2" fontId="13" fillId="0" borderId="0" xfId="0" applyNumberFormat="1" applyFont="1" applyAlignment="1">
      <alignment horizontal="center" vertical="center"/>
    </xf>
    <xf numFmtId="0" fontId="17" fillId="0" borderId="0" xfId="0" applyFont="1"/>
    <xf numFmtId="9" fontId="36" fillId="0"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 fontId="18" fillId="0" borderId="16" xfId="0" applyNumberFormat="1" applyFont="1" applyBorder="1" applyAlignment="1">
      <alignment horizontal="center" vertical="center"/>
    </xf>
    <xf numFmtId="0" fontId="0" fillId="3" borderId="0" xfId="0" applyFill="1"/>
    <xf numFmtId="2" fontId="18" fillId="3" borderId="0" xfId="0" applyNumberFormat="1" applyFont="1" applyFill="1" applyAlignment="1">
      <alignment horizontal="center" vertical="center"/>
    </xf>
    <xf numFmtId="2" fontId="13" fillId="3" borderId="0" xfId="0" applyNumberFormat="1" applyFont="1" applyFill="1" applyAlignment="1">
      <alignment horizontal="center" vertical="center"/>
    </xf>
    <xf numFmtId="4" fontId="18" fillId="3" borderId="2" xfId="0" applyNumberFormat="1" applyFont="1" applyFill="1" applyBorder="1" applyAlignment="1">
      <alignment horizontal="center" vertical="center"/>
    </xf>
    <xf numFmtId="4" fontId="18" fillId="3" borderId="19" xfId="0" applyNumberFormat="1" applyFont="1" applyFill="1" applyBorder="1" applyAlignment="1">
      <alignment horizontal="center" vertical="center"/>
    </xf>
    <xf numFmtId="0" fontId="23" fillId="0" borderId="1" xfId="0" applyFont="1" applyFill="1" applyBorder="1" applyAlignment="1">
      <alignment horizontal="center"/>
    </xf>
    <xf numFmtId="0" fontId="20" fillId="0" borderId="1" xfId="0" applyFont="1" applyFill="1" applyBorder="1"/>
    <xf numFmtId="0" fontId="20" fillId="0" borderId="1" xfId="0" applyFont="1" applyFill="1" applyBorder="1" applyAlignment="1">
      <alignment horizontal="left" vertical="center"/>
    </xf>
    <xf numFmtId="0" fontId="20" fillId="0" borderId="1" xfId="0" applyFont="1" applyFill="1" applyBorder="1" applyAlignment="1">
      <alignment wrapText="1"/>
    </xf>
    <xf numFmtId="4" fontId="20" fillId="0" borderId="1" xfId="0" applyNumberFormat="1" applyFont="1" applyFill="1" applyBorder="1"/>
    <xf numFmtId="0" fontId="20" fillId="0" borderId="1"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4" fontId="20" fillId="0" borderId="5" xfId="0" applyNumberFormat="1" applyFont="1" applyFill="1" applyBorder="1" applyAlignment="1">
      <alignment horizontal="center" vertical="center"/>
    </xf>
    <xf numFmtId="0" fontId="20" fillId="0" borderId="15" xfId="0" applyFont="1" applyFill="1" applyBorder="1" applyAlignment="1">
      <alignment vertical="center" wrapText="1"/>
    </xf>
    <xf numFmtId="0" fontId="20" fillId="0" borderId="16" xfId="0" applyFont="1" applyFill="1" applyBorder="1" applyAlignment="1">
      <alignment vertical="center" wrapText="1"/>
    </xf>
    <xf numFmtId="0" fontId="34" fillId="0" borderId="15" xfId="0" applyFont="1" applyFill="1" applyBorder="1" applyAlignment="1">
      <alignment vertical="center"/>
    </xf>
    <xf numFmtId="0" fontId="34" fillId="0" borderId="16" xfId="0" applyFont="1" applyFill="1" applyBorder="1" applyAlignment="1">
      <alignment vertical="center"/>
    </xf>
    <xf numFmtId="0" fontId="20" fillId="0" borderId="1" xfId="0" applyFont="1" applyFill="1" applyBorder="1" applyAlignment="1">
      <alignment horizontal="center" vertical="center"/>
    </xf>
    <xf numFmtId="49" fontId="18" fillId="0" borderId="17"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4" fontId="18" fillId="0" borderId="16"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0" xfId="0" applyFont="1" applyFill="1"/>
    <xf numFmtId="49" fontId="20" fillId="0" borderId="2"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4" fontId="20" fillId="0" borderId="2" xfId="0" applyNumberFormat="1" applyFont="1" applyFill="1" applyBorder="1" applyAlignment="1">
      <alignment horizontal="center" vertical="center"/>
    </xf>
    <xf numFmtId="4" fontId="20" fillId="0" borderId="3"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49" fontId="20" fillId="0" borderId="3"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9" fontId="20" fillId="0" borderId="3"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wrapText="1"/>
    </xf>
    <xf numFmtId="49" fontId="20" fillId="0" borderId="4" xfId="0" applyNumberFormat="1" applyFont="1" applyFill="1" applyBorder="1" applyAlignment="1">
      <alignment vertical="center" wrapText="1"/>
    </xf>
    <xf numFmtId="49" fontId="20" fillId="0" borderId="19" xfId="0" applyNumberFormat="1" applyFont="1" applyFill="1" applyBorder="1" applyAlignment="1">
      <alignment vertical="center" wrapText="1"/>
    </xf>
    <xf numFmtId="49" fontId="20" fillId="0" borderId="0" xfId="0" applyNumberFormat="1" applyFont="1" applyFill="1" applyBorder="1" applyAlignment="1">
      <alignment vertical="center" wrapText="1"/>
    </xf>
    <xf numFmtId="49" fontId="20" fillId="0" borderId="20" xfId="0" applyNumberFormat="1" applyFont="1" applyFill="1" applyBorder="1" applyAlignment="1">
      <alignment vertical="center" wrapText="1"/>
    </xf>
    <xf numFmtId="49" fontId="20" fillId="0" borderId="23" xfId="0" applyNumberFormat="1" applyFont="1" applyFill="1" applyBorder="1" applyAlignment="1">
      <alignment vertical="center" wrapText="1"/>
    </xf>
    <xf numFmtId="49" fontId="20" fillId="0" borderId="22" xfId="0" applyNumberFormat="1" applyFont="1" applyFill="1" applyBorder="1" applyAlignment="1">
      <alignment vertical="center" wrapText="1"/>
    </xf>
    <xf numFmtId="0" fontId="20" fillId="0" borderId="1" xfId="0" applyFont="1" applyFill="1" applyBorder="1" applyAlignment="1">
      <alignment vertical="center" wrapText="1"/>
    </xf>
    <xf numFmtId="0" fontId="18" fillId="0" borderId="15" xfId="0" applyFont="1" applyFill="1" applyBorder="1" applyAlignment="1">
      <alignment horizontal="left" vertical="center" wrapText="1"/>
    </xf>
    <xf numFmtId="0" fontId="34" fillId="0" borderId="15" xfId="0" applyFont="1" applyFill="1" applyBorder="1" applyAlignment="1">
      <alignment vertical="center" wrapText="1"/>
    </xf>
    <xf numFmtId="0" fontId="34" fillId="0" borderId="16" xfId="0" applyFont="1" applyFill="1" applyBorder="1" applyAlignment="1">
      <alignment vertical="center" wrapText="1"/>
    </xf>
    <xf numFmtId="0" fontId="17" fillId="0" borderId="2" xfId="0" applyFont="1" applyBorder="1" applyAlignment="1">
      <alignment horizontal="center" vertical="center"/>
    </xf>
    <xf numFmtId="4" fontId="20" fillId="3" borderId="1" xfId="0" applyNumberFormat="1" applyFont="1" applyFill="1" applyBorder="1" applyAlignment="1">
      <alignment horizontal="center" vertical="center"/>
    </xf>
    <xf numFmtId="0" fontId="30" fillId="0" borderId="0" xfId="0" applyFont="1"/>
    <xf numFmtId="4" fontId="17" fillId="0" borderId="0" xfId="0" applyNumberFormat="1" applyFont="1" applyBorder="1" applyAlignment="1">
      <alignment horizontal="center" vertical="center"/>
    </xf>
    <xf numFmtId="2" fontId="16" fillId="6" borderId="1" xfId="0" applyNumberFormat="1" applyFont="1" applyFill="1" applyBorder="1" applyAlignment="1">
      <alignment horizontal="center" vertical="center"/>
    </xf>
    <xf numFmtId="2" fontId="16" fillId="3" borderId="1" xfId="0" applyNumberFormat="1" applyFont="1" applyFill="1" applyBorder="1" applyAlignment="1">
      <alignment horizontal="center" vertical="center"/>
    </xf>
    <xf numFmtId="0" fontId="59" fillId="3" borderId="0" xfId="0" applyFont="1" applyFill="1"/>
    <xf numFmtId="2" fontId="62" fillId="0" borderId="0" xfId="0" applyNumberFormat="1" applyFont="1"/>
    <xf numFmtId="0" fontId="65" fillId="3" borderId="0" xfId="0" applyFont="1" applyFill="1"/>
    <xf numFmtId="4" fontId="70" fillId="0" borderId="1" xfId="0" applyNumberFormat="1" applyFont="1" applyBorder="1" applyAlignment="1">
      <alignment horizontal="center" vertical="center"/>
    </xf>
    <xf numFmtId="10" fontId="48" fillId="0" borderId="1" xfId="0" applyNumberFormat="1" applyFont="1" applyBorder="1" applyAlignment="1">
      <alignment horizontal="center" vertical="center"/>
    </xf>
    <xf numFmtId="2" fontId="59" fillId="0" borderId="2" xfId="0" applyNumberFormat="1" applyFont="1" applyBorder="1" applyAlignment="1">
      <alignment horizontal="center" vertical="center"/>
    </xf>
    <xf numFmtId="0" fontId="45" fillId="0" borderId="2" xfId="0" applyFont="1" applyBorder="1" applyAlignment="1">
      <alignment horizontal="center" vertical="center"/>
    </xf>
    <xf numFmtId="10" fontId="17" fillId="0" borderId="2" xfId="0" applyNumberFormat="1" applyFont="1" applyBorder="1" applyAlignment="1">
      <alignment horizontal="center" vertical="center"/>
    </xf>
    <xf numFmtId="49" fontId="49" fillId="0" borderId="0" xfId="0" applyNumberFormat="1" applyFont="1" applyFill="1" applyAlignment="1">
      <alignment horizontal="center" vertical="center"/>
    </xf>
    <xf numFmtId="0" fontId="49" fillId="0" borderId="0" xfId="0" applyFont="1" applyFill="1"/>
    <xf numFmtId="0" fontId="49" fillId="0" borderId="0" xfId="0" applyFont="1" applyFill="1" applyAlignment="1">
      <alignment horizontal="left" vertical="center"/>
    </xf>
    <xf numFmtId="0" fontId="49" fillId="0" borderId="0" xfId="0" applyFont="1" applyFill="1" applyAlignment="1">
      <alignment horizontal="center" vertical="center"/>
    </xf>
    <xf numFmtId="4" fontId="49" fillId="0" borderId="0" xfId="0" applyNumberFormat="1" applyFont="1" applyFill="1"/>
    <xf numFmtId="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xf>
    <xf numFmtId="164" fontId="83" fillId="0" borderId="3" xfId="0" applyNumberFormat="1" applyFont="1" applyFill="1" applyBorder="1" applyAlignment="1">
      <alignment horizontal="center" vertical="center"/>
    </xf>
    <xf numFmtId="10" fontId="12" fillId="0" borderId="3" xfId="0" applyNumberFormat="1" applyFont="1" applyFill="1" applyBorder="1" applyAlignment="1">
      <alignment horizontal="center" vertical="center" wrapText="1"/>
    </xf>
    <xf numFmtId="49" fontId="97" fillId="0" borderId="2" xfId="0" applyNumberFormat="1" applyFont="1" applyFill="1" applyBorder="1" applyAlignment="1">
      <alignment horizontal="center" vertical="center"/>
    </xf>
    <xf numFmtId="0" fontId="97" fillId="0" borderId="2" xfId="0" applyFont="1" applyFill="1" applyBorder="1" applyAlignment="1">
      <alignment horizontal="center"/>
    </xf>
    <xf numFmtId="0" fontId="97" fillId="0" borderId="2" xfId="0" applyFont="1" applyFill="1" applyBorder="1" applyAlignment="1">
      <alignment horizontal="center" vertical="center"/>
    </xf>
    <xf numFmtId="3" fontId="97" fillId="0" borderId="2" xfId="0" applyNumberFormat="1" applyFont="1" applyFill="1" applyBorder="1" applyAlignment="1">
      <alignment horizontal="center"/>
    </xf>
    <xf numFmtId="0" fontId="83" fillId="0" borderId="1" xfId="0" applyFont="1" applyFill="1" applyBorder="1" applyAlignment="1">
      <alignment horizontal="right" vertical="center"/>
    </xf>
    <xf numFmtId="0" fontId="98" fillId="0" borderId="1" xfId="0" applyFont="1" applyFill="1" applyBorder="1" applyAlignment="1">
      <alignment horizontal="left" vertical="center" wrapText="1"/>
    </xf>
    <xf numFmtId="49" fontId="47" fillId="0" borderId="0" xfId="0" applyNumberFormat="1" applyFont="1" applyFill="1" applyAlignment="1">
      <alignment horizontal="center" vertical="center"/>
    </xf>
    <xf numFmtId="0" fontId="31" fillId="0" borderId="0" xfId="0" applyFont="1" applyFill="1" applyAlignment="1">
      <alignment horizontal="left" vertical="center"/>
    </xf>
    <xf numFmtId="0" fontId="31" fillId="0" borderId="0" xfId="0" applyFont="1" applyFill="1"/>
    <xf numFmtId="0" fontId="47" fillId="0" borderId="0" xfId="0" applyFont="1" applyFill="1"/>
    <xf numFmtId="0" fontId="47" fillId="0" borderId="0" xfId="0" applyFont="1" applyFill="1" applyAlignment="1">
      <alignment horizontal="center" vertical="center"/>
    </xf>
    <xf numFmtId="4" fontId="47" fillId="0" borderId="0" xfId="0" applyNumberFormat="1" applyFont="1" applyFill="1"/>
    <xf numFmtId="4" fontId="47" fillId="0" borderId="1" xfId="0" applyNumberFormat="1" applyFont="1" applyFill="1" applyBorder="1"/>
    <xf numFmtId="0" fontId="47" fillId="0" borderId="0" xfId="0" applyFont="1" applyFill="1" applyAlignment="1">
      <alignment horizontal="left" vertical="center"/>
    </xf>
    <xf numFmtId="0" fontId="20" fillId="3" borderId="1"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9" xfId="0" applyFont="1" applyFill="1" applyBorder="1" applyAlignment="1">
      <alignment horizontal="center" vertical="center"/>
    </xf>
    <xf numFmtId="0" fontId="17" fillId="0" borderId="14" xfId="0" applyFont="1" applyBorder="1" applyAlignment="1">
      <alignment horizontal="center" wrapText="1"/>
    </xf>
    <xf numFmtId="0" fontId="59" fillId="0" borderId="2"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3" xfId="0" applyFont="1" applyBorder="1" applyAlignment="1">
      <alignment horizontal="center" vertical="center" wrapText="1"/>
    </xf>
    <xf numFmtId="4" fontId="20" fillId="0" borderId="1" xfId="0" applyNumberFormat="1" applyFont="1" applyBorder="1" applyAlignment="1">
      <alignment horizontal="center" vertical="center"/>
    </xf>
    <xf numFmtId="4" fontId="20" fillId="8" borderId="1" xfId="0" applyNumberFormat="1" applyFont="1" applyFill="1" applyBorder="1" applyAlignment="1">
      <alignment horizontal="center" vertical="center"/>
    </xf>
    <xf numFmtId="0" fontId="25" fillId="0" borderId="2" xfId="0" applyFont="1" applyBorder="1" applyAlignment="1">
      <alignment horizontal="center" wrapText="1"/>
    </xf>
    <xf numFmtId="0" fontId="25" fillId="0" borderId="5" xfId="0" applyFont="1" applyBorder="1" applyAlignment="1">
      <alignment horizontal="center" wrapText="1"/>
    </xf>
    <xf numFmtId="0" fontId="25" fillId="0" borderId="3" xfId="0" applyFont="1" applyBorder="1" applyAlignment="1">
      <alignment horizontal="center" wrapText="1"/>
    </xf>
    <xf numFmtId="10" fontId="0" fillId="0" borderId="1" xfId="0" applyNumberFormat="1" applyFont="1" applyBorder="1" applyAlignment="1">
      <alignment horizontal="center" vertical="center" wrapText="1"/>
    </xf>
    <xf numFmtId="10" fontId="17" fillId="0" borderId="2" xfId="0" applyNumberFormat="1" applyFont="1" applyBorder="1" applyAlignment="1">
      <alignment horizontal="center" vertical="center"/>
    </xf>
    <xf numFmtId="10" fontId="17" fillId="0" borderId="3" xfId="0" applyNumberFormat="1" applyFont="1" applyBorder="1" applyAlignment="1">
      <alignment horizontal="center" vertical="center"/>
    </xf>
    <xf numFmtId="10" fontId="17" fillId="8" borderId="2" xfId="0" applyNumberFormat="1" applyFont="1" applyFill="1" applyBorder="1" applyAlignment="1">
      <alignment horizontal="center" vertical="center"/>
    </xf>
    <xf numFmtId="10" fontId="17" fillId="8" borderId="3" xfId="0" applyNumberFormat="1"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 fontId="17" fillId="0" borderId="14" xfId="0" applyNumberFormat="1" applyFont="1" applyBorder="1" applyAlignment="1">
      <alignment horizontal="center" vertical="center"/>
    </xf>
    <xf numFmtId="4" fontId="17" fillId="0" borderId="0" xfId="0" applyNumberFormat="1" applyFont="1" applyBorder="1" applyAlignment="1">
      <alignment horizontal="center" vertical="center"/>
    </xf>
    <xf numFmtId="4" fontId="71" fillId="0" borderId="2" xfId="0" applyNumberFormat="1" applyFont="1" applyBorder="1" applyAlignment="1">
      <alignment horizontal="center" vertical="center"/>
    </xf>
    <xf numFmtId="4" fontId="71" fillId="0" borderId="3"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0" fontId="0" fillId="3" borderId="0" xfId="0" applyFill="1" applyAlignment="1">
      <alignment horizontal="center" vertical="center" wrapText="1"/>
    </xf>
    <xf numFmtId="0" fontId="0" fillId="3" borderId="23" xfId="0" applyFill="1" applyBorder="1" applyAlignment="1">
      <alignment horizontal="center" vertical="center" wrapText="1"/>
    </xf>
    <xf numFmtId="10" fontId="80" fillId="0" borderId="1" xfId="0" applyNumberFormat="1" applyFont="1" applyBorder="1" applyAlignment="1">
      <alignment horizontal="center" vertical="center"/>
    </xf>
    <xf numFmtId="10" fontId="79" fillId="0" borderId="1" xfId="0" applyNumberFormat="1" applyFont="1" applyBorder="1" applyAlignment="1">
      <alignment horizontal="center" vertical="center"/>
    </xf>
    <xf numFmtId="10" fontId="79" fillId="0" borderId="2" xfId="0" applyNumberFormat="1" applyFont="1" applyBorder="1" applyAlignment="1">
      <alignment horizontal="center" vertical="center"/>
    </xf>
    <xf numFmtId="10" fontId="79" fillId="0" borderId="3" xfId="0" applyNumberFormat="1" applyFont="1" applyBorder="1" applyAlignment="1">
      <alignment horizontal="center" vertical="center"/>
    </xf>
    <xf numFmtId="10" fontId="48" fillId="8" borderId="1" xfId="0" applyNumberFormat="1" applyFont="1" applyFill="1" applyBorder="1" applyAlignment="1">
      <alignment horizontal="center" vertical="center"/>
    </xf>
    <xf numFmtId="10" fontId="68" fillId="0" borderId="1" xfId="0" applyNumberFormat="1" applyFont="1" applyBorder="1" applyAlignment="1">
      <alignment horizontal="center" vertical="center"/>
    </xf>
    <xf numFmtId="10" fontId="68" fillId="8" borderId="1" xfId="0" applyNumberFormat="1" applyFont="1" applyFill="1" applyBorder="1" applyAlignment="1">
      <alignment horizontal="center" vertical="center"/>
    </xf>
    <xf numFmtId="2" fontId="59" fillId="0" borderId="2" xfId="0" applyNumberFormat="1" applyFont="1" applyBorder="1" applyAlignment="1">
      <alignment horizontal="center" vertical="center"/>
    </xf>
    <xf numFmtId="2" fontId="59" fillId="0" borderId="3" xfId="0" applyNumberFormat="1" applyFont="1" applyBorder="1" applyAlignment="1">
      <alignment horizontal="center" vertical="center"/>
    </xf>
    <xf numFmtId="2" fontId="59" fillId="8" borderId="2" xfId="0" applyNumberFormat="1" applyFont="1" applyFill="1" applyBorder="1" applyAlignment="1">
      <alignment horizontal="center" vertical="center"/>
    </xf>
    <xf numFmtId="2" fontId="59" fillId="8" borderId="3" xfId="0" applyNumberFormat="1" applyFont="1" applyFill="1" applyBorder="1" applyAlignment="1">
      <alignment horizontal="center" vertical="center"/>
    </xf>
    <xf numFmtId="4" fontId="16" fillId="0" borderId="2" xfId="0" applyNumberFormat="1" applyFont="1" applyBorder="1" applyAlignment="1">
      <alignment horizontal="center" vertical="center"/>
    </xf>
    <xf numFmtId="4" fontId="16" fillId="0" borderId="3" xfId="0" applyNumberFormat="1" applyFont="1" applyBorder="1" applyAlignment="1">
      <alignment horizontal="center" vertical="center"/>
    </xf>
    <xf numFmtId="4" fontId="70" fillId="0" borderId="1" xfId="0" applyNumberFormat="1" applyFont="1" applyBorder="1" applyAlignment="1">
      <alignment horizontal="center" vertical="center"/>
    </xf>
    <xf numFmtId="4" fontId="72" fillId="0" borderId="1" xfId="0" applyNumberFormat="1" applyFont="1" applyFill="1" applyBorder="1" applyAlignment="1">
      <alignment horizontal="center" vertical="center"/>
    </xf>
    <xf numFmtId="4" fontId="61" fillId="8" borderId="1" xfId="0" applyNumberFormat="1" applyFont="1" applyFill="1" applyBorder="1" applyAlignment="1">
      <alignment horizontal="center" vertical="center"/>
    </xf>
    <xf numFmtId="4" fontId="86" fillId="0" borderId="2" xfId="0" applyNumberFormat="1" applyFont="1" applyFill="1" applyBorder="1" applyAlignment="1">
      <alignment horizontal="center" vertical="center"/>
    </xf>
    <xf numFmtId="4" fontId="86" fillId="0" borderId="3" xfId="0" applyNumberFormat="1" applyFont="1" applyFill="1" applyBorder="1" applyAlignment="1">
      <alignment horizontal="center" vertical="center"/>
    </xf>
    <xf numFmtId="4" fontId="70" fillId="0" borderId="2" xfId="0" applyNumberFormat="1" applyFont="1" applyBorder="1" applyAlignment="1">
      <alignment horizontal="center" vertical="center"/>
    </xf>
    <xf numFmtId="4" fontId="70" fillId="0" borderId="3" xfId="0" applyNumberFormat="1" applyFont="1" applyBorder="1" applyAlignment="1">
      <alignment horizontal="center" vertical="center"/>
    </xf>
    <xf numFmtId="4" fontId="61" fillId="8" borderId="2" xfId="0" applyNumberFormat="1" applyFont="1" applyFill="1" applyBorder="1" applyAlignment="1">
      <alignment horizontal="center" vertical="center"/>
    </xf>
    <xf numFmtId="4" fontId="61" fillId="8" borderId="3" xfId="0" applyNumberFormat="1" applyFont="1" applyFill="1" applyBorder="1" applyAlignment="1">
      <alignment horizontal="center" vertical="center"/>
    </xf>
    <xf numFmtId="4" fontId="43" fillId="0" borderId="2" xfId="0" applyNumberFormat="1" applyFont="1" applyBorder="1" applyAlignment="1">
      <alignment horizontal="center" vertical="center"/>
    </xf>
    <xf numFmtId="4" fontId="43" fillId="0" borderId="3" xfId="0" applyNumberFormat="1" applyFont="1" applyBorder="1" applyAlignment="1">
      <alignment horizontal="center" vertical="center"/>
    </xf>
    <xf numFmtId="2" fontId="18" fillId="3" borderId="5" xfId="0" applyNumberFormat="1" applyFont="1" applyFill="1" applyBorder="1" applyAlignment="1">
      <alignment horizontal="center" vertical="center"/>
    </xf>
    <xf numFmtId="4" fontId="18" fillId="3" borderId="2" xfId="0" applyNumberFormat="1" applyFont="1" applyFill="1" applyBorder="1" applyAlignment="1">
      <alignment horizontal="center" vertical="center"/>
    </xf>
    <xf numFmtId="4" fontId="18" fillId="3" borderId="3" xfId="0" applyNumberFormat="1" applyFont="1" applyFill="1" applyBorder="1" applyAlignment="1">
      <alignment horizontal="center" vertical="center"/>
    </xf>
    <xf numFmtId="2" fontId="77" fillId="3" borderId="5" xfId="0" applyNumberFormat="1" applyFont="1" applyFill="1" applyBorder="1" applyAlignment="1">
      <alignment horizontal="center"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49" fontId="31" fillId="0" borderId="2"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xf>
    <xf numFmtId="0" fontId="83"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32" fillId="0" borderId="17"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12" fillId="0" borderId="1" xfId="0" applyFont="1" applyFill="1" applyBorder="1"/>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3" xfId="0" applyFont="1" applyFill="1" applyBorder="1" applyAlignment="1">
      <alignment wrapText="1"/>
    </xf>
    <xf numFmtId="0" fontId="12" fillId="0" borderId="1" xfId="0" applyFont="1" applyFill="1" applyBorder="1" applyAlignment="1">
      <alignment horizontal="left"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0" fontId="83"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47" fillId="0" borderId="3" xfId="0" applyFont="1" applyFill="1" applyBorder="1"/>
    <xf numFmtId="0" fontId="83" fillId="0" borderId="1" xfId="0" applyFont="1" applyFill="1" applyBorder="1" applyAlignment="1">
      <alignment horizontal="center" vertical="center"/>
    </xf>
    <xf numFmtId="4" fontId="77" fillId="3" borderId="2" xfId="0" applyNumberFormat="1" applyFont="1" applyFill="1" applyBorder="1" applyAlignment="1">
      <alignment horizontal="center" vertical="center"/>
    </xf>
    <xf numFmtId="4" fontId="77" fillId="3" borderId="3" xfId="0" applyNumberFormat="1" applyFont="1" applyFill="1" applyBorder="1" applyAlignment="1">
      <alignment horizontal="center" vertical="center"/>
    </xf>
    <xf numFmtId="4" fontId="18" fillId="8" borderId="2" xfId="0" applyNumberFormat="1" applyFont="1" applyFill="1" applyBorder="1" applyAlignment="1">
      <alignment horizontal="center" vertical="center"/>
    </xf>
    <xf numFmtId="4" fontId="18" fillId="8" borderId="3" xfId="0" applyNumberFormat="1" applyFont="1" applyFill="1" applyBorder="1" applyAlignment="1">
      <alignment horizontal="center" vertical="center"/>
    </xf>
    <xf numFmtId="4" fontId="85" fillId="3" borderId="2" xfId="0" applyNumberFormat="1" applyFont="1" applyFill="1" applyBorder="1" applyAlignment="1">
      <alignment horizontal="center" vertical="center"/>
    </xf>
    <xf numFmtId="4" fontId="85" fillId="3" borderId="3" xfId="0" applyNumberFormat="1" applyFont="1" applyFill="1" applyBorder="1" applyAlignment="1">
      <alignment horizontal="center" vertical="center"/>
    </xf>
    <xf numFmtId="4" fontId="83" fillId="0" borderId="1" xfId="0" applyNumberFormat="1" applyFont="1" applyFill="1" applyBorder="1" applyAlignment="1">
      <alignment horizontal="center" vertical="center"/>
    </xf>
    <xf numFmtId="4" fontId="83" fillId="0" borderId="2" xfId="0" applyNumberFormat="1" applyFont="1" applyFill="1" applyBorder="1" applyAlignment="1">
      <alignment horizontal="center" vertical="center"/>
    </xf>
    <xf numFmtId="4" fontId="83" fillId="0" borderId="3" xfId="0" applyNumberFormat="1" applyFont="1" applyFill="1" applyBorder="1" applyAlignment="1">
      <alignment horizontal="center" vertical="center"/>
    </xf>
    <xf numFmtId="0" fontId="83" fillId="0" borderId="1" xfId="0" applyFont="1" applyFill="1" applyBorder="1" applyAlignment="1">
      <alignment horizontal="left" vertical="center"/>
    </xf>
    <xf numFmtId="4"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2" fontId="16" fillId="6" borderId="2" xfId="0" applyNumberFormat="1" applyFont="1" applyFill="1" applyBorder="1" applyAlignment="1">
      <alignment horizontal="center" vertical="center"/>
    </xf>
    <xf numFmtId="2" fontId="16" fillId="6" borderId="3" xfId="0" applyNumberFormat="1" applyFont="1" applyFill="1" applyBorder="1" applyAlignment="1">
      <alignment horizontal="center" vertical="center"/>
    </xf>
    <xf numFmtId="2" fontId="16" fillId="6" borderId="1" xfId="0" applyNumberFormat="1" applyFont="1" applyFill="1" applyBorder="1" applyAlignment="1">
      <alignment horizontal="center" vertical="center"/>
    </xf>
    <xf numFmtId="2" fontId="18" fillId="8" borderId="5"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xf>
    <xf numFmtId="2" fontId="86" fillId="0" borderId="2" xfId="0" applyNumberFormat="1" applyFont="1" applyFill="1" applyBorder="1" applyAlignment="1">
      <alignment horizontal="center" vertical="center"/>
    </xf>
    <xf numFmtId="2" fontId="86" fillId="0" borderId="3" xfId="0" applyNumberFormat="1" applyFont="1" applyFill="1" applyBorder="1" applyAlignment="1">
      <alignment horizontal="center" vertical="center"/>
    </xf>
    <xf numFmtId="2" fontId="43" fillId="6" borderId="1" xfId="0" applyNumberFormat="1" applyFont="1" applyFill="1" applyBorder="1" applyAlignment="1">
      <alignment horizontal="center" vertical="center"/>
    </xf>
    <xf numFmtId="0" fontId="49" fillId="0" borderId="0" xfId="0" applyNumberFormat="1" applyFont="1" applyFill="1" applyAlignment="1">
      <alignment horizontal="left" vertical="center" wrapText="1"/>
    </xf>
    <xf numFmtId="0" fontId="31" fillId="0" borderId="0" xfId="0" applyFont="1" applyFill="1" applyAlignment="1">
      <alignment horizontal="right" vertical="top" wrapText="1"/>
    </xf>
    <xf numFmtId="49" fontId="78" fillId="0" borderId="0" xfId="0" applyNumberFormat="1" applyFont="1" applyFill="1" applyAlignment="1">
      <alignment horizontal="center" vertical="center" wrapText="1"/>
    </xf>
    <xf numFmtId="49" fontId="78" fillId="0" borderId="0" xfId="0" applyNumberFormat="1" applyFont="1" applyFill="1" applyAlignment="1">
      <alignment horizontal="center" vertical="center"/>
    </xf>
    <xf numFmtId="0" fontId="99" fillId="0" borderId="0" xfId="0" applyFont="1" applyFill="1" applyAlignment="1">
      <alignment horizontal="center" vertical="center"/>
    </xf>
    <xf numFmtId="0" fontId="12" fillId="0" borderId="1"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83" fillId="0" borderId="1" xfId="0" applyNumberFormat="1" applyFont="1" applyFill="1" applyBorder="1" applyAlignment="1">
      <alignment horizontal="center" vertical="center"/>
    </xf>
    <xf numFmtId="0" fontId="49" fillId="6" borderId="1"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49" fillId="6" borderId="0" xfId="0" applyFont="1" applyFill="1" applyBorder="1" applyAlignment="1">
      <alignment horizontal="center" vertical="center" wrapText="1"/>
    </xf>
    <xf numFmtId="0" fontId="49" fillId="6" borderId="23" xfId="0" applyFont="1" applyFill="1" applyBorder="1" applyAlignment="1">
      <alignment horizontal="center" vertical="center" wrapText="1"/>
    </xf>
    <xf numFmtId="2" fontId="59" fillId="0" borderId="1" xfId="0" applyNumberFormat="1" applyFont="1" applyBorder="1" applyAlignment="1">
      <alignment horizontal="center" vertical="center"/>
    </xf>
    <xf numFmtId="10" fontId="10" fillId="0" borderId="1" xfId="0" applyNumberFormat="1" applyFont="1" applyBorder="1" applyAlignment="1">
      <alignment horizontal="center" vertical="center" wrapText="1"/>
    </xf>
    <xf numFmtId="10" fontId="48" fillId="0" borderId="1" xfId="0" applyNumberFormat="1" applyFont="1" applyBorder="1" applyAlignment="1">
      <alignment horizontal="center" vertical="center"/>
    </xf>
    <xf numFmtId="2" fontId="0" fillId="0" borderId="2" xfId="0" applyNumberFormat="1" applyFont="1" applyBorder="1" applyAlignment="1">
      <alignment horizontal="center" vertical="center"/>
    </xf>
    <xf numFmtId="2" fontId="0" fillId="0" borderId="3" xfId="0" applyNumberFormat="1" applyFont="1" applyBorder="1" applyAlignment="1">
      <alignment horizontal="center" vertical="center"/>
    </xf>
    <xf numFmtId="0" fontId="27" fillId="0" borderId="17"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17" xfId="0" applyFont="1" applyFill="1" applyBorder="1" applyAlignment="1">
      <alignment horizontal="left" vertical="center" wrapText="1"/>
    </xf>
    <xf numFmtId="0" fontId="27" fillId="0" borderId="15" xfId="0" applyFont="1" applyFill="1" applyBorder="1" applyAlignment="1">
      <alignment horizontal="left" vertical="center" wrapText="1"/>
    </xf>
    <xf numFmtId="49" fontId="83"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Alignment="1">
      <alignment horizontal="center" vertical="center"/>
    </xf>
    <xf numFmtId="0" fontId="0" fillId="3" borderId="23" xfId="0" applyFill="1" applyBorder="1" applyAlignment="1">
      <alignment horizontal="center" vertical="center"/>
    </xf>
    <xf numFmtId="10" fontId="0" fillId="0" borderId="2" xfId="0" applyNumberFormat="1" applyFont="1" applyBorder="1" applyAlignment="1">
      <alignment horizontal="center" vertical="center"/>
    </xf>
    <xf numFmtId="10" fontId="0" fillId="0" borderId="3" xfId="0" applyNumberFormat="1" applyFont="1" applyBorder="1" applyAlignment="1">
      <alignment horizontal="center" vertical="center"/>
    </xf>
    <xf numFmtId="10" fontId="0" fillId="8" borderId="2" xfId="0" applyNumberFormat="1" applyFill="1" applyBorder="1" applyAlignment="1">
      <alignment horizontal="center" vertical="center"/>
    </xf>
    <xf numFmtId="10" fontId="0" fillId="8" borderId="3" xfId="0" applyNumberFormat="1" applyFill="1"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8" borderId="2" xfId="0" applyFont="1" applyFill="1" applyBorder="1" applyAlignment="1">
      <alignment horizontal="center" vertical="center"/>
    </xf>
    <xf numFmtId="0" fontId="45" fillId="8" borderId="3" xfId="0" applyFont="1" applyFill="1" applyBorder="1" applyAlignment="1">
      <alignment horizontal="center" vertical="center"/>
    </xf>
    <xf numFmtId="0" fontId="30" fillId="8" borderId="14" xfId="0" applyFont="1" applyFill="1" applyBorder="1" applyAlignment="1">
      <alignment horizontal="center"/>
    </xf>
    <xf numFmtId="0" fontId="30" fillId="0" borderId="14" xfId="0" applyFont="1" applyBorder="1" applyAlignment="1">
      <alignment horizontal="center"/>
    </xf>
    <xf numFmtId="4" fontId="48" fillId="0" borderId="14" xfId="0" applyNumberFormat="1" applyFont="1" applyBorder="1" applyAlignment="1">
      <alignment horizontal="center" vertical="center"/>
    </xf>
    <xf numFmtId="4" fontId="48" fillId="0" borderId="0" xfId="0" applyNumberFormat="1" applyFont="1" applyBorder="1" applyAlignment="1">
      <alignment horizontal="center" vertical="center"/>
    </xf>
    <xf numFmtId="10" fontId="66" fillId="8" borderId="2" xfId="0" applyNumberFormat="1" applyFont="1" applyFill="1" applyBorder="1" applyAlignment="1">
      <alignment horizontal="center" vertical="center"/>
    </xf>
    <xf numFmtId="0" fontId="66" fillId="8" borderId="3" xfId="0" applyFont="1" applyFill="1" applyBorder="1" applyAlignment="1">
      <alignment horizontal="center" vertical="center"/>
    </xf>
    <xf numFmtId="10" fontId="66" fillId="0" borderId="2" xfId="0" applyNumberFormat="1" applyFont="1" applyBorder="1" applyAlignment="1">
      <alignment horizontal="center" vertical="center"/>
    </xf>
    <xf numFmtId="0" fontId="66" fillId="0" borderId="3" xfId="0" applyFont="1" applyBorder="1" applyAlignment="1">
      <alignment horizontal="center" vertical="center"/>
    </xf>
    <xf numFmtId="2" fontId="43" fillId="6" borderId="2" xfId="0" applyNumberFormat="1" applyFont="1" applyFill="1" applyBorder="1" applyAlignment="1">
      <alignment horizontal="center" vertical="center"/>
    </xf>
    <xf numFmtId="2" fontId="43" fillId="6" borderId="3" xfId="0" applyNumberFormat="1" applyFont="1" applyFill="1" applyBorder="1" applyAlignment="1">
      <alignment horizontal="center" vertical="center"/>
    </xf>
    <xf numFmtId="0" fontId="66" fillId="0" borderId="2"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3" xfId="0" applyFont="1" applyBorder="1" applyAlignment="1">
      <alignment horizontal="center" vertical="center" wrapText="1"/>
    </xf>
    <xf numFmtId="0" fontId="12" fillId="0" borderId="19"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25" fillId="0" borderId="0" xfId="0" applyNumberFormat="1" applyFont="1" applyFill="1" applyAlignment="1">
      <alignment horizontal="center" vertical="center" wrapText="1"/>
    </xf>
    <xf numFmtId="49" fontId="25" fillId="0" borderId="0" xfId="0" applyNumberFormat="1" applyFont="1" applyFill="1" applyAlignment="1">
      <alignment horizontal="center" vertical="center"/>
    </xf>
    <xf numFmtId="49"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wrapText="1"/>
    </xf>
    <xf numFmtId="0" fontId="20" fillId="0" borderId="1" xfId="0" applyFont="1" applyFill="1" applyBorder="1" applyAlignment="1">
      <alignment horizontal="center" vertical="center" wrapText="1"/>
    </xf>
    <xf numFmtId="0" fontId="20" fillId="0" borderId="1" xfId="0" applyFont="1" applyFill="1" applyBorder="1" applyAlignment="1">
      <alignment wrapText="1"/>
    </xf>
    <xf numFmtId="0" fontId="20" fillId="0" borderId="3" xfId="0" applyFont="1" applyFill="1" applyBorder="1" applyAlignment="1">
      <alignment horizontal="center" vertical="center" wrapText="1"/>
    </xf>
    <xf numFmtId="4" fontId="18" fillId="0" borderId="2" xfId="0" applyNumberFormat="1" applyFont="1" applyBorder="1" applyAlignment="1">
      <alignment horizontal="center" vertical="center"/>
    </xf>
    <xf numFmtId="4" fontId="18" fillId="0" borderId="3" xfId="0" applyNumberFormat="1" applyFont="1" applyBorder="1" applyAlignment="1">
      <alignment horizontal="center" vertical="center"/>
    </xf>
    <xf numFmtId="2" fontId="18" fillId="0" borderId="14" xfId="0" applyNumberFormat="1" applyFont="1" applyBorder="1" applyAlignment="1">
      <alignment horizontal="center" vertical="center"/>
    </xf>
    <xf numFmtId="0" fontId="20" fillId="0" borderId="1" xfId="0" applyFont="1" applyFill="1" applyBorder="1" applyAlignment="1">
      <alignment horizontal="left" vertical="center" wrapText="1"/>
    </xf>
    <xf numFmtId="4" fontId="20" fillId="0" borderId="1" xfId="0" applyNumberFormat="1" applyFont="1" applyFill="1" applyBorder="1" applyAlignment="1">
      <alignment horizontal="center" vertical="center"/>
    </xf>
    <xf numFmtId="4" fontId="18" fillId="0" borderId="19" xfId="0" applyNumberFormat="1" applyFont="1" applyBorder="1" applyAlignment="1">
      <alignment horizontal="center" vertical="center"/>
    </xf>
    <xf numFmtId="4" fontId="18" fillId="0" borderId="22" xfId="0" applyNumberFormat="1" applyFont="1" applyBorder="1" applyAlignment="1">
      <alignment horizontal="center" vertical="center"/>
    </xf>
    <xf numFmtId="2" fontId="13" fillId="0" borderId="14" xfId="0" applyNumberFormat="1" applyFont="1" applyBorder="1" applyAlignment="1">
      <alignment horizontal="center" vertical="center"/>
    </xf>
    <xf numFmtId="4" fontId="20" fillId="0" borderId="2" xfId="0" applyNumberFormat="1" applyFont="1" applyFill="1" applyBorder="1" applyAlignment="1">
      <alignment horizontal="center" vertical="center"/>
    </xf>
    <xf numFmtId="4" fontId="20" fillId="0" borderId="3"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4" fontId="13" fillId="0" borderId="19" xfId="0" applyNumberFormat="1" applyFont="1" applyBorder="1" applyAlignment="1">
      <alignment horizontal="center" vertical="center"/>
    </xf>
    <xf numFmtId="4" fontId="13" fillId="0" borderId="22" xfId="0" applyNumberFormat="1" applyFont="1" applyBorder="1" applyAlignment="1">
      <alignment horizontal="center" vertical="center"/>
    </xf>
    <xf numFmtId="4" fontId="13" fillId="0" borderId="16" xfId="0" applyNumberFormat="1" applyFont="1" applyBorder="1" applyAlignment="1">
      <alignment horizontal="center" vertical="center"/>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20" fillId="0" borderId="1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4" fontId="18" fillId="0" borderId="16" xfId="0" applyNumberFormat="1" applyFont="1" applyBorder="1" applyAlignment="1">
      <alignment horizontal="center" vertical="center"/>
    </xf>
    <xf numFmtId="0" fontId="20" fillId="0" borderId="0" xfId="0" applyFont="1" applyFill="1" applyAlignment="1">
      <alignment horizontal="right" vertical="top" wrapText="1"/>
    </xf>
    <xf numFmtId="4" fontId="31" fillId="0" borderId="2" xfId="0" applyNumberFormat="1" applyFont="1" applyFill="1" applyBorder="1" applyAlignment="1">
      <alignment horizontal="center" vertical="center"/>
    </xf>
    <xf numFmtId="4" fontId="31" fillId="0" borderId="3" xfId="0" applyNumberFormat="1" applyFont="1" applyFill="1" applyBorder="1" applyAlignment="1">
      <alignment horizontal="center" vertical="center"/>
    </xf>
    <xf numFmtId="0" fontId="29" fillId="0" borderId="0" xfId="0" applyFont="1" applyFill="1" applyAlignment="1">
      <alignment horizontal="center" wrapText="1"/>
    </xf>
    <xf numFmtId="0" fontId="20" fillId="0" borderId="0" xfId="0" applyNumberFormat="1" applyFont="1" applyFill="1" applyAlignment="1">
      <alignment horizontal="left" vertical="center" wrapText="1"/>
    </xf>
    <xf numFmtId="49" fontId="19" fillId="0" borderId="4" xfId="0" applyNumberFormat="1" applyFont="1" applyFill="1" applyBorder="1" applyAlignment="1">
      <alignment horizontal="center" vertical="center"/>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2" fontId="13" fillId="0" borderId="0" xfId="0" applyNumberFormat="1" applyFont="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4" fillId="0" borderId="17"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7" xfId="0" applyFont="1" applyFill="1" applyBorder="1" applyAlignment="1">
      <alignment vertical="center" wrapText="1"/>
    </xf>
    <xf numFmtId="0" fontId="34" fillId="0" borderId="15" xfId="0" applyFont="1" applyFill="1" applyBorder="1" applyAlignment="1">
      <alignment vertical="center" wrapText="1"/>
    </xf>
    <xf numFmtId="4" fontId="12" fillId="0" borderId="19" xfId="0" applyNumberFormat="1" applyFont="1" applyBorder="1" applyAlignment="1">
      <alignment horizontal="center" vertical="center"/>
    </xf>
    <xf numFmtId="4" fontId="12" fillId="0" borderId="22" xfId="0" applyNumberFormat="1" applyFont="1" applyBorder="1" applyAlignment="1">
      <alignment horizontal="center" vertical="center"/>
    </xf>
    <xf numFmtId="2" fontId="75" fillId="0" borderId="0" xfId="0" applyNumberFormat="1" applyFont="1" applyBorder="1" applyAlignment="1">
      <alignment horizontal="center" vertical="center"/>
    </xf>
    <xf numFmtId="0" fontId="25" fillId="0" borderId="17"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7" fillId="0" borderId="1" xfId="0" applyFont="1" applyBorder="1" applyAlignment="1">
      <alignment horizont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wrapText="1"/>
    </xf>
    <xf numFmtId="0" fontId="18" fillId="0" borderId="1" xfId="0"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2" fillId="6" borderId="1" xfId="0" applyFont="1" applyFill="1" applyBorder="1" applyAlignment="1">
      <alignment horizontal="center" vertical="center" wrapText="1"/>
    </xf>
    <xf numFmtId="10" fontId="48" fillId="0" borderId="2" xfId="0" applyNumberFormat="1" applyFont="1" applyBorder="1" applyAlignment="1">
      <alignment horizontal="center" vertical="center" wrapText="1"/>
    </xf>
    <xf numFmtId="10" fontId="48" fillId="0" borderId="5" xfId="0" applyNumberFormat="1" applyFont="1" applyBorder="1" applyAlignment="1">
      <alignment horizontal="center" vertical="center" wrapText="1"/>
    </xf>
    <xf numFmtId="10" fontId="48" fillId="0" borderId="3"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9" fillId="0" borderId="1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8" fillId="0" borderId="1" xfId="0" applyFont="1" applyFill="1" applyBorder="1" applyAlignment="1">
      <alignment horizontal="left" vertical="center" wrapText="1"/>
    </xf>
    <xf numFmtId="4" fontId="18" fillId="0" borderId="2"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6" fillId="0" borderId="1" xfId="0" applyFont="1" applyBorder="1" applyAlignment="1">
      <alignment horizontal="center" vertical="center"/>
    </xf>
    <xf numFmtId="2" fontId="18" fillId="6" borderId="1" xfId="0" applyNumberFormat="1" applyFont="1" applyFill="1" applyBorder="1" applyAlignment="1">
      <alignment horizontal="center" vertical="center"/>
    </xf>
    <xf numFmtId="0" fontId="44" fillId="0" borderId="1" xfId="0" applyFont="1" applyBorder="1" applyAlignment="1">
      <alignment horizontal="center" vertical="center"/>
    </xf>
    <xf numFmtId="4" fontId="18" fillId="0" borderId="1" xfId="0" applyNumberFormat="1" applyFont="1" applyFill="1" applyBorder="1" applyAlignment="1">
      <alignment horizontal="center" vertical="center"/>
    </xf>
    <xf numFmtId="0" fontId="44" fillId="0" borderId="17" xfId="0" applyFont="1" applyBorder="1" applyAlignment="1">
      <alignment horizontal="center" vertical="center"/>
    </xf>
    <xf numFmtId="10" fontId="48" fillId="0" borderId="18" xfId="0" applyNumberFormat="1" applyFont="1" applyBorder="1" applyAlignment="1">
      <alignment horizontal="center" vertical="center"/>
    </xf>
    <xf numFmtId="10" fontId="48" fillId="0" borderId="21" xfId="0" applyNumberFormat="1" applyFont="1" applyBorder="1" applyAlignment="1">
      <alignment horizontal="center" vertical="center"/>
    </xf>
    <xf numFmtId="4" fontId="17" fillId="0" borderId="1" xfId="0" applyNumberFormat="1" applyFont="1" applyBorder="1" applyAlignment="1">
      <alignment horizontal="center" vertical="center"/>
    </xf>
    <xf numFmtId="0" fontId="0" fillId="3" borderId="3" xfId="0" applyFill="1" applyBorder="1"/>
    <xf numFmtId="2" fontId="18" fillId="3" borderId="0"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2" fontId="18" fillId="0" borderId="1" xfId="0" applyNumberFormat="1" applyFont="1" applyFill="1" applyBorder="1" applyAlignment="1">
      <alignment horizontal="left" vertical="center" wrapText="1"/>
    </xf>
    <xf numFmtId="2" fontId="18" fillId="0" borderId="1" xfId="0" applyNumberFormat="1" applyFont="1" applyFill="1" applyBorder="1" applyAlignment="1">
      <alignment horizontal="center" vertical="center"/>
    </xf>
    <xf numFmtId="2" fontId="18" fillId="3" borderId="14" xfId="0" applyNumberFormat="1" applyFont="1" applyFill="1" applyBorder="1" applyAlignment="1">
      <alignment horizontal="center" vertical="center"/>
    </xf>
    <xf numFmtId="0" fontId="18" fillId="0" borderId="1" xfId="0" applyNumberFormat="1" applyFont="1" applyFill="1" applyBorder="1" applyAlignment="1">
      <alignment horizontal="left" vertical="center" wrapText="1"/>
    </xf>
    <xf numFmtId="0" fontId="17" fillId="0" borderId="1" xfId="0" applyFont="1" applyBorder="1" applyAlignment="1">
      <alignment horizontal="center" vertical="center"/>
    </xf>
    <xf numFmtId="4" fontId="18" fillId="0" borderId="2" xfId="0" applyNumberFormat="1" applyFont="1" applyFill="1" applyBorder="1" applyAlignment="1">
      <alignment horizontal="center" vertical="center"/>
    </xf>
    <xf numFmtId="0" fontId="0" fillId="0" borderId="3" xfId="0" applyFont="1" applyFill="1" applyBorder="1"/>
    <xf numFmtId="2" fontId="13" fillId="3" borderId="0"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26" fillId="0" borderId="17"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15" xfId="0" applyFont="1" applyFill="1" applyBorder="1" applyAlignment="1">
      <alignment horizontal="left" vertical="center" wrapText="1"/>
    </xf>
    <xf numFmtId="2" fontId="18" fillId="6" borderId="2" xfId="0" applyNumberFormat="1" applyFont="1" applyFill="1" applyBorder="1" applyAlignment="1">
      <alignment horizontal="center" vertical="center"/>
    </xf>
    <xf numFmtId="2" fontId="18" fillId="6" borderId="3" xfId="0" applyNumberFormat="1" applyFont="1" applyFill="1" applyBorder="1" applyAlignment="1">
      <alignment horizontal="center" vertical="center"/>
    </xf>
    <xf numFmtId="4" fontId="18" fillId="0" borderId="3" xfId="0" applyNumberFormat="1" applyFont="1" applyFill="1" applyBorder="1" applyAlignment="1">
      <alignment horizontal="center" vertical="center"/>
    </xf>
    <xf numFmtId="0" fontId="43" fillId="0" borderId="1" xfId="0" applyFont="1" applyBorder="1" applyAlignment="1">
      <alignment horizontal="center" vertical="center"/>
    </xf>
    <xf numFmtId="0" fontId="18" fillId="0" borderId="3" xfId="0" applyFont="1" applyFill="1" applyBorder="1" applyAlignment="1">
      <alignment horizontal="center" vertical="center"/>
    </xf>
    <xf numFmtId="0" fontId="46" fillId="0" borderId="18" xfId="0" applyFont="1" applyBorder="1" applyAlignment="1">
      <alignment horizontal="center" vertical="center"/>
    </xf>
    <xf numFmtId="0" fontId="46" fillId="0" borderId="21" xfId="0" applyFont="1" applyBorder="1" applyAlignment="1">
      <alignment horizontal="center" vertical="center"/>
    </xf>
    <xf numFmtId="4" fontId="17" fillId="0" borderId="2" xfId="0" applyNumberFormat="1" applyFont="1" applyBorder="1" applyAlignment="1">
      <alignment horizontal="center" vertical="center"/>
    </xf>
    <xf numFmtId="4" fontId="17" fillId="0" borderId="3" xfId="0" applyNumberFormat="1"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28" fillId="0" borderId="0" xfId="0" applyFont="1" applyFill="1" applyAlignment="1">
      <alignment horizontal="center" vertical="center"/>
    </xf>
    <xf numFmtId="0" fontId="16" fillId="0" borderId="0" xfId="0" applyNumberFormat="1" applyFont="1" applyFill="1" applyAlignment="1">
      <alignment horizontal="left" vertical="center" wrapText="1"/>
    </xf>
    <xf numFmtId="0" fontId="11" fillId="0" borderId="0" xfId="0" applyFont="1" applyAlignment="1">
      <alignment horizontal="center" vertical="center"/>
    </xf>
    <xf numFmtId="0" fontId="0" fillId="0" borderId="1" xfId="0" applyBorder="1" applyAlignment="1">
      <alignment horizontal="center" vertical="center" wrapText="1"/>
    </xf>
    <xf numFmtId="0" fontId="10" fillId="3" borderId="23"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9" fillId="0" borderId="0" xfId="0" applyFont="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xf numFmtId="0" fontId="4" fillId="0" borderId="1" xfId="0" applyFont="1" applyFill="1" applyBorder="1"/>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xf numFmtId="0" fontId="1" fillId="0" borderId="2" xfId="0" applyFont="1" applyFill="1" applyBorder="1" applyAlignment="1">
      <alignment horizontal="center" vertical="center" wrapText="1"/>
    </xf>
    <xf numFmtId="0" fontId="4" fillId="0" borderId="3" xfId="0" applyFont="1" applyFill="1" applyBorder="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4" fontId="20" fillId="7" borderId="2" xfId="0" applyNumberFormat="1" applyFont="1" applyFill="1" applyBorder="1" applyAlignment="1">
      <alignment horizontal="center" vertical="center"/>
    </xf>
    <xf numFmtId="4" fontId="20" fillId="7" borderId="3" xfId="0" applyNumberFormat="1" applyFont="1" applyFill="1" applyBorder="1" applyAlignment="1">
      <alignment horizontal="center" vertical="center"/>
    </xf>
    <xf numFmtId="0" fontId="31" fillId="0" borderId="1" xfId="0" applyFont="1" applyFill="1" applyBorder="1" applyAlignment="1">
      <alignment horizontal="left" vertical="center" wrapText="1"/>
    </xf>
    <xf numFmtId="4" fontId="20" fillId="7" borderId="1" xfId="0" applyNumberFormat="1" applyFont="1" applyFill="1" applyBorder="1" applyAlignment="1">
      <alignment horizontal="center" vertical="center"/>
    </xf>
    <xf numFmtId="0" fontId="35" fillId="0" borderId="17" xfId="0" applyFont="1" applyFill="1" applyBorder="1" applyAlignment="1">
      <alignment vertical="center" wrapText="1"/>
    </xf>
    <xf numFmtId="0" fontId="35" fillId="0" borderId="15" xfId="0" applyFont="1" applyFill="1" applyBorder="1" applyAlignment="1">
      <alignment vertical="center" wrapText="1"/>
    </xf>
    <xf numFmtId="0" fontId="35" fillId="0" borderId="17"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49" fillId="0" borderId="18" xfId="0" applyNumberFormat="1" applyFont="1" applyFill="1" applyBorder="1" applyAlignment="1">
      <alignment horizontal="center" vertical="center" wrapText="1"/>
    </xf>
    <xf numFmtId="0" fontId="49" fillId="0" borderId="4" xfId="0" applyNumberFormat="1" applyFont="1" applyFill="1" applyBorder="1" applyAlignment="1">
      <alignment horizontal="center" vertical="center" wrapText="1"/>
    </xf>
    <xf numFmtId="0" fontId="49" fillId="0" borderId="14" xfId="0" applyNumberFormat="1" applyFont="1" applyFill="1" applyBorder="1" applyAlignment="1">
      <alignment horizontal="center" vertical="center" wrapText="1"/>
    </xf>
    <xf numFmtId="0" fontId="49" fillId="0" borderId="0" xfId="0" applyNumberFormat="1" applyFont="1" applyFill="1" applyBorder="1" applyAlignment="1">
      <alignment horizontal="center" vertical="center" wrapText="1"/>
    </xf>
    <xf numFmtId="0" fontId="49" fillId="0" borderId="21" xfId="0" applyNumberFormat="1" applyFont="1" applyFill="1" applyBorder="1" applyAlignment="1">
      <alignment horizontal="center" vertical="center" wrapText="1"/>
    </xf>
    <xf numFmtId="0" fontId="49" fillId="0" borderId="23"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5" xfId="0" applyFont="1" applyFill="1" applyBorder="1" applyAlignment="1">
      <alignment horizontal="center" vertical="center" wrapText="1"/>
    </xf>
    <xf numFmtId="49" fontId="31" fillId="0" borderId="1" xfId="0" applyNumberFormat="1" applyFont="1" applyFill="1" applyBorder="1" applyAlignment="1">
      <alignment horizontal="center" vertical="center"/>
    </xf>
    <xf numFmtId="49" fontId="41" fillId="0" borderId="0" xfId="0" applyNumberFormat="1" applyFont="1" applyFill="1" applyAlignment="1">
      <alignment horizontal="center" vertical="center" wrapText="1"/>
    </xf>
    <xf numFmtId="49" fontId="41" fillId="0" borderId="0" xfId="0" applyNumberFormat="1" applyFont="1" applyFill="1" applyAlignment="1">
      <alignment horizontal="center" vertical="center"/>
    </xf>
    <xf numFmtId="49" fontId="31" fillId="0" borderId="1" xfId="0" applyNumberFormat="1" applyFont="1" applyFill="1" applyBorder="1" applyAlignment="1">
      <alignment horizontal="center" vertical="center" wrapText="1"/>
    </xf>
    <xf numFmtId="0" fontId="31" fillId="0" borderId="1" xfId="0" applyFont="1" applyFill="1" applyBorder="1" applyAlignment="1">
      <alignment wrapText="1"/>
    </xf>
    <xf numFmtId="0" fontId="31" fillId="7" borderId="2" xfId="0" applyFont="1" applyFill="1" applyBorder="1" applyAlignment="1">
      <alignment horizontal="center" vertical="center" wrapText="1"/>
    </xf>
    <xf numFmtId="0" fontId="31" fillId="7" borderId="3" xfId="0" applyFont="1" applyFill="1" applyBorder="1" applyAlignment="1">
      <alignment horizontal="center" vertical="center" wrapText="1"/>
    </xf>
  </cellXfs>
  <cellStyles count="43">
    <cellStyle name="S0" xfId="5"/>
    <cellStyle name="S1" xfId="6"/>
    <cellStyle name="S10" xfId="7"/>
    <cellStyle name="S19" xfId="8"/>
    <cellStyle name="S2" xfId="9"/>
    <cellStyle name="S20" xfId="10"/>
    <cellStyle name="S21" xfId="11"/>
    <cellStyle name="S22" xfId="12"/>
    <cellStyle name="S23" xfId="13"/>
    <cellStyle name="S24" xfId="14"/>
    <cellStyle name="S25" xfId="15"/>
    <cellStyle name="S26" xfId="16"/>
    <cellStyle name="S27" xfId="17"/>
    <cellStyle name="S28" xfId="18"/>
    <cellStyle name="S29" xfId="19"/>
    <cellStyle name="S3" xfId="20"/>
    <cellStyle name="S30" xfId="21"/>
    <cellStyle name="S31" xfId="22"/>
    <cellStyle name="S32" xfId="23"/>
    <cellStyle name="S33" xfId="24"/>
    <cellStyle name="S34" xfId="25"/>
    <cellStyle name="S35" xfId="26"/>
    <cellStyle name="S39" xfId="27"/>
    <cellStyle name="S4" xfId="28"/>
    <cellStyle name="S40" xfId="29"/>
    <cellStyle name="S41" xfId="30"/>
    <cellStyle name="S42" xfId="31"/>
    <cellStyle name="S43" xfId="32"/>
    <cellStyle name="S44" xfId="33"/>
    <cellStyle name="S45" xfId="34"/>
    <cellStyle name="S46" xfId="35"/>
    <cellStyle name="S5" xfId="36"/>
    <cellStyle name="S6" xfId="37"/>
    <cellStyle name="S7" xfId="38"/>
    <cellStyle name="S8" xfId="39"/>
    <cellStyle name="S9" xfId="40"/>
    <cellStyle name="Обычный" xfId="0" builtinId="0"/>
    <cellStyle name="Обычный 2" xfId="1"/>
    <cellStyle name="Процентный 2" xfId="4"/>
    <cellStyle name="Финансовый 2" xfId="2"/>
    <cellStyle name="Финансовый 2 2" xfId="41"/>
    <cellStyle name="Финансовый 3" xfId="3"/>
    <cellStyle name="Финансовый 4" xfId="4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1"/>
        </patternFill>
      </fill>
    </dxf>
    <dxf>
      <font>
        <condense val="0"/>
        <extend val="0"/>
        <color rgb="FF9C0006"/>
      </font>
      <fill>
        <patternFill>
          <bgColor rgb="FFFFC7CE"/>
        </patternFill>
      </fill>
    </dxf>
    <dxf>
      <fill>
        <patternFill>
          <bgColor rgb="FFFFFF00"/>
        </patternFill>
      </fill>
    </dxf>
    <dxf>
      <fill>
        <patternFill>
          <bgColor theme="1"/>
        </patternFill>
      </fill>
    </dxf>
    <dxf>
      <font>
        <condense val="0"/>
        <extend val="0"/>
        <color rgb="FF9C0006"/>
      </font>
      <fill>
        <patternFill>
          <bgColor rgb="FFFFC7CE"/>
        </patternFill>
      </fill>
    </dxf>
    <dxf>
      <fill>
        <patternFill>
          <bgColor rgb="FFFFFF00"/>
        </patternFill>
      </fill>
    </dxf>
    <dxf>
      <fill>
        <patternFill>
          <bgColor theme="1"/>
        </patternFill>
      </fill>
    </dxf>
    <dxf>
      <font>
        <condense val="0"/>
        <extend val="0"/>
        <color rgb="FF9C0006"/>
      </font>
      <fill>
        <patternFill>
          <bgColor rgb="FFFFC7CE"/>
        </patternFill>
      </fill>
    </dxf>
    <dxf>
      <fill>
        <patternFill>
          <bgColor rgb="FFFFFF00"/>
        </patternFill>
      </fill>
    </dxf>
    <dxf>
      <fill>
        <patternFill>
          <bgColor theme="1"/>
        </patternFill>
      </fill>
    </dxf>
    <dxf>
      <font>
        <condense val="0"/>
        <extend val="0"/>
        <color rgb="FF9C0006"/>
      </font>
      <fill>
        <patternFill>
          <bgColor rgb="FFFFC7CE"/>
        </patternFill>
      </fill>
    </dxf>
    <dxf>
      <fill>
        <patternFill>
          <bgColor rgb="FFFFFF00"/>
        </patternFill>
      </fill>
    </dxf>
    <dxf>
      <fill>
        <patternFill>
          <bgColor theme="1"/>
        </patternFill>
      </fill>
    </dxf>
    <dxf>
      <font>
        <condense val="0"/>
        <extend val="0"/>
        <color rgb="FF9C0006"/>
      </font>
      <fill>
        <patternFill>
          <bgColor rgb="FFFFC7CE"/>
        </patternFill>
      </fill>
    </dxf>
    <dxf>
      <fill>
        <patternFill>
          <bgColor rgb="FFFFFF00"/>
        </patternFill>
      </fill>
    </dxf>
    <dxf>
      <fill>
        <patternFill>
          <bgColor theme="1"/>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76;&#1083;&#1103;%20&#1087;&#1088;&#1077;&#1081;&#1089;&#1082;&#1091;&#1088;&#1072;&#1085;&#1090;&#1072;\&#1055;&#1088;&#1077;&#1081;&#1089;&#1082;&#1091;&#1088;&#1072;&#1085;&#1090;%20&#1077;&#1076;&#1080;&#1085;&#1099;&#1081;%20%20v%203.2%20&#1085;&#1072;%202014%20&#1075;&#1086;&#1076;%20&#1076;&#1077;&#1081;&#1089;&#1090;&#1074;&#1091;&#1102;&#1097;&#1080;&#1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042;&#1072;&#1078;&#1085;&#1072;&#1103;%20&#1080;&#1085;&#1092;&#1086;&#1088;&#1084;&#1072;&#1094;&#1080;&#1103;%20(&#1077;&#1078;&#1077;&#1076;&#1085;&#1077;&#1074;&#1085;&#1099;&#1081;%20&#1072;&#1088;&#1093;&#1080;&#1074;)\&#1056;&#1072;&#1073;&#1086;&#1095;&#1072;&#1103;%20&#1087;&#1072;&#1087;&#1082;&#1072;%202011\6.&#1055;&#1088;&#1077;&#1081;&#1089;&#1082;&#1091;&#1088;&#1072;&#1085;&#1090;&#1099;\&#1055;&#1088;&#1077;&#1081;&#1089;&#1082;&#1091;&#1088;&#1072;&#1085;&#1090;&#1099;,%20&#1082;&#1072;&#1083;&#1100;&#1082;&#1091;&#1083;&#1103;&#1094;&#1080;&#1080;\_2015,%202016,%202017,%202018%20&#1055;&#1088;&#1077;&#1081;&#1089;&#1082;&#1091;&#1088;&#1072;&#1085;&#1090;&#1099;\2019%20&#1075;&#1086;&#1076;\&#1059;&#1089;&#1083;&#1091;&#1075;&#1080;%20&#1085;&#1072;&#1089;&#1077;&#1083;&#1077;&#1085;&#1080;&#1102;\&#1087;&#1091;&#1085;&#1082;&#1090;%204.37.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1042;&#1072;&#1078;&#1085;&#1072;&#1103;%20&#1080;&#1085;&#1092;&#1086;&#1088;&#1084;&#1072;&#1094;&#1080;&#1103;%20(&#1077;&#1078;&#1077;&#1076;&#1085;&#1077;&#1074;&#1085;&#1099;&#1081;%20&#1072;&#1088;&#1093;&#1080;&#1074;)\&#1056;&#1072;&#1073;&#1086;&#1095;&#1072;&#1103;%20&#1087;&#1072;&#1087;&#1082;&#1072;%202011\6.&#1055;&#1088;&#1077;&#1081;&#1089;&#1082;&#1091;&#1088;&#1072;&#1085;&#1090;&#1099;\&#1055;&#1088;&#1077;&#1081;&#1089;&#1082;&#1091;&#1088;&#1072;&#1085;&#1090;&#1099;,%20&#1082;&#1072;&#1083;&#1100;&#1082;&#1091;&#1083;&#1103;&#1094;&#1080;&#1080;\_2015,%202016,%202017,%202018%20&#1055;&#1088;&#1077;&#1081;&#1089;&#1082;&#1091;&#1088;&#1072;&#1085;&#1090;&#1099;\2020%20&#1075;&#1086;&#1076;\&#1059;&#1089;&#1083;&#1091;&#1075;&#1080;%20&#1085;&#1072;&#1089;&#1077;&#1083;&#1077;&#1085;&#1080;&#1102;\&#1055;&#1088;&#1077;&#1081;&#1089;&#1082;&#1091;&#1088;&#1072;&#1085;&#1090;%20&#1085;&#1072;%20&#1091;&#1089;&#1083;&#1091;&#1075;&#1080;%20&#1085;&#1072;&#1089;&#1077;&#1083;&#1077;&#1085;&#1080;&#1102;%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мастерская"/>
      <sheetName val="ЧФОТ"/>
      <sheetName val="машины"/>
      <sheetName val="прейскурант"/>
      <sheetName val="прейскурант (дополнения)"/>
      <sheetName val="изменение"/>
      <sheetName val="Материалы"/>
      <sheetName val="Титульный"/>
    </sheetNames>
    <sheetDataSet>
      <sheetData sheetId="0" refreshError="1">
        <row r="6">
          <cell r="C6">
            <v>0.30199999999999999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ФОТ"/>
      <sheetName val="калькуляция"/>
      <sheetName val="Прейскурант"/>
      <sheetName val="материалы"/>
      <sheetName val="расход ГСМ"/>
      <sheetName val="мастерская"/>
    </sheetNames>
    <sheetDataSet>
      <sheetData sheetId="0"/>
      <sheetData sheetId="1"/>
      <sheetData sheetId="2"/>
      <sheetData sheetId="3">
        <row r="5">
          <cell r="A5" t="str">
            <v>ацетилен</v>
          </cell>
          <cell r="B5" t="str">
            <v>баллон</v>
          </cell>
          <cell r="C5">
            <v>2500</v>
          </cell>
          <cell r="D5">
            <v>2118.64</v>
          </cell>
          <cell r="E5" t="str">
            <v>м3</v>
          </cell>
          <cell r="F5">
            <v>6</v>
          </cell>
          <cell r="G5">
            <v>379.24</v>
          </cell>
        </row>
        <row r="6">
          <cell r="A6" t="str">
            <v>ветошь</v>
          </cell>
          <cell r="B6" t="str">
            <v>кг</v>
          </cell>
          <cell r="C6">
            <v>43.754399999999997</v>
          </cell>
          <cell r="D6">
            <v>37.08</v>
          </cell>
          <cell r="E6" t="str">
            <v>кг</v>
          </cell>
          <cell r="F6">
            <v>1</v>
          </cell>
          <cell r="G6">
            <v>39.82</v>
          </cell>
        </row>
        <row r="7">
          <cell r="A7" t="str">
            <v>кислород</v>
          </cell>
          <cell r="B7" t="str">
            <v>баллон</v>
          </cell>
          <cell r="C7">
            <v>360</v>
          </cell>
          <cell r="D7">
            <v>305.08</v>
          </cell>
          <cell r="E7" t="str">
            <v>м3</v>
          </cell>
          <cell r="F7">
            <v>6</v>
          </cell>
          <cell r="G7">
            <v>54.61</v>
          </cell>
        </row>
        <row r="8">
          <cell r="A8" t="str">
            <v>контрагайка Ду 15 мм</v>
          </cell>
          <cell r="B8" t="str">
            <v>шт.</v>
          </cell>
          <cell r="C8">
            <v>4</v>
          </cell>
          <cell r="D8">
            <v>3.39</v>
          </cell>
          <cell r="E8" t="str">
            <v>шт.</v>
          </cell>
          <cell r="F8">
            <v>1</v>
          </cell>
          <cell r="G8">
            <v>3.64</v>
          </cell>
        </row>
        <row r="9">
          <cell r="A9" t="str">
            <v>круг отрезной 150*22*2,5 мм</v>
          </cell>
          <cell r="B9" t="str">
            <v>шт.</v>
          </cell>
          <cell r="C9">
            <v>34</v>
          </cell>
          <cell r="D9">
            <v>28.81</v>
          </cell>
          <cell r="E9" t="str">
            <v>шт.</v>
          </cell>
          <cell r="F9">
            <v>1</v>
          </cell>
          <cell r="G9">
            <v>30.94</v>
          </cell>
        </row>
        <row r="10">
          <cell r="A10" t="str">
            <v>лист медный</v>
          </cell>
          <cell r="B10" t="str">
            <v>кг</v>
          </cell>
          <cell r="C10">
            <v>799.99279999999999</v>
          </cell>
          <cell r="D10">
            <v>677.96</v>
          </cell>
          <cell r="E10" t="str">
            <v>кг</v>
          </cell>
          <cell r="F10">
            <v>1</v>
          </cell>
          <cell r="G10">
            <v>728.13</v>
          </cell>
        </row>
        <row r="11">
          <cell r="A11" t="str">
            <v>лента ФУМ 10 мм</v>
          </cell>
          <cell r="B11" t="str">
            <v>кг</v>
          </cell>
          <cell r="C11">
            <v>783.10699999999997</v>
          </cell>
          <cell r="D11">
            <v>663.65</v>
          </cell>
          <cell r="E11" t="str">
            <v>кг</v>
          </cell>
          <cell r="F11">
            <v>1</v>
          </cell>
          <cell r="G11">
            <v>712.76</v>
          </cell>
        </row>
        <row r="12">
          <cell r="A12" t="str">
            <v>муфта Ду 15 мм</v>
          </cell>
          <cell r="B12" t="str">
            <v>шт.</v>
          </cell>
          <cell r="C12">
            <v>12.979999999999999</v>
          </cell>
          <cell r="D12">
            <v>11</v>
          </cell>
          <cell r="E12" t="str">
            <v>шт.</v>
          </cell>
          <cell r="F12">
            <v>1</v>
          </cell>
          <cell r="G12">
            <v>11.81</v>
          </cell>
        </row>
        <row r="13">
          <cell r="A13" t="str">
            <v>мыло</v>
          </cell>
          <cell r="B13" t="str">
            <v>кг</v>
          </cell>
          <cell r="C13">
            <v>72.074399999999997</v>
          </cell>
          <cell r="D13">
            <v>61.08</v>
          </cell>
          <cell r="E13" t="str">
            <v>кг</v>
          </cell>
          <cell r="F13">
            <v>1</v>
          </cell>
          <cell r="G13">
            <v>65.599999999999994</v>
          </cell>
        </row>
        <row r="14">
          <cell r="A14" t="str">
            <v xml:space="preserve">переходник </v>
          </cell>
          <cell r="B14" t="str">
            <v>шт.</v>
          </cell>
          <cell r="C14">
            <v>66.587400000000002</v>
          </cell>
          <cell r="D14">
            <v>56.43</v>
          </cell>
          <cell r="E14" t="str">
            <v>шт.</v>
          </cell>
          <cell r="F14">
            <v>1</v>
          </cell>
          <cell r="G14">
            <v>60.61</v>
          </cell>
        </row>
        <row r="15">
          <cell r="A15" t="str">
            <v>петля</v>
          </cell>
          <cell r="B15" t="str">
            <v>шт.</v>
          </cell>
          <cell r="C15">
            <v>34.007599999999996</v>
          </cell>
          <cell r="D15">
            <v>28.82</v>
          </cell>
          <cell r="E15" t="str">
            <v>шт.</v>
          </cell>
          <cell r="F15">
            <v>1</v>
          </cell>
          <cell r="G15">
            <v>30.95</v>
          </cell>
        </row>
        <row r="16">
          <cell r="A16" t="str">
            <v>проволока ЛОК</v>
          </cell>
          <cell r="B16" t="str">
            <v>кг</v>
          </cell>
          <cell r="C16">
            <v>748.49760000000003</v>
          </cell>
          <cell r="D16">
            <v>634.32000000000005</v>
          </cell>
          <cell r="E16" t="str">
            <v>кг</v>
          </cell>
          <cell r="F16">
            <v>1</v>
          </cell>
          <cell r="G16">
            <v>681.26</v>
          </cell>
        </row>
        <row r="17">
          <cell r="A17" t="str">
            <v>прокладка паронитовая</v>
          </cell>
          <cell r="B17" t="str">
            <v>шт.</v>
          </cell>
          <cell r="C17">
            <v>8.6375999999999991</v>
          </cell>
          <cell r="D17">
            <v>7.32</v>
          </cell>
          <cell r="E17" t="str">
            <v>шт.</v>
          </cell>
          <cell r="F17">
            <v>1</v>
          </cell>
          <cell r="G17">
            <v>7.49</v>
          </cell>
        </row>
        <row r="18">
          <cell r="A18" t="str">
            <v>прокладка паронитовая  1/2 для баллонов</v>
          </cell>
          <cell r="B18" t="str">
            <v>шт.</v>
          </cell>
          <cell r="C18">
            <v>8.6375999999999991</v>
          </cell>
          <cell r="D18">
            <v>7.32</v>
          </cell>
          <cell r="E18" t="str">
            <v>шт.</v>
          </cell>
          <cell r="F18">
            <v>1</v>
          </cell>
          <cell r="G18">
            <v>7.49</v>
          </cell>
        </row>
        <row r="19">
          <cell r="A19" t="str">
            <v>прокладка резиновая</v>
          </cell>
          <cell r="B19" t="str">
            <v>шт.</v>
          </cell>
          <cell r="C19">
            <v>6.7495999999999992</v>
          </cell>
          <cell r="D19">
            <v>5.72</v>
          </cell>
          <cell r="E19">
            <v>0</v>
          </cell>
          <cell r="F19">
            <v>1</v>
          </cell>
          <cell r="G19">
            <v>7.68</v>
          </cell>
        </row>
        <row r="20">
          <cell r="A20" t="str">
            <v>сварная заглушка</v>
          </cell>
          <cell r="B20" t="str">
            <v>шт.</v>
          </cell>
          <cell r="C20">
            <v>32.520799999999994</v>
          </cell>
          <cell r="D20">
            <v>27.56</v>
          </cell>
          <cell r="E20" t="str">
            <v>шт.</v>
          </cell>
          <cell r="F20">
            <v>1</v>
          </cell>
          <cell r="G20">
            <v>24.810000000000002</v>
          </cell>
        </row>
        <row r="21">
          <cell r="A21" t="str">
            <v>сварочная проволока СВ08А (3 мм)</v>
          </cell>
          <cell r="B21" t="str">
            <v>тонна</v>
          </cell>
          <cell r="C21">
            <v>49380</v>
          </cell>
          <cell r="D21">
            <v>41847.46</v>
          </cell>
          <cell r="E21" t="str">
            <v>кг</v>
          </cell>
          <cell r="F21">
            <v>1000</v>
          </cell>
          <cell r="G21">
            <v>44.94</v>
          </cell>
        </row>
        <row r="22">
          <cell r="A22" t="str">
            <v>сгон 1/2</v>
          </cell>
          <cell r="B22" t="str">
            <v>шт.</v>
          </cell>
          <cell r="C22">
            <v>34.656599999999997</v>
          </cell>
          <cell r="D22">
            <v>29.37</v>
          </cell>
          <cell r="E22" t="str">
            <v>шт.</v>
          </cell>
          <cell r="F22">
            <v>1</v>
          </cell>
          <cell r="G22">
            <v>31.54</v>
          </cell>
        </row>
        <row r="23">
          <cell r="A23" t="str">
            <v>труба ВГП 15*2,8</v>
          </cell>
          <cell r="B23" t="str">
            <v>м</v>
          </cell>
          <cell r="C23">
            <v>48.769399999999997</v>
          </cell>
          <cell r="D23">
            <v>41.33</v>
          </cell>
          <cell r="E23" t="str">
            <v>м</v>
          </cell>
          <cell r="F23">
            <v>1</v>
          </cell>
          <cell r="G23">
            <v>44.39</v>
          </cell>
        </row>
        <row r="24">
          <cell r="A24" t="str">
            <v>труба ВГП 32*3,2</v>
          </cell>
          <cell r="B24" t="str">
            <v>м</v>
          </cell>
          <cell r="C24">
            <v>89.408599999999993</v>
          </cell>
          <cell r="D24">
            <v>75.77</v>
          </cell>
          <cell r="E24" t="str">
            <v>м</v>
          </cell>
          <cell r="F24">
            <v>1</v>
          </cell>
          <cell r="G24">
            <v>81.38</v>
          </cell>
        </row>
        <row r="25">
          <cell r="A25" t="str">
            <v>угольник Ду 15 мм</v>
          </cell>
          <cell r="B25" t="str">
            <v>шт.</v>
          </cell>
          <cell r="C25">
            <v>33</v>
          </cell>
          <cell r="D25">
            <v>27.97</v>
          </cell>
          <cell r="E25" t="str">
            <v>шт.</v>
          </cell>
          <cell r="F25">
            <v>1</v>
          </cell>
          <cell r="G25">
            <v>30.04</v>
          </cell>
        </row>
        <row r="26">
          <cell r="A26" t="str">
            <v>хомут со шпилькой и дюбелем</v>
          </cell>
          <cell r="B26" t="str">
            <v>шт.</v>
          </cell>
          <cell r="C26">
            <v>33</v>
          </cell>
          <cell r="D26">
            <v>27.97</v>
          </cell>
          <cell r="E26" t="str">
            <v>шт.</v>
          </cell>
          <cell r="F26">
            <v>1</v>
          </cell>
          <cell r="G26">
            <v>30.04</v>
          </cell>
        </row>
        <row r="27">
          <cell r="A27" t="str">
            <v>хомутики для крепления резиновых шлангов</v>
          </cell>
          <cell r="B27" t="str">
            <v>шт.</v>
          </cell>
          <cell r="C27">
            <v>15</v>
          </cell>
          <cell r="D27">
            <v>12.71</v>
          </cell>
          <cell r="E27" t="str">
            <v>шт.</v>
          </cell>
          <cell r="F27">
            <v>1</v>
          </cell>
          <cell r="G27">
            <v>13.65</v>
          </cell>
        </row>
        <row r="28">
          <cell r="A28" t="str">
            <v>шнур асбестовый</v>
          </cell>
          <cell r="B28" t="str">
            <v>кг</v>
          </cell>
          <cell r="C28">
            <v>332.25259999999997</v>
          </cell>
          <cell r="D28">
            <v>281.57</v>
          </cell>
          <cell r="E28" t="str">
            <v>кг</v>
          </cell>
          <cell r="F28">
            <v>1</v>
          </cell>
          <cell r="G28">
            <v>302.41000000000003</v>
          </cell>
        </row>
        <row r="29">
          <cell r="A29" t="str">
            <v>штуцер 1-рожковый</v>
          </cell>
          <cell r="B29" t="str">
            <v>шт.</v>
          </cell>
          <cell r="C29">
            <v>38.656799999999997</v>
          </cell>
          <cell r="D29">
            <v>32.76</v>
          </cell>
          <cell r="E29" t="str">
            <v>шт.</v>
          </cell>
          <cell r="F29">
            <v>1</v>
          </cell>
          <cell r="G29">
            <v>35.18</v>
          </cell>
        </row>
        <row r="30">
          <cell r="A30" t="str">
            <v>штуцер 2-рожковый</v>
          </cell>
          <cell r="B30" t="str">
            <v>шт.</v>
          </cell>
          <cell r="C30">
            <v>64.722999999999999</v>
          </cell>
          <cell r="D30">
            <v>54.85</v>
          </cell>
          <cell r="E30" t="str">
            <v>шт.</v>
          </cell>
          <cell r="F30">
            <v>1</v>
          </cell>
          <cell r="G30">
            <v>58.91</v>
          </cell>
        </row>
        <row r="31">
          <cell r="A31" t="str">
            <v>электроды</v>
          </cell>
          <cell r="B31" t="str">
            <v>кг</v>
          </cell>
          <cell r="C31">
            <v>89.3142</v>
          </cell>
          <cell r="D31">
            <v>75.69</v>
          </cell>
          <cell r="E31" t="str">
            <v>кг</v>
          </cell>
          <cell r="F31">
            <v>1</v>
          </cell>
          <cell r="G31">
            <v>81.290000000000006</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ФОТ"/>
      <sheetName val="калькуляция"/>
      <sheetName val="Прейскурант"/>
      <sheetName val="материалы"/>
      <sheetName val="расход ГСМ"/>
      <sheetName val="мастерская"/>
    </sheetNames>
    <sheetDataSet>
      <sheetData sheetId="0"/>
      <sheetData sheetId="1"/>
      <sheetData sheetId="2"/>
      <sheetData sheetId="3">
        <row r="5">
          <cell r="A5" t="str">
            <v>ацетилен</v>
          </cell>
          <cell r="B5" t="str">
            <v>баллон</v>
          </cell>
          <cell r="C5">
            <v>2500</v>
          </cell>
          <cell r="D5">
            <v>2118.64</v>
          </cell>
          <cell r="E5" t="str">
            <v>м3</v>
          </cell>
          <cell r="F5">
            <v>6</v>
          </cell>
          <cell r="G5">
            <v>379.24</v>
          </cell>
        </row>
        <row r="6">
          <cell r="A6" t="str">
            <v>ветошь</v>
          </cell>
          <cell r="B6" t="str">
            <v>кг</v>
          </cell>
          <cell r="C6">
            <v>43.754399999999997</v>
          </cell>
          <cell r="D6">
            <v>37.08</v>
          </cell>
          <cell r="E6" t="str">
            <v>кг</v>
          </cell>
          <cell r="F6">
            <v>1</v>
          </cell>
          <cell r="G6">
            <v>39.82</v>
          </cell>
        </row>
        <row r="7">
          <cell r="A7" t="str">
            <v>кислород</v>
          </cell>
          <cell r="B7" t="str">
            <v>баллон</v>
          </cell>
          <cell r="C7">
            <v>360</v>
          </cell>
          <cell r="D7">
            <v>305.08</v>
          </cell>
          <cell r="E7" t="str">
            <v>м3</v>
          </cell>
          <cell r="F7">
            <v>6</v>
          </cell>
          <cell r="G7">
            <v>54.61</v>
          </cell>
        </row>
        <row r="8">
          <cell r="A8" t="str">
            <v>контрагайка Ду 15 мм</v>
          </cell>
          <cell r="B8" t="str">
            <v>шт.</v>
          </cell>
          <cell r="C8">
            <v>4</v>
          </cell>
          <cell r="D8">
            <v>3.39</v>
          </cell>
          <cell r="E8" t="str">
            <v>шт.</v>
          </cell>
          <cell r="F8">
            <v>1</v>
          </cell>
          <cell r="G8">
            <v>3.64</v>
          </cell>
        </row>
        <row r="9">
          <cell r="A9" t="str">
            <v>круг отрезной 150*22*2,5 мм</v>
          </cell>
          <cell r="B9" t="str">
            <v>шт.</v>
          </cell>
          <cell r="C9">
            <v>34</v>
          </cell>
          <cell r="D9">
            <v>28.81</v>
          </cell>
          <cell r="E9" t="str">
            <v>шт.</v>
          </cell>
          <cell r="F9">
            <v>1</v>
          </cell>
          <cell r="G9">
            <v>30.94</v>
          </cell>
        </row>
        <row r="10">
          <cell r="A10" t="str">
            <v>лист медный</v>
          </cell>
          <cell r="B10" t="str">
            <v>кг</v>
          </cell>
          <cell r="C10">
            <v>799.99279999999999</v>
          </cell>
          <cell r="D10">
            <v>677.96</v>
          </cell>
          <cell r="E10" t="str">
            <v>кг</v>
          </cell>
          <cell r="F10">
            <v>1</v>
          </cell>
          <cell r="G10">
            <v>728.13</v>
          </cell>
        </row>
        <row r="11">
          <cell r="A11" t="str">
            <v>лента ФУМ 10 мм</v>
          </cell>
          <cell r="B11" t="str">
            <v>кг</v>
          </cell>
          <cell r="C11">
            <v>783.10699999999997</v>
          </cell>
          <cell r="D11">
            <v>663.65</v>
          </cell>
          <cell r="E11" t="str">
            <v>кг</v>
          </cell>
          <cell r="F11">
            <v>1</v>
          </cell>
          <cell r="G11">
            <v>712.76</v>
          </cell>
        </row>
        <row r="12">
          <cell r="A12" t="str">
            <v>муфта Ду 15 мм</v>
          </cell>
          <cell r="B12" t="str">
            <v>шт.</v>
          </cell>
          <cell r="C12">
            <v>12.979999999999999</v>
          </cell>
          <cell r="D12">
            <v>11</v>
          </cell>
          <cell r="E12" t="str">
            <v>шт.</v>
          </cell>
          <cell r="F12">
            <v>1</v>
          </cell>
          <cell r="G12">
            <v>11.81</v>
          </cell>
        </row>
        <row r="13">
          <cell r="A13" t="str">
            <v>мыло</v>
          </cell>
          <cell r="B13" t="str">
            <v>кг</v>
          </cell>
          <cell r="C13">
            <v>72.074399999999997</v>
          </cell>
          <cell r="D13">
            <v>61.08</v>
          </cell>
          <cell r="E13" t="str">
            <v>кг</v>
          </cell>
          <cell r="F13">
            <v>1</v>
          </cell>
          <cell r="G13">
            <v>65.599999999999994</v>
          </cell>
        </row>
        <row r="14">
          <cell r="A14" t="str">
            <v xml:space="preserve">переходник </v>
          </cell>
          <cell r="B14" t="str">
            <v>шт.</v>
          </cell>
          <cell r="C14">
            <v>66.587400000000002</v>
          </cell>
          <cell r="D14">
            <v>56.43</v>
          </cell>
          <cell r="E14" t="str">
            <v>шт.</v>
          </cell>
          <cell r="F14">
            <v>1</v>
          </cell>
          <cell r="G14">
            <v>60.61</v>
          </cell>
        </row>
        <row r="15">
          <cell r="A15" t="str">
            <v>петля</v>
          </cell>
          <cell r="B15" t="str">
            <v>шт.</v>
          </cell>
          <cell r="C15">
            <v>34.007599999999996</v>
          </cell>
          <cell r="D15">
            <v>28.82</v>
          </cell>
          <cell r="E15" t="str">
            <v>шт.</v>
          </cell>
          <cell r="F15">
            <v>1</v>
          </cell>
          <cell r="G15">
            <v>30.95</v>
          </cell>
        </row>
        <row r="16">
          <cell r="A16" t="str">
            <v>проволока ЛОК</v>
          </cell>
          <cell r="B16" t="str">
            <v>кг</v>
          </cell>
          <cell r="C16">
            <v>748.49760000000003</v>
          </cell>
          <cell r="D16">
            <v>634.32000000000005</v>
          </cell>
          <cell r="E16" t="str">
            <v>кг</v>
          </cell>
          <cell r="F16">
            <v>1</v>
          </cell>
          <cell r="G16">
            <v>681.26</v>
          </cell>
        </row>
        <row r="17">
          <cell r="A17" t="str">
            <v>прокладка паронитовая</v>
          </cell>
          <cell r="B17" t="str">
            <v>шт.</v>
          </cell>
          <cell r="C17">
            <v>8.6375999999999991</v>
          </cell>
          <cell r="D17">
            <v>7.32</v>
          </cell>
          <cell r="E17" t="str">
            <v>шт.</v>
          </cell>
          <cell r="F17">
            <v>1</v>
          </cell>
          <cell r="G17">
            <v>7.49</v>
          </cell>
        </row>
        <row r="18">
          <cell r="A18" t="str">
            <v>прокладка паронитовая  1/2 для баллонов</v>
          </cell>
          <cell r="B18" t="str">
            <v>шт.</v>
          </cell>
          <cell r="C18">
            <v>8.6375999999999991</v>
          </cell>
          <cell r="D18">
            <v>7.32</v>
          </cell>
          <cell r="E18" t="str">
            <v>шт.</v>
          </cell>
          <cell r="F18">
            <v>1</v>
          </cell>
          <cell r="G18">
            <v>7.49</v>
          </cell>
        </row>
        <row r="19">
          <cell r="A19" t="str">
            <v>прокладка резиновая</v>
          </cell>
          <cell r="B19" t="str">
            <v>шт.</v>
          </cell>
          <cell r="C19">
            <v>6.7495999999999992</v>
          </cell>
          <cell r="D19">
            <v>5.72</v>
          </cell>
          <cell r="E19">
            <v>0</v>
          </cell>
          <cell r="F19">
            <v>1</v>
          </cell>
          <cell r="G19">
            <v>7.68</v>
          </cell>
        </row>
        <row r="20">
          <cell r="A20" t="str">
            <v>сварная заглушка</v>
          </cell>
          <cell r="B20" t="str">
            <v>шт.</v>
          </cell>
          <cell r="C20">
            <v>32.520799999999994</v>
          </cell>
          <cell r="D20">
            <v>27.56</v>
          </cell>
          <cell r="E20" t="str">
            <v>шт.</v>
          </cell>
          <cell r="F20">
            <v>1</v>
          </cell>
          <cell r="G20">
            <v>24.810000000000002</v>
          </cell>
        </row>
        <row r="21">
          <cell r="A21" t="str">
            <v>сварочная проволока СВ08А (3 мм)</v>
          </cell>
          <cell r="B21" t="str">
            <v>тонна</v>
          </cell>
          <cell r="C21">
            <v>49380</v>
          </cell>
          <cell r="D21">
            <v>41847.46</v>
          </cell>
          <cell r="E21" t="str">
            <v>кг</v>
          </cell>
          <cell r="F21">
            <v>1000</v>
          </cell>
          <cell r="G21">
            <v>44.94</v>
          </cell>
        </row>
        <row r="22">
          <cell r="A22" t="str">
            <v>сгон 1/2</v>
          </cell>
          <cell r="B22" t="str">
            <v>шт.</v>
          </cell>
          <cell r="C22">
            <v>34.656599999999997</v>
          </cell>
          <cell r="D22">
            <v>29.37</v>
          </cell>
          <cell r="E22" t="str">
            <v>шт.</v>
          </cell>
          <cell r="F22">
            <v>1</v>
          </cell>
          <cell r="G22">
            <v>31.54</v>
          </cell>
        </row>
        <row r="23">
          <cell r="A23" t="str">
            <v>труба ВГП 15*2,8</v>
          </cell>
          <cell r="B23" t="str">
            <v>м</v>
          </cell>
          <cell r="C23">
            <v>48.769399999999997</v>
          </cell>
          <cell r="D23">
            <v>41.33</v>
          </cell>
          <cell r="E23" t="str">
            <v>м</v>
          </cell>
          <cell r="F23">
            <v>1</v>
          </cell>
          <cell r="G23">
            <v>44.39</v>
          </cell>
        </row>
        <row r="24">
          <cell r="A24" t="str">
            <v>труба ВГП 32*3,2</v>
          </cell>
          <cell r="B24" t="str">
            <v>м</v>
          </cell>
          <cell r="C24">
            <v>89.408599999999993</v>
          </cell>
          <cell r="D24">
            <v>75.77</v>
          </cell>
          <cell r="E24" t="str">
            <v>м</v>
          </cell>
          <cell r="F24">
            <v>1</v>
          </cell>
          <cell r="G24">
            <v>81.38</v>
          </cell>
        </row>
        <row r="25">
          <cell r="A25" t="str">
            <v>угольник Ду 15 мм</v>
          </cell>
          <cell r="B25" t="str">
            <v>шт.</v>
          </cell>
          <cell r="C25">
            <v>33</v>
          </cell>
          <cell r="D25">
            <v>27.97</v>
          </cell>
          <cell r="E25" t="str">
            <v>шт.</v>
          </cell>
          <cell r="F25">
            <v>1</v>
          </cell>
          <cell r="G25">
            <v>30.04</v>
          </cell>
        </row>
        <row r="26">
          <cell r="A26" t="str">
            <v>хомут со шпилькой и дюбелем</v>
          </cell>
          <cell r="B26" t="str">
            <v>шт.</v>
          </cell>
          <cell r="C26">
            <v>33</v>
          </cell>
          <cell r="D26">
            <v>27.97</v>
          </cell>
          <cell r="E26" t="str">
            <v>шт.</v>
          </cell>
          <cell r="F26">
            <v>1</v>
          </cell>
          <cell r="G26">
            <v>30.04</v>
          </cell>
        </row>
        <row r="27">
          <cell r="A27" t="str">
            <v>хомутики для крепления резиновых шлангов</v>
          </cell>
          <cell r="B27" t="str">
            <v>шт.</v>
          </cell>
          <cell r="C27">
            <v>15</v>
          </cell>
          <cell r="D27">
            <v>12.71</v>
          </cell>
          <cell r="E27" t="str">
            <v>шт.</v>
          </cell>
          <cell r="F27">
            <v>1</v>
          </cell>
          <cell r="G27">
            <v>13.65</v>
          </cell>
        </row>
        <row r="28">
          <cell r="A28" t="str">
            <v>шнур асбестовый</v>
          </cell>
          <cell r="B28" t="str">
            <v>кг</v>
          </cell>
          <cell r="C28">
            <v>332.25259999999997</v>
          </cell>
          <cell r="D28">
            <v>281.57</v>
          </cell>
          <cell r="E28" t="str">
            <v>кг</v>
          </cell>
          <cell r="F28">
            <v>1</v>
          </cell>
          <cell r="G28">
            <v>302.41000000000003</v>
          </cell>
        </row>
        <row r="29">
          <cell r="A29" t="str">
            <v>штуцер 1-рожковый</v>
          </cell>
          <cell r="B29" t="str">
            <v>шт.</v>
          </cell>
          <cell r="C29">
            <v>38.656799999999997</v>
          </cell>
          <cell r="D29">
            <v>32.76</v>
          </cell>
          <cell r="E29" t="str">
            <v>шт.</v>
          </cell>
          <cell r="F29">
            <v>1</v>
          </cell>
          <cell r="G29">
            <v>35.18</v>
          </cell>
        </row>
        <row r="30">
          <cell r="A30" t="str">
            <v>штуцер 2-рожковый</v>
          </cell>
          <cell r="B30" t="str">
            <v>шт.</v>
          </cell>
          <cell r="C30">
            <v>64.722999999999999</v>
          </cell>
          <cell r="D30">
            <v>54.85</v>
          </cell>
          <cell r="E30" t="str">
            <v>шт.</v>
          </cell>
          <cell r="F30">
            <v>1</v>
          </cell>
          <cell r="G30">
            <v>58.91</v>
          </cell>
        </row>
        <row r="31">
          <cell r="A31" t="str">
            <v>электроды</v>
          </cell>
          <cell r="B31" t="str">
            <v>кг</v>
          </cell>
          <cell r="C31">
            <v>89.3142</v>
          </cell>
          <cell r="D31">
            <v>75.69</v>
          </cell>
          <cell r="E31" t="str">
            <v>кг</v>
          </cell>
          <cell r="F31">
            <v>1</v>
          </cell>
          <cell r="G31">
            <v>81.290000000000006</v>
          </cell>
        </row>
      </sheetData>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1"/>
  <sheetViews>
    <sheetView topLeftCell="A4" workbookViewId="0">
      <selection activeCell="C28" sqref="C28"/>
    </sheetView>
  </sheetViews>
  <sheetFormatPr defaultRowHeight="15" x14ac:dyDescent="0.25"/>
  <cols>
    <col min="1" max="1" width="26.42578125" customWidth="1"/>
    <col min="2" max="2" width="10.85546875" customWidth="1"/>
    <col min="3" max="4" width="14.42578125" customWidth="1"/>
    <col min="6" max="6" width="13.85546875" customWidth="1"/>
    <col min="7" max="7" width="10.140625" bestFit="1" customWidth="1"/>
    <col min="8" max="9" width="9.28515625" bestFit="1" customWidth="1"/>
    <col min="10" max="16" width="0" hidden="1" customWidth="1"/>
    <col min="19" max="19" width="21.7109375" customWidth="1"/>
    <col min="23" max="23" width="16.140625" customWidth="1"/>
  </cols>
  <sheetData>
    <row r="1" spans="1:23" ht="15.75" thickBot="1" x14ac:dyDescent="0.3">
      <c r="C1" s="5" t="s">
        <v>147</v>
      </c>
      <c r="D1" s="67"/>
      <c r="J1" s="117"/>
      <c r="K1" s="117"/>
      <c r="L1" s="117"/>
      <c r="M1" s="117"/>
      <c r="N1" s="117"/>
      <c r="O1" s="117"/>
      <c r="P1" s="117"/>
    </row>
    <row r="2" spans="1:23" ht="26.25" x14ac:dyDescent="0.25">
      <c r="A2" s="6" t="s">
        <v>148</v>
      </c>
      <c r="B2" s="7" t="s">
        <v>149</v>
      </c>
      <c r="C2" s="8">
        <v>7056</v>
      </c>
      <c r="D2" s="68"/>
    </row>
    <row r="3" spans="1:23" x14ac:dyDescent="0.25">
      <c r="A3" s="9" t="s">
        <v>150</v>
      </c>
      <c r="B3" s="10" t="s">
        <v>151</v>
      </c>
      <c r="C3" s="11">
        <v>0.7</v>
      </c>
      <c r="D3" s="69"/>
    </row>
    <row r="4" spans="1:23" x14ac:dyDescent="0.25">
      <c r="A4" s="9" t="s">
        <v>152</v>
      </c>
      <c r="B4" s="10" t="s">
        <v>151</v>
      </c>
      <c r="C4" s="11">
        <v>0.1</v>
      </c>
      <c r="D4" s="69"/>
    </row>
    <row r="5" spans="1:23" x14ac:dyDescent="0.25">
      <c r="A5" s="9" t="s">
        <v>153</v>
      </c>
      <c r="B5" s="10" t="s">
        <v>151</v>
      </c>
      <c r="C5" s="13">
        <v>0.14249999999999999</v>
      </c>
      <c r="D5" s="70"/>
    </row>
    <row r="6" spans="1:23" x14ac:dyDescent="0.25">
      <c r="A6" s="9" t="s">
        <v>154</v>
      </c>
      <c r="B6" s="10" t="s">
        <v>155</v>
      </c>
      <c r="C6" s="12">
        <v>164.9</v>
      </c>
      <c r="D6" s="68"/>
    </row>
    <row r="7" spans="1:23" x14ac:dyDescent="0.25">
      <c r="A7" s="9" t="s">
        <v>156</v>
      </c>
      <c r="B7" s="10" t="s">
        <v>151</v>
      </c>
      <c r="C7" s="13">
        <v>0.77500000000000002</v>
      </c>
      <c r="D7" s="70"/>
    </row>
    <row r="8" spans="1:23" x14ac:dyDescent="0.25">
      <c r="A8" s="9" t="s">
        <v>157</v>
      </c>
      <c r="B8" s="10" t="s">
        <v>151</v>
      </c>
      <c r="C8" s="11">
        <v>0.1</v>
      </c>
      <c r="D8" s="69"/>
    </row>
    <row r="9" spans="1:23" ht="15.75" thickBot="1" x14ac:dyDescent="0.3">
      <c r="A9" s="14" t="s">
        <v>423</v>
      </c>
      <c r="B9" s="15" t="s">
        <v>422</v>
      </c>
      <c r="C9" s="66">
        <v>32495</v>
      </c>
      <c r="D9" s="69"/>
    </row>
    <row r="10" spans="1:23" ht="15.75" thickBot="1" x14ac:dyDescent="0.3">
      <c r="B10" s="16"/>
      <c r="C10" s="16"/>
      <c r="D10" s="16"/>
      <c r="E10" s="16"/>
      <c r="F10" s="16"/>
      <c r="G10" s="16"/>
      <c r="H10" s="16"/>
      <c r="I10" s="16"/>
      <c r="S10" s="117"/>
      <c r="T10" s="117"/>
    </row>
    <row r="11" spans="1:23" ht="89.25" x14ac:dyDescent="0.25">
      <c r="A11" s="735" t="s">
        <v>158</v>
      </c>
      <c r="B11" s="733" t="s">
        <v>159</v>
      </c>
      <c r="C11" s="733" t="s">
        <v>160</v>
      </c>
      <c r="D11" s="17" t="s">
        <v>162</v>
      </c>
      <c r="E11" s="733" t="s">
        <v>161</v>
      </c>
      <c r="F11" s="17" t="s">
        <v>163</v>
      </c>
      <c r="G11" s="733" t="s">
        <v>164</v>
      </c>
      <c r="H11" s="733" t="s">
        <v>165</v>
      </c>
      <c r="I11" s="18" t="s">
        <v>166</v>
      </c>
    </row>
    <row r="12" spans="1:23" x14ac:dyDescent="0.25">
      <c r="A12" s="736"/>
      <c r="B12" s="734"/>
      <c r="C12" s="734"/>
      <c r="D12" s="19">
        <f>C4</f>
        <v>0.1</v>
      </c>
      <c r="E12" s="734"/>
      <c r="F12" s="19">
        <f>C3</f>
        <v>0.7</v>
      </c>
      <c r="G12" s="734"/>
      <c r="H12" s="734"/>
      <c r="I12" s="13">
        <f>C5</f>
        <v>0.14249999999999999</v>
      </c>
    </row>
    <row r="13" spans="1:23" x14ac:dyDescent="0.25">
      <c r="A13" s="29">
        <v>1</v>
      </c>
      <c r="B13" s="30">
        <v>2</v>
      </c>
      <c r="C13" s="30">
        <v>3</v>
      </c>
      <c r="D13" s="37">
        <v>4</v>
      </c>
      <c r="E13" s="30">
        <v>5</v>
      </c>
      <c r="F13" s="30">
        <v>6</v>
      </c>
      <c r="G13" s="36">
        <v>7</v>
      </c>
      <c r="H13" s="30">
        <v>8</v>
      </c>
      <c r="I13" s="31">
        <v>9</v>
      </c>
    </row>
    <row r="14" spans="1:23" x14ac:dyDescent="0.25">
      <c r="A14" s="20" t="s">
        <v>321</v>
      </c>
      <c r="B14" s="35">
        <v>1.47</v>
      </c>
      <c r="C14" s="523">
        <v>30740</v>
      </c>
      <c r="D14" s="24">
        <f t="shared" ref="D14:D28" si="0">ROUND(C14*$D$12,2)</f>
        <v>3074</v>
      </c>
      <c r="E14" s="23"/>
      <c r="F14" s="24">
        <f t="shared" ref="F14:F28" si="1">ROUND((C14+E14+D14)*$F$12,2)</f>
        <v>23669.8</v>
      </c>
      <c r="G14" s="24">
        <f t="shared" ref="G14:G28" si="2">SUM(C14:F14)</f>
        <v>57483.8</v>
      </c>
      <c r="H14" s="24">
        <f t="shared" ref="H14:H28" si="3">ROUND(G14/$C$6,2)</f>
        <v>348.6</v>
      </c>
      <c r="I14" s="25">
        <f t="shared" ref="I14:I28" si="4">ROUND(H14*(1+$I$12),2)</f>
        <v>398.28</v>
      </c>
      <c r="W14" s="433"/>
    </row>
    <row r="15" spans="1:23" x14ac:dyDescent="0.25">
      <c r="A15" s="20" t="s">
        <v>326</v>
      </c>
      <c r="B15" s="35">
        <v>1.44</v>
      </c>
      <c r="C15" s="523">
        <v>25180</v>
      </c>
      <c r="D15" s="24">
        <f t="shared" si="0"/>
        <v>2518</v>
      </c>
      <c r="E15" s="24">
        <f>ROUND(C15*4%,2)</f>
        <v>1007.2</v>
      </c>
      <c r="F15" s="24">
        <f t="shared" si="1"/>
        <v>20093.64</v>
      </c>
      <c r="G15" s="24">
        <f t="shared" si="2"/>
        <v>48798.84</v>
      </c>
      <c r="H15" s="24">
        <f t="shared" si="3"/>
        <v>295.93</v>
      </c>
      <c r="I15" s="25">
        <f t="shared" si="4"/>
        <v>338.1</v>
      </c>
      <c r="Q15" t="s">
        <v>685</v>
      </c>
      <c r="W15" s="433"/>
    </row>
    <row r="16" spans="1:23" x14ac:dyDescent="0.25">
      <c r="A16" s="468" t="s">
        <v>687</v>
      </c>
      <c r="B16" s="22">
        <f>ROUND(9559/6638,2)</f>
        <v>1.44</v>
      </c>
      <c r="C16" s="523">
        <v>25570</v>
      </c>
      <c r="D16" s="24">
        <f t="shared" si="0"/>
        <v>2557</v>
      </c>
      <c r="E16" s="24">
        <f>ROUND(C16*(25%+4%),2)</f>
        <v>7415.3</v>
      </c>
      <c r="F16" s="24">
        <f t="shared" si="1"/>
        <v>24879.61</v>
      </c>
      <c r="G16" s="24">
        <f t="shared" si="2"/>
        <v>60421.91</v>
      </c>
      <c r="H16" s="24">
        <f t="shared" si="3"/>
        <v>366.42</v>
      </c>
      <c r="I16" s="25">
        <f t="shared" si="4"/>
        <v>418.63</v>
      </c>
      <c r="Q16" t="s">
        <v>688</v>
      </c>
      <c r="W16" s="433"/>
    </row>
    <row r="17" spans="1:23" x14ac:dyDescent="0.25">
      <c r="A17" s="20" t="s">
        <v>327</v>
      </c>
      <c r="B17" s="35">
        <v>1.44</v>
      </c>
      <c r="C17" s="523">
        <v>25180</v>
      </c>
      <c r="D17" s="24">
        <f>ROUND(C17*$D$12,2)</f>
        <v>2518</v>
      </c>
      <c r="E17" s="24">
        <f>ROUND(C17*25%,2)</f>
        <v>6295</v>
      </c>
      <c r="F17" s="24">
        <f>ROUND((C17+E17+D17)*$F$12,2)</f>
        <v>23795.1</v>
      </c>
      <c r="G17" s="24">
        <f>SUM(C17:F17)</f>
        <v>57788.1</v>
      </c>
      <c r="H17" s="24">
        <f>ROUND(G17/$C$6,2)</f>
        <v>350.44</v>
      </c>
      <c r="I17" s="25">
        <f>ROUND(H17*(1+$I$12),2)</f>
        <v>400.38</v>
      </c>
      <c r="Q17" t="s">
        <v>684</v>
      </c>
      <c r="W17" s="433"/>
    </row>
    <row r="18" spans="1:23" x14ac:dyDescent="0.25">
      <c r="A18" s="20" t="s">
        <v>170</v>
      </c>
      <c r="B18" s="22">
        <f>ROUND(13143/6638,2)</f>
        <v>1.98</v>
      </c>
      <c r="C18" s="523">
        <v>24636</v>
      </c>
      <c r="D18" s="24">
        <f t="shared" si="0"/>
        <v>2463.6</v>
      </c>
      <c r="E18" s="23"/>
      <c r="F18" s="24">
        <f t="shared" si="1"/>
        <v>18969.72</v>
      </c>
      <c r="G18" s="24">
        <f t="shared" si="2"/>
        <v>46069.32</v>
      </c>
      <c r="H18" s="24">
        <f t="shared" si="3"/>
        <v>279.38</v>
      </c>
      <c r="I18" s="25">
        <f t="shared" si="4"/>
        <v>319.19</v>
      </c>
      <c r="J18" t="s">
        <v>648</v>
      </c>
      <c r="Q18" t="s">
        <v>686</v>
      </c>
      <c r="W18" s="433"/>
    </row>
    <row r="19" spans="1:23" x14ac:dyDescent="0.25">
      <c r="A19" s="20" t="s">
        <v>37</v>
      </c>
      <c r="B19" s="22">
        <f>ROUND(10600/6638,2)</f>
        <v>1.6</v>
      </c>
      <c r="C19" s="523">
        <v>35780</v>
      </c>
      <c r="D19" s="24">
        <f t="shared" si="0"/>
        <v>3578</v>
      </c>
      <c r="E19" s="33"/>
      <c r="F19" s="24">
        <f t="shared" si="1"/>
        <v>27550.6</v>
      </c>
      <c r="G19" s="24">
        <f t="shared" si="2"/>
        <v>66908.600000000006</v>
      </c>
      <c r="H19" s="24">
        <f t="shared" si="3"/>
        <v>405.75</v>
      </c>
      <c r="I19" s="25">
        <f t="shared" si="4"/>
        <v>463.57</v>
      </c>
      <c r="W19" s="433"/>
    </row>
    <row r="20" spans="1:23" x14ac:dyDescent="0.25">
      <c r="A20" s="20" t="s">
        <v>381</v>
      </c>
      <c r="B20" s="50">
        <v>1</v>
      </c>
      <c r="C20" s="523">
        <v>25180</v>
      </c>
      <c r="D20" s="24">
        <f t="shared" si="0"/>
        <v>2518</v>
      </c>
      <c r="E20" s="33"/>
      <c r="F20" s="24">
        <f t="shared" si="1"/>
        <v>19388.599999999999</v>
      </c>
      <c r="G20" s="24">
        <f t="shared" si="2"/>
        <v>47086.6</v>
      </c>
      <c r="H20" s="24">
        <f t="shared" si="3"/>
        <v>285.55</v>
      </c>
      <c r="I20" s="25">
        <f t="shared" si="4"/>
        <v>326.24</v>
      </c>
      <c r="W20" s="433"/>
    </row>
    <row r="21" spans="1:23" x14ac:dyDescent="0.25">
      <c r="A21" s="20" t="s">
        <v>324</v>
      </c>
      <c r="B21" s="32">
        <v>1.2</v>
      </c>
      <c r="C21" s="523">
        <v>25180</v>
      </c>
      <c r="D21" s="24">
        <f t="shared" si="0"/>
        <v>2518</v>
      </c>
      <c r="E21" s="33"/>
      <c r="F21" s="24">
        <f t="shared" si="1"/>
        <v>19388.599999999999</v>
      </c>
      <c r="G21" s="24">
        <f t="shared" si="2"/>
        <v>47086.6</v>
      </c>
      <c r="H21" s="24">
        <f t="shared" si="3"/>
        <v>285.55</v>
      </c>
      <c r="I21" s="25">
        <f t="shared" si="4"/>
        <v>326.24</v>
      </c>
      <c r="W21" s="433"/>
    </row>
    <row r="22" spans="1:23" x14ac:dyDescent="0.25">
      <c r="A22" s="20" t="s">
        <v>177</v>
      </c>
      <c r="B22" s="34">
        <f>ROUND(($B$25+$B$24)/2,2)</f>
        <v>1.3</v>
      </c>
      <c r="C22" s="523">
        <v>23505</v>
      </c>
      <c r="D22" s="24">
        <f t="shared" si="0"/>
        <v>2350.5</v>
      </c>
      <c r="E22" s="33"/>
      <c r="F22" s="24">
        <f t="shared" si="1"/>
        <v>18098.849999999999</v>
      </c>
      <c r="G22" s="24">
        <f t="shared" si="2"/>
        <v>43954.35</v>
      </c>
      <c r="H22" s="24">
        <f t="shared" si="3"/>
        <v>266.55</v>
      </c>
      <c r="I22" s="25">
        <f t="shared" si="4"/>
        <v>304.52999999999997</v>
      </c>
      <c r="W22" s="433"/>
    </row>
    <row r="23" spans="1:23" x14ac:dyDescent="0.25">
      <c r="A23" s="20" t="s">
        <v>167</v>
      </c>
      <c r="B23" s="22">
        <v>1.1000000000000001</v>
      </c>
      <c r="C23" s="523">
        <v>15061</v>
      </c>
      <c r="D23" s="24">
        <f t="shared" si="0"/>
        <v>1506.1</v>
      </c>
      <c r="E23" s="33"/>
      <c r="F23" s="24">
        <f t="shared" si="1"/>
        <v>11596.97</v>
      </c>
      <c r="G23" s="24">
        <f t="shared" si="2"/>
        <v>28164.07</v>
      </c>
      <c r="H23" s="24">
        <f t="shared" si="3"/>
        <v>170.79</v>
      </c>
      <c r="I23" s="25">
        <f t="shared" si="4"/>
        <v>195.13</v>
      </c>
      <c r="W23" s="433"/>
    </row>
    <row r="24" spans="1:23" x14ac:dyDescent="0.25">
      <c r="A24" s="20" t="s">
        <v>168</v>
      </c>
      <c r="B24" s="32">
        <v>1.22</v>
      </c>
      <c r="C24" s="523">
        <v>21830</v>
      </c>
      <c r="D24" s="24">
        <f t="shared" si="0"/>
        <v>2183</v>
      </c>
      <c r="E24" s="33"/>
      <c r="F24" s="24">
        <f t="shared" si="1"/>
        <v>16809.099999999999</v>
      </c>
      <c r="G24" s="24">
        <f t="shared" si="2"/>
        <v>40822.1</v>
      </c>
      <c r="H24" s="24">
        <f t="shared" si="3"/>
        <v>247.56</v>
      </c>
      <c r="I24" s="25">
        <f t="shared" si="4"/>
        <v>282.83999999999997</v>
      </c>
      <c r="W24" s="433"/>
    </row>
    <row r="25" spans="1:23" x14ac:dyDescent="0.25">
      <c r="A25" s="20" t="s">
        <v>169</v>
      </c>
      <c r="B25" s="32">
        <v>1.38</v>
      </c>
      <c r="C25" s="523">
        <v>25180</v>
      </c>
      <c r="D25" s="24">
        <f t="shared" si="0"/>
        <v>2518</v>
      </c>
      <c r="E25" s="33"/>
      <c r="F25" s="24">
        <f t="shared" si="1"/>
        <v>19388.599999999999</v>
      </c>
      <c r="G25" s="24">
        <f t="shared" si="2"/>
        <v>47086.6</v>
      </c>
      <c r="H25" s="24">
        <f t="shared" si="3"/>
        <v>285.55</v>
      </c>
      <c r="I25" s="25">
        <f t="shared" si="4"/>
        <v>326.24</v>
      </c>
      <c r="W25" s="433"/>
    </row>
    <row r="26" spans="1:23" x14ac:dyDescent="0.25">
      <c r="A26" s="20" t="s">
        <v>297</v>
      </c>
      <c r="B26" s="34">
        <v>1.56</v>
      </c>
      <c r="C26" s="523">
        <v>27510</v>
      </c>
      <c r="D26" s="24">
        <f t="shared" si="0"/>
        <v>2751</v>
      </c>
      <c r="E26" s="33"/>
      <c r="F26" s="24">
        <f t="shared" si="1"/>
        <v>21182.7</v>
      </c>
      <c r="G26" s="24">
        <f t="shared" si="2"/>
        <v>51443.7</v>
      </c>
      <c r="H26" s="24">
        <f t="shared" si="3"/>
        <v>311.97000000000003</v>
      </c>
      <c r="I26" s="25">
        <f t="shared" si="4"/>
        <v>356.43</v>
      </c>
      <c r="W26" s="433"/>
    </row>
    <row r="27" spans="1:23" x14ac:dyDescent="0.25">
      <c r="A27" s="20" t="s">
        <v>308</v>
      </c>
      <c r="B27" s="32">
        <f>ROUND(13530/6638,2)</f>
        <v>2.04</v>
      </c>
      <c r="C27" s="523">
        <v>30740</v>
      </c>
      <c r="D27" s="24">
        <f>ROUND(C27*$D$12,2)</f>
        <v>3074</v>
      </c>
      <c r="E27" s="33"/>
      <c r="F27" s="24">
        <f>ROUND((C27+E27+D27)*65%,2)</f>
        <v>21979.1</v>
      </c>
      <c r="G27" s="24">
        <f>SUM(C27:F27)</f>
        <v>55793.1</v>
      </c>
      <c r="H27" s="24">
        <f>ROUND(G27/$C$6,2)</f>
        <v>338.35</v>
      </c>
      <c r="I27" s="25">
        <f>ROUND(H27*(1+$I$12),2)</f>
        <v>386.56</v>
      </c>
      <c r="J27" t="s">
        <v>439</v>
      </c>
      <c r="W27" s="433"/>
    </row>
    <row r="28" spans="1:23" ht="15.75" thickBot="1" x14ac:dyDescent="0.3">
      <c r="A28" s="21" t="s">
        <v>174</v>
      </c>
      <c r="B28" s="26">
        <f>ROUND(12526/6638,2)</f>
        <v>1.89</v>
      </c>
      <c r="C28" s="524">
        <v>32810</v>
      </c>
      <c r="D28" s="27">
        <f t="shared" si="0"/>
        <v>3281</v>
      </c>
      <c r="E28" s="27">
        <f>ROUND(C28*8%,2)</f>
        <v>2624.8</v>
      </c>
      <c r="F28" s="27">
        <f t="shared" si="1"/>
        <v>27101.06</v>
      </c>
      <c r="G28" s="27">
        <f t="shared" si="2"/>
        <v>65816.86</v>
      </c>
      <c r="H28" s="27">
        <f t="shared" si="3"/>
        <v>399.13</v>
      </c>
      <c r="I28" s="28">
        <f t="shared" si="4"/>
        <v>456.01</v>
      </c>
      <c r="J28" t="s">
        <v>649</v>
      </c>
      <c r="W28" s="433"/>
    </row>
    <row r="31" spans="1:23" x14ac:dyDescent="0.25">
      <c r="B31" s="101">
        <f>SUM(B14:B28)</f>
        <v>22.06</v>
      </c>
      <c r="C31" s="101">
        <f t="shared" ref="C31:I31" si="5">SUM(C14:C28)</f>
        <v>394082</v>
      </c>
      <c r="D31" s="101">
        <f t="shared" si="5"/>
        <v>39408.199999999997</v>
      </c>
      <c r="E31" s="101">
        <f t="shared" si="5"/>
        <v>17342.3</v>
      </c>
      <c r="F31" s="101">
        <f t="shared" si="5"/>
        <v>313892.05</v>
      </c>
      <c r="G31" s="101">
        <f t="shared" si="5"/>
        <v>764724.54999999981</v>
      </c>
      <c r="H31" s="101">
        <f t="shared" si="5"/>
        <v>4637.5200000000013</v>
      </c>
      <c r="I31" s="101">
        <f t="shared" si="5"/>
        <v>5298.3700000000008</v>
      </c>
    </row>
  </sheetData>
  <sortState ref="A14:K32">
    <sortCondition ref="A14"/>
  </sortState>
  <mergeCells count="6">
    <mergeCell ref="H11:H12"/>
    <mergeCell ref="A11:A12"/>
    <mergeCell ref="B11:B12"/>
    <mergeCell ref="C11:C12"/>
    <mergeCell ref="E11:E12"/>
    <mergeCell ref="G11:G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397"/>
  <sheetViews>
    <sheetView view="pageBreakPreview" zoomScale="70" zoomScaleSheetLayoutView="70" workbookViewId="0">
      <pane xSplit="3" ySplit="5" topLeftCell="D363" activePane="bottomRight" state="frozen"/>
      <selection activeCell="C28" sqref="C28"/>
      <selection pane="topRight" activeCell="C28" sqref="C28"/>
      <selection pane="bottomLeft" activeCell="C28" sqref="C28"/>
      <selection pane="bottomRight" activeCell="C28" sqref="C28"/>
    </sheetView>
  </sheetViews>
  <sheetFormatPr defaultRowHeight="18.75" outlineLevelRow="1" outlineLevelCol="1" x14ac:dyDescent="0.3"/>
  <cols>
    <col min="1" max="1" width="8.42578125" style="724" customWidth="1"/>
    <col min="2" max="2" width="11.42578125" style="727" customWidth="1"/>
    <col min="3" max="3" width="37.5703125" style="731" customWidth="1"/>
    <col min="4" max="4" width="11.28515625" style="727" customWidth="1"/>
    <col min="5" max="5" width="12.28515625" style="727" customWidth="1"/>
    <col min="6" max="6" width="9.140625" style="727" customWidth="1" outlineLevel="1"/>
    <col min="7" max="7" width="9.7109375" style="727" customWidth="1" outlineLevel="1"/>
    <col min="8" max="9" width="9.140625" style="727" customWidth="1" outlineLevel="1"/>
    <col min="10" max="10" width="10.5703125" style="727" customWidth="1" outlineLevel="1"/>
    <col min="11" max="11" width="15.7109375" style="731" customWidth="1" outlineLevel="1"/>
    <col min="12" max="13" width="9.140625" style="728" customWidth="1" outlineLevel="1"/>
    <col min="14" max="14" width="11" style="728" customWidth="1" outlineLevel="1"/>
    <col min="15" max="15" width="14.7109375" style="728" customWidth="1" outlineLevel="1"/>
    <col min="16" max="16" width="12.42578125" style="727" customWidth="1" outlineLevel="1"/>
    <col min="17" max="17" width="12.28515625" style="727" customWidth="1" outlineLevel="1"/>
    <col min="18" max="18" width="13.7109375" style="729" customWidth="1"/>
    <col min="19" max="19" width="11.28515625" style="729" customWidth="1"/>
    <col min="20" max="20" width="12.28515625" style="729" customWidth="1"/>
    <col min="21" max="21" width="12.28515625" style="117" customWidth="1"/>
    <col min="22" max="22" width="12.28515625" style="132" customWidth="1"/>
    <col min="23" max="23" width="12.28515625" style="57" customWidth="1"/>
    <col min="24" max="24" width="12" style="57" customWidth="1"/>
    <col min="25" max="25" width="18.42578125" style="249" customWidth="1"/>
    <col min="26" max="26" width="19" style="404" hidden="1" customWidth="1"/>
    <col min="27" max="27" width="19" style="445" hidden="1" customWidth="1"/>
    <col min="28" max="28" width="19" style="404" hidden="1" customWidth="1"/>
    <col min="29" max="29" width="19" style="405" hidden="1" customWidth="1"/>
    <col min="30" max="30" width="19" style="404" customWidth="1"/>
    <col min="31" max="32" width="12.7109375" customWidth="1"/>
    <col min="33" max="34" width="9.140625" style="38" hidden="1" customWidth="1"/>
    <col min="35" max="36" width="0" hidden="1" customWidth="1"/>
    <col min="37" max="38" width="0" style="38" hidden="1" customWidth="1"/>
    <col min="39" max="39" width="11.85546875" style="38" hidden="1" customWidth="1"/>
    <col min="40" max="40" width="9.42578125" style="38" hidden="1" customWidth="1"/>
    <col min="41" max="41" width="0" style="38" hidden="1" customWidth="1"/>
    <col min="42" max="42" width="0" hidden="1" customWidth="1"/>
    <col min="43" max="43" width="12.140625" style="254" hidden="1" customWidth="1"/>
    <col min="44" max="44" width="13.42578125" style="79" hidden="1" customWidth="1"/>
    <col min="45" max="45" width="16" style="388" hidden="1" customWidth="1"/>
    <col min="46" max="49" width="0" hidden="1" customWidth="1"/>
  </cols>
  <sheetData>
    <row r="1" spans="1:49" ht="68.25" customHeight="1" x14ac:dyDescent="0.3">
      <c r="A1" s="709"/>
      <c r="B1" s="710"/>
      <c r="C1" s="711"/>
      <c r="D1" s="710"/>
      <c r="E1" s="710"/>
      <c r="F1" s="710"/>
      <c r="G1" s="710"/>
      <c r="H1" s="710"/>
      <c r="I1" s="710"/>
      <c r="J1" s="710"/>
      <c r="K1" s="711"/>
      <c r="L1" s="712"/>
      <c r="M1" s="712"/>
      <c r="N1" s="712"/>
      <c r="O1" s="712"/>
      <c r="P1" s="844" t="s">
        <v>721</v>
      </c>
      <c r="Q1" s="844"/>
      <c r="R1" s="844"/>
      <c r="S1" s="844"/>
      <c r="T1" s="844"/>
      <c r="Z1" s="738" t="s">
        <v>683</v>
      </c>
      <c r="AA1" s="893"/>
      <c r="AC1" s="896" t="s">
        <v>682</v>
      </c>
      <c r="AD1" s="738" t="s">
        <v>703</v>
      </c>
      <c r="AG1" s="245"/>
      <c r="AH1" s="245"/>
      <c r="AI1" s="117"/>
      <c r="AJ1" s="117"/>
      <c r="AK1" s="245"/>
      <c r="AL1" s="245"/>
      <c r="AM1" s="245"/>
      <c r="AN1" s="245"/>
      <c r="AO1" s="245"/>
      <c r="AQ1" s="746" t="s">
        <v>661</v>
      </c>
    </row>
    <row r="2" spans="1:49" ht="38.25" customHeight="1" x14ac:dyDescent="0.3">
      <c r="A2" s="845" t="s">
        <v>722</v>
      </c>
      <c r="B2" s="846"/>
      <c r="C2" s="846"/>
      <c r="D2" s="846"/>
      <c r="E2" s="846"/>
      <c r="F2" s="846"/>
      <c r="G2" s="846"/>
      <c r="H2" s="846"/>
      <c r="I2" s="846"/>
      <c r="J2" s="846"/>
      <c r="K2" s="846"/>
      <c r="L2" s="846"/>
      <c r="M2" s="846"/>
      <c r="N2" s="846"/>
      <c r="O2" s="846"/>
      <c r="P2" s="846"/>
      <c r="Q2" s="846"/>
      <c r="R2" s="846"/>
      <c r="S2" s="846"/>
      <c r="T2" s="846"/>
      <c r="Z2" s="739"/>
      <c r="AA2" s="894"/>
      <c r="AC2" s="897"/>
      <c r="AD2" s="739"/>
      <c r="AE2" s="737"/>
      <c r="AG2" s="245"/>
      <c r="AH2" s="245"/>
      <c r="AI2" s="767"/>
      <c r="AJ2" s="117"/>
      <c r="AK2" s="245"/>
      <c r="AL2" s="245"/>
      <c r="AM2" s="871"/>
      <c r="AN2" s="868" t="s">
        <v>656</v>
      </c>
      <c r="AO2" s="245"/>
      <c r="AQ2" s="746"/>
      <c r="AR2" s="743" t="s">
        <v>678</v>
      </c>
    </row>
    <row r="3" spans="1:49" ht="12" customHeight="1" x14ac:dyDescent="0.3">
      <c r="A3" s="709"/>
      <c r="B3" s="710"/>
      <c r="C3" s="711"/>
      <c r="D3" s="710"/>
      <c r="E3" s="710"/>
      <c r="F3" s="710"/>
      <c r="G3" s="710"/>
      <c r="H3" s="710"/>
      <c r="I3" s="710"/>
      <c r="J3" s="710"/>
      <c r="K3" s="711"/>
      <c r="L3" s="712"/>
      <c r="M3" s="712"/>
      <c r="N3" s="712"/>
      <c r="O3" s="712"/>
      <c r="P3" s="710"/>
      <c r="Q3" s="710"/>
      <c r="R3" s="713"/>
      <c r="S3" s="713"/>
      <c r="T3" s="713"/>
      <c r="Z3" s="739"/>
      <c r="AA3" s="894"/>
      <c r="AC3" s="897"/>
      <c r="AD3" s="739"/>
      <c r="AE3" s="737"/>
      <c r="AG3" s="245"/>
      <c r="AH3" s="245"/>
      <c r="AI3" s="767"/>
      <c r="AJ3" s="117"/>
      <c r="AK3" s="245"/>
      <c r="AL3" s="245"/>
      <c r="AM3" s="871"/>
      <c r="AN3" s="869"/>
      <c r="AO3" s="245"/>
      <c r="AQ3" s="746"/>
      <c r="AR3" s="744"/>
    </row>
    <row r="4" spans="1:49" s="81" customFormat="1" ht="39.75" customHeight="1" x14ac:dyDescent="0.3">
      <c r="A4" s="812" t="s">
        <v>0</v>
      </c>
      <c r="B4" s="810" t="s">
        <v>1</v>
      </c>
      <c r="C4" s="805" t="s">
        <v>2</v>
      </c>
      <c r="D4" s="805" t="s">
        <v>3</v>
      </c>
      <c r="E4" s="805" t="s">
        <v>4</v>
      </c>
      <c r="F4" s="805" t="s">
        <v>5</v>
      </c>
      <c r="G4" s="805" t="s">
        <v>6</v>
      </c>
      <c r="H4" s="805" t="s">
        <v>7</v>
      </c>
      <c r="I4" s="588" t="s">
        <v>624</v>
      </c>
      <c r="J4" s="810" t="s">
        <v>21</v>
      </c>
      <c r="K4" s="810" t="s">
        <v>9</v>
      </c>
      <c r="L4" s="810" t="s">
        <v>10</v>
      </c>
      <c r="M4" s="810" t="s">
        <v>11</v>
      </c>
      <c r="N4" s="810" t="s">
        <v>12</v>
      </c>
      <c r="O4" s="810" t="s">
        <v>13</v>
      </c>
      <c r="P4" s="810" t="s">
        <v>17</v>
      </c>
      <c r="Q4" s="594" t="s">
        <v>14</v>
      </c>
      <c r="R4" s="714" t="s">
        <v>16</v>
      </c>
      <c r="S4" s="714" t="s">
        <v>22</v>
      </c>
      <c r="T4" s="817" t="s">
        <v>15</v>
      </c>
      <c r="U4" s="815" t="s">
        <v>701</v>
      </c>
      <c r="V4" s="815" t="s">
        <v>328</v>
      </c>
      <c r="W4" s="854"/>
      <c r="X4" s="853"/>
      <c r="Y4" s="858" t="s">
        <v>689</v>
      </c>
      <c r="Z4" s="739"/>
      <c r="AA4" s="894"/>
      <c r="AB4" s="404"/>
      <c r="AC4" s="897"/>
      <c r="AD4" s="739"/>
      <c r="AE4" s="737"/>
      <c r="AG4" s="251"/>
      <c r="AH4" s="251"/>
      <c r="AI4" s="767"/>
      <c r="AJ4" s="132"/>
      <c r="AK4" s="251"/>
      <c r="AL4" s="251"/>
      <c r="AM4" s="871"/>
      <c r="AN4" s="869"/>
      <c r="AO4" s="251"/>
      <c r="AQ4" s="746"/>
      <c r="AR4" s="744"/>
      <c r="AS4" s="388"/>
    </row>
    <row r="5" spans="1:49" s="81" customFormat="1" ht="13.7" customHeight="1" x14ac:dyDescent="0.3">
      <c r="A5" s="804"/>
      <c r="B5" s="813"/>
      <c r="C5" s="805"/>
      <c r="D5" s="809"/>
      <c r="E5" s="809"/>
      <c r="F5" s="809"/>
      <c r="G5" s="809"/>
      <c r="H5" s="809"/>
      <c r="I5" s="715">
        <f>'[1]Исходные данные'!$C$6</f>
        <v>0.30199999999999999</v>
      </c>
      <c r="J5" s="811"/>
      <c r="K5" s="811"/>
      <c r="L5" s="811"/>
      <c r="M5" s="811"/>
      <c r="N5" s="811"/>
      <c r="O5" s="811"/>
      <c r="P5" s="811"/>
      <c r="Q5" s="716">
        <f>'условия, ФОТ'!$C$7</f>
        <v>0.77500000000000002</v>
      </c>
      <c r="R5" s="717">
        <v>0.13500000000000001</v>
      </c>
      <c r="S5" s="717">
        <v>0.2</v>
      </c>
      <c r="T5" s="818"/>
      <c r="U5" s="816"/>
      <c r="V5" s="816"/>
      <c r="W5" s="855"/>
      <c r="X5" s="853"/>
      <c r="Y5" s="858"/>
      <c r="Z5" s="739"/>
      <c r="AA5" s="894"/>
      <c r="AB5" s="404"/>
      <c r="AC5" s="897"/>
      <c r="AD5" s="739"/>
      <c r="AE5" s="737"/>
      <c r="AG5" s="251"/>
      <c r="AH5" s="251"/>
      <c r="AI5" s="767"/>
      <c r="AJ5" s="132"/>
      <c r="AK5" s="251"/>
      <c r="AL5" s="251"/>
      <c r="AM5" s="871"/>
      <c r="AN5" s="869"/>
      <c r="AO5" s="251"/>
      <c r="AQ5" s="746"/>
      <c r="AR5" s="744"/>
      <c r="AS5" s="388"/>
    </row>
    <row r="6" spans="1:49" s="3" customFormat="1" ht="11.25" customHeight="1" x14ac:dyDescent="0.3">
      <c r="A6" s="718">
        <v>1</v>
      </c>
      <c r="B6" s="719">
        <v>2</v>
      </c>
      <c r="C6" s="720">
        <v>3</v>
      </c>
      <c r="D6" s="719">
        <v>4</v>
      </c>
      <c r="E6" s="719">
        <v>5</v>
      </c>
      <c r="F6" s="719">
        <v>6</v>
      </c>
      <c r="G6" s="719">
        <v>7</v>
      </c>
      <c r="H6" s="719">
        <v>8</v>
      </c>
      <c r="I6" s="719">
        <v>9</v>
      </c>
      <c r="J6" s="719">
        <v>10</v>
      </c>
      <c r="K6" s="720">
        <v>11</v>
      </c>
      <c r="L6" s="720">
        <v>12</v>
      </c>
      <c r="M6" s="720">
        <v>13</v>
      </c>
      <c r="N6" s="720">
        <v>14</v>
      </c>
      <c r="O6" s="720">
        <v>15</v>
      </c>
      <c r="P6" s="719">
        <v>16</v>
      </c>
      <c r="Q6" s="719">
        <v>17</v>
      </c>
      <c r="R6" s="721">
        <v>18</v>
      </c>
      <c r="S6" s="721">
        <v>19</v>
      </c>
      <c r="T6" s="721">
        <v>20</v>
      </c>
      <c r="U6" s="118"/>
      <c r="V6" s="534"/>
      <c r="W6" s="855"/>
      <c r="X6" s="853"/>
      <c r="Y6" s="858"/>
      <c r="Z6" s="739"/>
      <c r="AA6" s="894"/>
      <c r="AB6" s="406"/>
      <c r="AC6" s="897"/>
      <c r="AD6" s="739"/>
      <c r="AE6" s="737"/>
      <c r="AG6" s="252"/>
      <c r="AH6" s="252"/>
      <c r="AI6" s="767"/>
      <c r="AJ6" s="133"/>
      <c r="AK6" s="252"/>
      <c r="AL6" s="252"/>
      <c r="AM6" s="871"/>
      <c r="AN6" s="869"/>
      <c r="AO6" s="252"/>
      <c r="AQ6" s="746"/>
      <c r="AR6" s="744"/>
      <c r="AS6" s="389"/>
    </row>
    <row r="7" spans="1:49" s="83" customFormat="1" ht="20.25" customHeight="1" x14ac:dyDescent="0.3">
      <c r="A7" s="806" t="s">
        <v>383</v>
      </c>
      <c r="B7" s="807"/>
      <c r="C7" s="807"/>
      <c r="D7" s="807"/>
      <c r="E7" s="807"/>
      <c r="F7" s="807"/>
      <c r="G7" s="807"/>
      <c r="H7" s="807"/>
      <c r="I7" s="807"/>
      <c r="J7" s="807"/>
      <c r="K7" s="807"/>
      <c r="L7" s="807"/>
      <c r="M7" s="807"/>
      <c r="N7" s="807"/>
      <c r="O7" s="807"/>
      <c r="P7" s="807"/>
      <c r="Q7" s="807"/>
      <c r="R7" s="807"/>
      <c r="S7" s="807"/>
      <c r="T7" s="808"/>
      <c r="U7" s="119"/>
      <c r="V7" s="125"/>
      <c r="W7" s="856"/>
      <c r="X7" s="853"/>
      <c r="Y7" s="858"/>
      <c r="Z7" s="740"/>
      <c r="AA7" s="895"/>
      <c r="AB7" s="404"/>
      <c r="AC7" s="898"/>
      <c r="AD7" s="740"/>
      <c r="AE7" s="737"/>
      <c r="AG7" s="253"/>
      <c r="AH7" s="253"/>
      <c r="AI7" s="768"/>
      <c r="AJ7" s="134"/>
      <c r="AK7" s="253"/>
      <c r="AL7" s="253"/>
      <c r="AM7" s="872"/>
      <c r="AN7" s="870"/>
      <c r="AO7" s="253"/>
      <c r="AQ7" s="746"/>
      <c r="AR7" s="745"/>
      <c r="AS7" s="388"/>
    </row>
    <row r="8" spans="1:49" s="81" customFormat="1" ht="45.95" customHeight="1" x14ac:dyDescent="0.3">
      <c r="A8" s="587" t="s">
        <v>144</v>
      </c>
      <c r="B8" s="587" t="s">
        <v>178</v>
      </c>
      <c r="C8" s="585" t="s">
        <v>18</v>
      </c>
      <c r="D8" s="588" t="s">
        <v>20</v>
      </c>
      <c r="E8" s="588" t="s">
        <v>170</v>
      </c>
      <c r="F8" s="583">
        <f>VLOOKUP(E8,'условия, ФОТ'!$A$14:$I$28,9, FALSE)</f>
        <v>319.19</v>
      </c>
      <c r="G8" s="591">
        <v>2</v>
      </c>
      <c r="H8" s="583">
        <f>ROUND(F8*G8,2)</f>
        <v>638.38</v>
      </c>
      <c r="I8" s="583">
        <f>ROUND(H8*$I$5,2)</f>
        <v>192.79</v>
      </c>
      <c r="J8" s="583">
        <f>H8+I8</f>
        <v>831.17</v>
      </c>
      <c r="K8" s="589"/>
      <c r="L8" s="583"/>
      <c r="M8" s="583"/>
      <c r="N8" s="583"/>
      <c r="O8" s="583"/>
      <c r="P8" s="583">
        <f>J8+O8</f>
        <v>831.17</v>
      </c>
      <c r="Q8" s="583">
        <f>ROUND(P8*$Q$5,2)</f>
        <v>644.16</v>
      </c>
      <c r="R8" s="584">
        <f>ROUND(T8/1.2,2)</f>
        <v>1685.83</v>
      </c>
      <c r="S8" s="584">
        <f>ROUND(R8*$S$5,2)</f>
        <v>337.17</v>
      </c>
      <c r="T8" s="584">
        <f>ROUND((P8+Q8)*(1+Y8)*1.2,0)</f>
        <v>2023</v>
      </c>
      <c r="U8" s="121">
        <v>1623</v>
      </c>
      <c r="V8" s="122">
        <f>T8/U8*100-100</f>
        <v>24.64571780653111</v>
      </c>
      <c r="W8" s="470"/>
      <c r="X8" s="396"/>
      <c r="Y8" s="474">
        <v>0.14269999999999999</v>
      </c>
      <c r="Z8" s="464" t="e">
        <f>#REF!*Y8</f>
        <v>#REF!</v>
      </c>
      <c r="AA8" s="445"/>
      <c r="AB8" s="407">
        <v>1287.33</v>
      </c>
      <c r="AC8" s="470"/>
      <c r="AD8" s="478">
        <f>T8-U8</f>
        <v>400</v>
      </c>
      <c r="AE8" s="394"/>
      <c r="AG8" s="236">
        <v>2.5999999999999999E-2</v>
      </c>
      <c r="AH8" s="236">
        <f>IF(AG8&lt;0,-AG8+1,AG8)</f>
        <v>2.5999999999999999E-2</v>
      </c>
      <c r="AI8" s="235">
        <v>0</v>
      </c>
      <c r="AK8" s="152"/>
      <c r="AL8" s="148"/>
      <c r="AM8" s="238">
        <v>1.034</v>
      </c>
      <c r="AN8" s="241">
        <v>2.5999999999999999E-2</v>
      </c>
      <c r="AO8" s="240" t="e">
        <f>#REF!-AM8</f>
        <v>#REF!</v>
      </c>
      <c r="AQ8" s="241">
        <f>Y8-AN8</f>
        <v>0.1167</v>
      </c>
      <c r="AR8" s="386">
        <v>1287</v>
      </c>
      <c r="AS8" s="388" t="b">
        <f>W8=AR8</f>
        <v>0</v>
      </c>
      <c r="AT8" s="411" t="e">
        <f>ROUND(W8/T8*100-100,2)+#REF!</f>
        <v>#REF!</v>
      </c>
      <c r="AU8"/>
      <c r="AV8"/>
      <c r="AW8" t="e">
        <f>ROUND(T8/W8,3)</f>
        <v>#DIV/0!</v>
      </c>
    </row>
    <row r="9" spans="1:49" s="81" customFormat="1" ht="48.75" customHeight="1" x14ac:dyDescent="0.3">
      <c r="A9" s="587" t="s">
        <v>145</v>
      </c>
      <c r="B9" s="587" t="s">
        <v>179</v>
      </c>
      <c r="C9" s="585" t="s">
        <v>19</v>
      </c>
      <c r="D9" s="588" t="s">
        <v>20</v>
      </c>
      <c r="E9" s="588" t="s">
        <v>170</v>
      </c>
      <c r="F9" s="583">
        <f>VLOOKUP(E9,'условия, ФОТ'!$A$14:$I$28,9, FALSE)</f>
        <v>319.19</v>
      </c>
      <c r="G9" s="591">
        <v>2</v>
      </c>
      <c r="H9" s="583">
        <f>ROUND(F9*G9,2)</f>
        <v>638.38</v>
      </c>
      <c r="I9" s="583">
        <f>ROUND(H9*$I$5,2)</f>
        <v>192.79</v>
      </c>
      <c r="J9" s="583">
        <f>H9+I9</f>
        <v>831.17</v>
      </c>
      <c r="K9" s="589"/>
      <c r="L9" s="583"/>
      <c r="M9" s="583"/>
      <c r="N9" s="583"/>
      <c r="O9" s="583"/>
      <c r="P9" s="583">
        <f>J9+O9</f>
        <v>831.17</v>
      </c>
      <c r="Q9" s="583">
        <f>ROUND(P9*$Q$5,2)</f>
        <v>644.16</v>
      </c>
      <c r="R9" s="584">
        <f>ROUND(T9/1.2,2)</f>
        <v>1685.83</v>
      </c>
      <c r="S9" s="584">
        <f>ROUND(R9*$S$5,2)</f>
        <v>337.17</v>
      </c>
      <c r="T9" s="584">
        <f>ROUND((P9+Q9)*(1+Y9)*1.2,0)</f>
        <v>2023</v>
      </c>
      <c r="U9" s="121">
        <v>1623</v>
      </c>
      <c r="V9" s="122">
        <f>T9/U9*100-100</f>
        <v>24.64571780653111</v>
      </c>
      <c r="W9" s="470"/>
      <c r="X9" s="396"/>
      <c r="Y9" s="514">
        <v>0.14269999999999999</v>
      </c>
      <c r="Z9" s="464" t="e">
        <f>#REF!*Y9</f>
        <v>#REF!</v>
      </c>
      <c r="AA9" s="445"/>
      <c r="AB9" s="404">
        <v>1287.33</v>
      </c>
      <c r="AC9" s="439"/>
      <c r="AD9" s="478">
        <f>T9-U9</f>
        <v>400</v>
      </c>
      <c r="AE9" s="394"/>
      <c r="AG9" s="236">
        <v>2.5999999999999999E-2</v>
      </c>
      <c r="AH9" s="236">
        <f t="shared" ref="AH9:AH69" si="0">IF(AG9&lt;0,-AG9+1,AG9)</f>
        <v>2.5999999999999999E-2</v>
      </c>
      <c r="AI9" s="235">
        <v>0</v>
      </c>
      <c r="AK9" s="152"/>
      <c r="AL9" s="148"/>
      <c r="AM9" s="238">
        <v>1.034</v>
      </c>
      <c r="AN9" s="241">
        <v>2.5999999999999999E-2</v>
      </c>
      <c r="AO9" s="240" t="e">
        <f>#REF!-AM9</f>
        <v>#REF!</v>
      </c>
      <c r="AQ9" s="241">
        <f>Y9-AN9</f>
        <v>0.1167</v>
      </c>
      <c r="AR9" s="386">
        <v>1287</v>
      </c>
      <c r="AS9" s="388" t="b">
        <f>W9=AR9</f>
        <v>0</v>
      </c>
      <c r="AT9" s="411" t="e">
        <f>ROUND(W9/T9*100-100,2)+#REF!</f>
        <v>#REF!</v>
      </c>
      <c r="AU9"/>
      <c r="AV9"/>
      <c r="AW9" t="e">
        <f>ROUND(T9/W9,3)</f>
        <v>#DIV/0!</v>
      </c>
    </row>
    <row r="10" spans="1:49" s="83" customFormat="1" ht="23.25" customHeight="1" x14ac:dyDescent="0.3">
      <c r="A10" s="806" t="s">
        <v>322</v>
      </c>
      <c r="B10" s="807"/>
      <c r="C10" s="807"/>
      <c r="D10" s="807"/>
      <c r="E10" s="807"/>
      <c r="F10" s="807"/>
      <c r="G10" s="807"/>
      <c r="H10" s="807"/>
      <c r="I10" s="807"/>
      <c r="J10" s="807"/>
      <c r="K10" s="807"/>
      <c r="L10" s="807"/>
      <c r="M10" s="807"/>
      <c r="N10" s="807"/>
      <c r="O10" s="807"/>
      <c r="P10" s="807"/>
      <c r="Q10" s="807"/>
      <c r="R10" s="807"/>
      <c r="S10" s="807"/>
      <c r="T10" s="808"/>
      <c r="U10" s="123"/>
      <c r="V10" s="125"/>
      <c r="W10" s="470"/>
      <c r="X10" s="396"/>
      <c r="Y10" s="474"/>
      <c r="Z10" s="464"/>
      <c r="AA10" s="445"/>
      <c r="AB10" s="404"/>
      <c r="AC10" s="390"/>
      <c r="AD10" s="482"/>
      <c r="AE10" s="394"/>
      <c r="AG10" s="162"/>
      <c r="AH10" s="236"/>
      <c r="AI10" s="235"/>
      <c r="AK10" s="152"/>
      <c r="AL10" s="150"/>
      <c r="AM10" s="162"/>
      <c r="AN10" s="242"/>
      <c r="AO10" s="240"/>
      <c r="AQ10" s="241"/>
      <c r="AR10" s="82"/>
      <c r="AS10" s="388"/>
      <c r="AT10" s="411"/>
      <c r="AU10"/>
      <c r="AV10"/>
      <c r="AW10"/>
    </row>
    <row r="11" spans="1:49" s="81" customFormat="1" ht="20.25" customHeight="1" x14ac:dyDescent="0.25">
      <c r="A11" s="804" t="s">
        <v>146</v>
      </c>
      <c r="B11" s="804" t="s">
        <v>180</v>
      </c>
      <c r="C11" s="800" t="s">
        <v>23</v>
      </c>
      <c r="D11" s="805" t="s">
        <v>24</v>
      </c>
      <c r="E11" s="588" t="s">
        <v>174</v>
      </c>
      <c r="F11" s="591">
        <f>VLOOKUP(E11,'условия, ФОТ'!$A$14:$I$28,9, FALSE)</f>
        <v>456.01</v>
      </c>
      <c r="G11" s="591">
        <v>0.68</v>
      </c>
      <c r="H11" s="797">
        <f>ROUND((F11*G11+F12*G12),2)</f>
        <v>531.92999999999995</v>
      </c>
      <c r="I11" s="797">
        <f>ROUND(H11*$I$5,2)</f>
        <v>160.63999999999999</v>
      </c>
      <c r="J11" s="797">
        <f>H11+I11</f>
        <v>692.56999999999994</v>
      </c>
      <c r="K11" s="814"/>
      <c r="L11" s="797"/>
      <c r="M11" s="797"/>
      <c r="N11" s="797"/>
      <c r="O11" s="797">
        <f>SUM(O13:O19)</f>
        <v>185.07000000000002</v>
      </c>
      <c r="P11" s="797">
        <f>J11+O11</f>
        <v>877.64</v>
      </c>
      <c r="Q11" s="797">
        <f>ROUND(P11*$Q$5,2)</f>
        <v>680.17</v>
      </c>
      <c r="R11" s="798">
        <f>ROUND(T11/1.2,2)</f>
        <v>1753.33</v>
      </c>
      <c r="S11" s="798">
        <f>ROUND(R11*$S$5,2)</f>
        <v>350.67</v>
      </c>
      <c r="T11" s="798">
        <f>ROUND((P11+Q11)*(1+Y11)*1.2,0)</f>
        <v>2104</v>
      </c>
      <c r="U11" s="794">
        <v>1190</v>
      </c>
      <c r="V11" s="793">
        <f>T11/U11*100-100</f>
        <v>76.806722689075627</v>
      </c>
      <c r="W11" s="782"/>
      <c r="X11" s="837"/>
      <c r="Y11" s="859">
        <v>0.12559999999999999</v>
      </c>
      <c r="Z11" s="776" t="e">
        <f>#REF!*Y11</f>
        <v>#REF!</v>
      </c>
      <c r="AA11" s="445"/>
      <c r="AB11" s="404">
        <v>967.82400000000007</v>
      </c>
      <c r="AC11" s="741"/>
      <c r="AD11" s="763">
        <f>T11-U11</f>
        <v>914</v>
      </c>
      <c r="AE11" s="394"/>
      <c r="AG11" s="751">
        <v>0.1414</v>
      </c>
      <c r="AH11" s="751">
        <f t="shared" si="0"/>
        <v>0.1414</v>
      </c>
      <c r="AI11" s="751">
        <v>0</v>
      </c>
      <c r="AK11" s="879"/>
      <c r="AL11" s="148"/>
      <c r="AM11" s="751">
        <v>1.034</v>
      </c>
      <c r="AN11" s="747">
        <v>0.1414</v>
      </c>
      <c r="AO11" s="751" t="e">
        <f>#REF!-AM11</f>
        <v>#REF!</v>
      </c>
      <c r="AQ11" s="747">
        <f>Y11-AN11</f>
        <v>-1.5800000000000008E-2</v>
      </c>
      <c r="AR11" s="741">
        <v>968</v>
      </c>
      <c r="AS11" s="884" t="b">
        <f>W11=AR11</f>
        <v>0</v>
      </c>
      <c r="AT11" s="411" t="e">
        <f>ROUND(W11/T11*100-100,2)+#REF!</f>
        <v>#REF!</v>
      </c>
      <c r="AU11"/>
      <c r="AV11"/>
      <c r="AW11" t="e">
        <f>ROUND(T11/W11,3)</f>
        <v>#DIV/0!</v>
      </c>
    </row>
    <row r="12" spans="1:49" s="81" customFormat="1" ht="21" customHeight="1" x14ac:dyDescent="0.25">
      <c r="A12" s="804"/>
      <c r="B12" s="804"/>
      <c r="C12" s="800"/>
      <c r="D12" s="805"/>
      <c r="E12" s="588" t="s">
        <v>169</v>
      </c>
      <c r="F12" s="583">
        <f>VLOOKUP(E12,'условия, ФОТ'!$A$14:$I$28,9, FALSE)</f>
        <v>326.24</v>
      </c>
      <c r="G12" s="591">
        <v>0.68</v>
      </c>
      <c r="H12" s="797"/>
      <c r="I12" s="797"/>
      <c r="J12" s="797"/>
      <c r="K12" s="814"/>
      <c r="L12" s="797"/>
      <c r="M12" s="797"/>
      <c r="N12" s="797"/>
      <c r="O12" s="797"/>
      <c r="P12" s="797"/>
      <c r="Q12" s="797">
        <f>ROUND(P12*$Q$5,2)</f>
        <v>0</v>
      </c>
      <c r="R12" s="798">
        <f>ROUND(T12/1.18,2)</f>
        <v>0</v>
      </c>
      <c r="S12" s="798">
        <f>ROUND(R12*$S$5,2)</f>
        <v>0</v>
      </c>
      <c r="T12" s="798">
        <f>ROUND((P12+Q12)*(1+$R$5)*1.18,0)</f>
        <v>0</v>
      </c>
      <c r="U12" s="795"/>
      <c r="V12" s="793"/>
      <c r="W12" s="782"/>
      <c r="X12" s="837"/>
      <c r="Y12" s="859"/>
      <c r="Z12" s="777"/>
      <c r="AA12" s="445"/>
      <c r="AB12" s="404"/>
      <c r="AC12" s="741"/>
      <c r="AD12" s="764"/>
      <c r="AE12" s="394"/>
      <c r="AG12" s="752"/>
      <c r="AH12" s="752"/>
      <c r="AI12" s="752"/>
      <c r="AK12" s="880"/>
      <c r="AL12" s="148"/>
      <c r="AM12" s="752"/>
      <c r="AN12" s="748"/>
      <c r="AO12" s="752"/>
      <c r="AQ12" s="748"/>
      <c r="AR12" s="741"/>
      <c r="AS12" s="884"/>
      <c r="AT12" s="411"/>
      <c r="AU12"/>
      <c r="AV12"/>
      <c r="AW12"/>
    </row>
    <row r="13" spans="1:49" s="81" customFormat="1" outlineLevel="1" x14ac:dyDescent="0.3">
      <c r="A13" s="587"/>
      <c r="B13" s="539"/>
      <c r="C13" s="589"/>
      <c r="D13" s="539"/>
      <c r="E13" s="539"/>
      <c r="F13" s="539"/>
      <c r="G13" s="539"/>
      <c r="H13" s="539"/>
      <c r="I13" s="539"/>
      <c r="J13" s="540" t="s">
        <v>385</v>
      </c>
      <c r="K13" s="541" t="s">
        <v>329</v>
      </c>
      <c r="L13" s="591" t="str">
        <f>VLOOKUP(K13,материалы!$A$5:$G$31,5, FALSE)</f>
        <v>м3</v>
      </c>
      <c r="M13" s="583">
        <f>VLOOKUP(K13,материалы!$A$5:$G$34,7, FALSE)</f>
        <v>1033.33</v>
      </c>
      <c r="N13" s="591">
        <v>8.7499999999999994E-2</v>
      </c>
      <c r="O13" s="542">
        <f>ROUND(M13*N13,2)</f>
        <v>90.42</v>
      </c>
      <c r="P13" s="539"/>
      <c r="Q13" s="539"/>
      <c r="R13" s="543"/>
      <c r="S13" s="543"/>
      <c r="T13" s="543"/>
      <c r="U13" s="124"/>
      <c r="V13" s="125"/>
      <c r="W13" s="470"/>
      <c r="X13" s="396"/>
      <c r="Y13" s="474"/>
      <c r="Z13" s="464"/>
      <c r="AA13" s="445"/>
      <c r="AB13" s="404"/>
      <c r="AC13" s="434"/>
      <c r="AD13" s="482"/>
      <c r="AE13" s="394"/>
      <c r="AG13" s="236"/>
      <c r="AH13" s="236"/>
      <c r="AI13" s="235"/>
      <c r="AK13" s="152"/>
      <c r="AL13" s="148"/>
      <c r="AM13" s="238"/>
      <c r="AN13" s="241"/>
      <c r="AO13" s="240"/>
      <c r="AQ13" s="241"/>
      <c r="AR13" s="382"/>
      <c r="AS13" s="388"/>
      <c r="AT13" s="411"/>
      <c r="AU13"/>
      <c r="AV13"/>
      <c r="AW13"/>
    </row>
    <row r="14" spans="1:49" s="81" customFormat="1" outlineLevel="1" x14ac:dyDescent="0.3">
      <c r="A14" s="587"/>
      <c r="B14" s="539"/>
      <c r="C14" s="589"/>
      <c r="D14" s="539"/>
      <c r="E14" s="539"/>
      <c r="F14" s="539"/>
      <c r="G14" s="539"/>
      <c r="H14" s="539"/>
      <c r="I14" s="539"/>
      <c r="J14" s="539"/>
      <c r="K14" s="541" t="s">
        <v>330</v>
      </c>
      <c r="L14" s="591" t="str">
        <f>VLOOKUP(K14,материалы!$A$5:$G$31,5, FALSE)</f>
        <v>м3</v>
      </c>
      <c r="M14" s="583">
        <f>VLOOKUP(K14,материалы!$A$5:$G$34,7, FALSE)</f>
        <v>116.67</v>
      </c>
      <c r="N14" s="591">
        <v>0.15</v>
      </c>
      <c r="O14" s="542">
        <f>ROUND(M14*N14,2)</f>
        <v>17.5</v>
      </c>
      <c r="P14" s="539"/>
      <c r="Q14" s="539"/>
      <c r="R14" s="543"/>
      <c r="S14" s="543"/>
      <c r="T14" s="543"/>
      <c r="U14" s="124"/>
      <c r="V14" s="125"/>
      <c r="W14" s="470"/>
      <c r="X14" s="396"/>
      <c r="Y14" s="474"/>
      <c r="Z14" s="464"/>
      <c r="AA14" s="445"/>
      <c r="AB14" s="404"/>
      <c r="AC14" s="434"/>
      <c r="AD14" s="482"/>
      <c r="AE14" s="394"/>
      <c r="AG14" s="236"/>
      <c r="AH14" s="236"/>
      <c r="AI14" s="235"/>
      <c r="AK14" s="152"/>
      <c r="AL14" s="148"/>
      <c r="AM14" s="238"/>
      <c r="AN14" s="241"/>
      <c r="AO14" s="240"/>
      <c r="AQ14" s="241"/>
      <c r="AR14" s="382"/>
      <c r="AS14" s="388"/>
      <c r="AT14" s="411"/>
      <c r="AU14"/>
      <c r="AV14"/>
      <c r="AW14"/>
    </row>
    <row r="15" spans="1:49" s="81" customFormat="1" ht="38.25" outlineLevel="1" x14ac:dyDescent="0.3">
      <c r="A15" s="587"/>
      <c r="B15" s="539"/>
      <c r="C15" s="589"/>
      <c r="D15" s="539"/>
      <c r="E15" s="539"/>
      <c r="F15" s="539"/>
      <c r="G15" s="539"/>
      <c r="H15" s="539"/>
      <c r="I15" s="539"/>
      <c r="J15" s="539"/>
      <c r="K15" s="541" t="s">
        <v>347</v>
      </c>
      <c r="L15" s="591" t="str">
        <f>VLOOKUP(K15,материалы!$A$5:$G$31,5, FALSE)</f>
        <v>кг</v>
      </c>
      <c r="M15" s="583">
        <f>VLOOKUP(K15,материалы!$A$5:$G$34,7, FALSE)</f>
        <v>300</v>
      </c>
      <c r="N15" s="591">
        <v>0.1</v>
      </c>
      <c r="O15" s="542">
        <f t="shared" ref="O15:O19" si="1">ROUND(M15*N15,2)</f>
        <v>30</v>
      </c>
      <c r="P15" s="539"/>
      <c r="Q15" s="539"/>
      <c r="R15" s="543"/>
      <c r="S15" s="543"/>
      <c r="T15" s="543"/>
      <c r="U15" s="124"/>
      <c r="V15" s="125"/>
      <c r="W15" s="470"/>
      <c r="X15" s="396"/>
      <c r="Y15" s="474"/>
      <c r="Z15" s="464"/>
      <c r="AA15" s="445"/>
      <c r="AB15" s="404"/>
      <c r="AC15" s="434"/>
      <c r="AD15" s="482"/>
      <c r="AE15" s="394"/>
      <c r="AG15" s="236"/>
      <c r="AH15" s="236"/>
      <c r="AI15" s="235"/>
      <c r="AK15" s="152"/>
      <c r="AL15" s="148"/>
      <c r="AM15" s="238"/>
      <c r="AN15" s="241"/>
      <c r="AO15" s="240"/>
      <c r="AQ15" s="241"/>
      <c r="AR15" s="382"/>
      <c r="AS15" s="388"/>
      <c r="AT15" s="411"/>
      <c r="AU15"/>
      <c r="AV15"/>
      <c r="AW15"/>
    </row>
    <row r="16" spans="1:49" s="81" customFormat="1" ht="30" customHeight="1" outlineLevel="1" x14ac:dyDescent="0.3">
      <c r="A16" s="587"/>
      <c r="B16" s="539"/>
      <c r="C16" s="589"/>
      <c r="D16" s="539"/>
      <c r="E16" s="539"/>
      <c r="F16" s="539"/>
      <c r="G16" s="539"/>
      <c r="H16" s="539"/>
      <c r="I16" s="539"/>
      <c r="J16" s="539"/>
      <c r="K16" s="541" t="s">
        <v>358</v>
      </c>
      <c r="L16" s="591" t="str">
        <f>VLOOKUP(K16,материалы!$A$5:$G$31,5, FALSE)</f>
        <v>шт.</v>
      </c>
      <c r="M16" s="583">
        <f>VLOOKUP(K16,материалы!$A$5:$G$34,7, FALSE)</f>
        <v>35</v>
      </c>
      <c r="N16" s="591">
        <v>1</v>
      </c>
      <c r="O16" s="542">
        <f t="shared" si="1"/>
        <v>35</v>
      </c>
      <c r="P16" s="539"/>
      <c r="Q16" s="539"/>
      <c r="R16" s="543"/>
      <c r="S16" s="543"/>
      <c r="T16" s="543"/>
      <c r="U16" s="124"/>
      <c r="V16" s="125"/>
      <c r="W16" s="470"/>
      <c r="X16" s="396"/>
      <c r="Y16" s="474"/>
      <c r="Z16" s="464"/>
      <c r="AA16" s="445"/>
      <c r="AB16" s="404"/>
      <c r="AC16" s="434"/>
      <c r="AD16" s="482"/>
      <c r="AE16" s="394"/>
      <c r="AG16" s="236"/>
      <c r="AH16" s="236"/>
      <c r="AI16" s="235"/>
      <c r="AK16" s="152"/>
      <c r="AL16" s="148"/>
      <c r="AM16" s="238"/>
      <c r="AN16" s="241"/>
      <c r="AO16" s="240"/>
      <c r="AQ16" s="241"/>
      <c r="AR16" s="382"/>
      <c r="AS16" s="388"/>
      <c r="AT16" s="411"/>
      <c r="AU16"/>
      <c r="AV16"/>
      <c r="AW16"/>
    </row>
    <row r="17" spans="1:49" s="81" customFormat="1" ht="28.5" customHeight="1" outlineLevel="1" x14ac:dyDescent="0.3">
      <c r="A17" s="587"/>
      <c r="B17" s="539"/>
      <c r="C17" s="589"/>
      <c r="D17" s="539"/>
      <c r="E17" s="539"/>
      <c r="F17" s="539"/>
      <c r="G17" s="539"/>
      <c r="H17" s="539"/>
      <c r="I17" s="539"/>
      <c r="J17" s="539"/>
      <c r="K17" s="541" t="s">
        <v>348</v>
      </c>
      <c r="L17" s="591" t="str">
        <f>VLOOKUP(K17,материалы!$A$5:$G$31,5, FALSE)</f>
        <v>шт.</v>
      </c>
      <c r="M17" s="583">
        <f>VLOOKUP(K17,материалы!$A$5:$G$34,7, FALSE)</f>
        <v>45</v>
      </c>
      <c r="N17" s="591">
        <v>0.25</v>
      </c>
      <c r="O17" s="542">
        <f t="shared" si="1"/>
        <v>11.25</v>
      </c>
      <c r="P17" s="539"/>
      <c r="Q17" s="539"/>
      <c r="R17" s="543"/>
      <c r="S17" s="543"/>
      <c r="T17" s="543"/>
      <c r="U17" s="124"/>
      <c r="V17" s="125"/>
      <c r="W17" s="470"/>
      <c r="X17" s="396"/>
      <c r="Y17" s="474"/>
      <c r="Z17" s="464"/>
      <c r="AA17" s="445"/>
      <c r="AB17" s="404"/>
      <c r="AC17" s="434"/>
      <c r="AD17" s="482"/>
      <c r="AE17" s="394"/>
      <c r="AG17" s="236"/>
      <c r="AH17" s="236"/>
      <c r="AI17" s="235"/>
      <c r="AK17" s="152"/>
      <c r="AL17" s="148"/>
      <c r="AM17" s="238"/>
      <c r="AN17" s="241"/>
      <c r="AO17" s="240"/>
      <c r="AQ17" s="241"/>
      <c r="AR17" s="382"/>
      <c r="AS17" s="388"/>
      <c r="AT17" s="411"/>
      <c r="AU17"/>
      <c r="AV17"/>
      <c r="AW17"/>
    </row>
    <row r="18" spans="1:49" s="81" customFormat="1" outlineLevel="1" x14ac:dyDescent="0.3">
      <c r="A18" s="587"/>
      <c r="B18" s="539"/>
      <c r="C18" s="589"/>
      <c r="D18" s="539"/>
      <c r="E18" s="539"/>
      <c r="F18" s="539"/>
      <c r="G18" s="539"/>
      <c r="H18" s="539"/>
      <c r="I18" s="539"/>
      <c r="J18" s="539"/>
      <c r="K18" s="541" t="s">
        <v>335</v>
      </c>
      <c r="L18" s="591" t="str">
        <f>VLOOKUP(K18,материалы!$A$5:$G$31,5, FALSE)</f>
        <v>кг</v>
      </c>
      <c r="M18" s="583">
        <f>VLOOKUP(K18,материалы!$A$5:$G$34,7, FALSE)</f>
        <v>95</v>
      </c>
      <c r="N18" s="544">
        <v>1E-3</v>
      </c>
      <c r="O18" s="542">
        <f t="shared" si="1"/>
        <v>0.1</v>
      </c>
      <c r="P18" s="539"/>
      <c r="Q18" s="539"/>
      <c r="R18" s="543"/>
      <c r="S18" s="543"/>
      <c r="T18" s="543"/>
      <c r="U18" s="124"/>
      <c r="V18" s="125"/>
      <c r="W18" s="470"/>
      <c r="X18" s="396"/>
      <c r="Y18" s="474"/>
      <c r="Z18" s="464"/>
      <c r="AA18" s="445"/>
      <c r="AB18" s="404"/>
      <c r="AC18" s="434"/>
      <c r="AD18" s="482"/>
      <c r="AE18" s="394"/>
      <c r="AG18" s="236"/>
      <c r="AH18" s="236"/>
      <c r="AI18" s="235"/>
      <c r="AK18" s="152"/>
      <c r="AL18" s="148"/>
      <c r="AM18" s="238"/>
      <c r="AN18" s="241"/>
      <c r="AO18" s="240"/>
      <c r="AQ18" s="241"/>
      <c r="AR18" s="382"/>
      <c r="AS18" s="388"/>
      <c r="AT18" s="411"/>
      <c r="AU18"/>
      <c r="AV18"/>
      <c r="AW18"/>
    </row>
    <row r="19" spans="1:49" s="81" customFormat="1" outlineLevel="1" x14ac:dyDescent="0.3">
      <c r="A19" s="587"/>
      <c r="B19" s="539"/>
      <c r="C19" s="589"/>
      <c r="D19" s="539"/>
      <c r="E19" s="539"/>
      <c r="F19" s="539"/>
      <c r="G19" s="539"/>
      <c r="H19" s="539"/>
      <c r="I19" s="539"/>
      <c r="J19" s="539"/>
      <c r="K19" s="541" t="s">
        <v>336</v>
      </c>
      <c r="L19" s="591" t="str">
        <f>VLOOKUP(K19,материалы!$A$5:$G$31,5, FALSE)</f>
        <v>кг</v>
      </c>
      <c r="M19" s="583">
        <f>VLOOKUP(K19,материалы!$A$5:$G$34,7, FALSE)</f>
        <v>80</v>
      </c>
      <c r="N19" s="591">
        <v>0.01</v>
      </c>
      <c r="O19" s="542">
        <f t="shared" si="1"/>
        <v>0.8</v>
      </c>
      <c r="P19" s="539"/>
      <c r="Q19" s="539"/>
      <c r="R19" s="543"/>
      <c r="S19" s="543"/>
      <c r="T19" s="543"/>
      <c r="U19" s="124"/>
      <c r="V19" s="125"/>
      <c r="W19" s="470"/>
      <c r="X19" s="396"/>
      <c r="Y19" s="474"/>
      <c r="Z19" s="464"/>
      <c r="AA19" s="445"/>
      <c r="AB19" s="404"/>
      <c r="AC19" s="434"/>
      <c r="AD19" s="482"/>
      <c r="AE19" s="394"/>
      <c r="AG19" s="236"/>
      <c r="AH19" s="236"/>
      <c r="AI19" s="235"/>
      <c r="AK19" s="152"/>
      <c r="AL19" s="148"/>
      <c r="AM19" s="238"/>
      <c r="AN19" s="241"/>
      <c r="AO19" s="240"/>
      <c r="AQ19" s="241"/>
      <c r="AR19" s="382"/>
      <c r="AS19" s="388"/>
      <c r="AT19" s="411"/>
      <c r="AU19"/>
      <c r="AV19"/>
      <c r="AW19"/>
    </row>
    <row r="20" spans="1:49" s="81" customFormat="1" ht="42.75" customHeight="1" x14ac:dyDescent="0.3">
      <c r="A20" s="587" t="s">
        <v>450</v>
      </c>
      <c r="B20" s="587" t="s">
        <v>180</v>
      </c>
      <c r="C20" s="585" t="s">
        <v>384</v>
      </c>
      <c r="D20" s="583" t="s">
        <v>24</v>
      </c>
      <c r="E20" s="583" t="s">
        <v>169</v>
      </c>
      <c r="F20" s="583">
        <f>VLOOKUP(E20,'условия, ФОТ'!$A$14:$I$28,9, FALSE)</f>
        <v>326.24</v>
      </c>
      <c r="G20" s="583">
        <f>G12*0.7</f>
        <v>0.47599999999999998</v>
      </c>
      <c r="H20" s="583">
        <f>ROUND(F20*G20,2)</f>
        <v>155.29</v>
      </c>
      <c r="I20" s="583">
        <f>ROUND(H20*$I$5,2)</f>
        <v>46.9</v>
      </c>
      <c r="J20" s="583">
        <f>H20+I20</f>
        <v>202.19</v>
      </c>
      <c r="K20" s="541"/>
      <c r="L20" s="591"/>
      <c r="M20" s="583"/>
      <c r="N20" s="591"/>
      <c r="O20" s="583">
        <f>O21</f>
        <v>11.25</v>
      </c>
      <c r="P20" s="583">
        <f>J20+O20</f>
        <v>213.44</v>
      </c>
      <c r="Q20" s="583">
        <f>ROUND(P20*$Q$5,2)</f>
        <v>165.42</v>
      </c>
      <c r="R20" s="584">
        <f>ROUND(T20/1.2,2)</f>
        <v>404.17</v>
      </c>
      <c r="S20" s="584">
        <f>ROUND(R20*$S$5,2)</f>
        <v>80.83</v>
      </c>
      <c r="T20" s="584">
        <f>ROUND((P20+Q20)*(1+Y20)*1.2,0)</f>
        <v>485</v>
      </c>
      <c r="U20" s="512">
        <v>302</v>
      </c>
      <c r="V20" s="122">
        <f>T20/U20*100-100</f>
        <v>60.596026490066237</v>
      </c>
      <c r="W20" s="470"/>
      <c r="X20" s="396"/>
      <c r="Y20" s="514">
        <v>6.6699999999999995E-2</v>
      </c>
      <c r="Z20" s="464" t="e">
        <f>#REF!*Y20</f>
        <v>#REF!</v>
      </c>
      <c r="AA20" s="445"/>
      <c r="AB20" s="404">
        <v>234.71800000000002</v>
      </c>
      <c r="AC20" s="434"/>
      <c r="AD20" s="478">
        <f>T20-U20</f>
        <v>183</v>
      </c>
      <c r="AE20" s="394"/>
      <c r="AG20" s="236">
        <v>-7.9000000000000008E-3</v>
      </c>
      <c r="AH20" s="236">
        <f t="shared" si="0"/>
        <v>1.0079</v>
      </c>
      <c r="AI20" s="235">
        <v>1.042</v>
      </c>
      <c r="AJ20" s="152"/>
      <c r="AK20" s="152">
        <f>ROUND(W20*AI20,2)</f>
        <v>0</v>
      </c>
      <c r="AL20" s="148"/>
      <c r="AM20" s="238">
        <v>1.034</v>
      </c>
      <c r="AN20" s="241">
        <v>-7.9000000000000008E-3</v>
      </c>
      <c r="AO20" s="240" t="e">
        <f>#REF!-AM20</f>
        <v>#REF!</v>
      </c>
      <c r="AQ20" s="241">
        <f>Y20-AN20</f>
        <v>7.46E-2</v>
      </c>
      <c r="AR20" s="382">
        <v>248</v>
      </c>
      <c r="AS20" s="388" t="b">
        <f>W20=AR20</f>
        <v>0</v>
      </c>
      <c r="AT20" s="411" t="e">
        <f>ROUND(W20/T20*100-100,2)+#REF!</f>
        <v>#REF!</v>
      </c>
      <c r="AU20"/>
      <c r="AV20"/>
      <c r="AW20" t="e">
        <f>ROUND(T20/W20,3)</f>
        <v>#DIV/0!</v>
      </c>
    </row>
    <row r="21" spans="1:49" s="81" customFormat="1" ht="33" customHeight="1" outlineLevel="1" x14ac:dyDescent="0.3">
      <c r="A21" s="587"/>
      <c r="B21" s="539"/>
      <c r="C21" s="589"/>
      <c r="D21" s="539"/>
      <c r="E21" s="539"/>
      <c r="F21" s="539"/>
      <c r="G21" s="539"/>
      <c r="H21" s="539"/>
      <c r="I21" s="539"/>
      <c r="J21" s="540" t="s">
        <v>385</v>
      </c>
      <c r="K21" s="541" t="s">
        <v>348</v>
      </c>
      <c r="L21" s="591" t="str">
        <f>VLOOKUP(K21,материалы!$A$5:$G$31,5, FALSE)</f>
        <v>шт.</v>
      </c>
      <c r="M21" s="583">
        <f>VLOOKUP(K21,материалы!$A$5:$G$34,7, FALSE)</f>
        <v>45</v>
      </c>
      <c r="N21" s="591">
        <v>0.25</v>
      </c>
      <c r="O21" s="583">
        <f t="shared" ref="O21" si="2">ROUND(M21*N21,2)</f>
        <v>11.25</v>
      </c>
      <c r="P21" s="539"/>
      <c r="Q21" s="539"/>
      <c r="R21" s="543"/>
      <c r="S21" s="543"/>
      <c r="T21" s="543"/>
      <c r="U21" s="518"/>
      <c r="V21" s="125"/>
      <c r="W21" s="392"/>
      <c r="X21" s="396"/>
      <c r="Y21" s="474"/>
      <c r="Z21" s="464"/>
      <c r="AA21" s="445"/>
      <c r="AB21" s="404"/>
      <c r="AC21" s="434"/>
      <c r="AD21" s="482"/>
      <c r="AE21" s="394"/>
      <c r="AG21" s="236"/>
      <c r="AH21" s="236"/>
      <c r="AI21" s="235"/>
      <c r="AK21" s="152"/>
      <c r="AL21" s="148"/>
      <c r="AM21" s="238"/>
      <c r="AN21" s="241"/>
      <c r="AO21" s="240"/>
      <c r="AQ21" s="241"/>
      <c r="AR21" s="382"/>
      <c r="AS21" s="388"/>
      <c r="AT21" s="411"/>
      <c r="AU21"/>
      <c r="AV21"/>
      <c r="AW21"/>
    </row>
    <row r="22" spans="1:49" s="81" customFormat="1" ht="15" customHeight="1" x14ac:dyDescent="0.25">
      <c r="A22" s="804" t="s">
        <v>451</v>
      </c>
      <c r="B22" s="804" t="s">
        <v>181</v>
      </c>
      <c r="C22" s="800" t="s">
        <v>28</v>
      </c>
      <c r="D22" s="805" t="s">
        <v>29</v>
      </c>
      <c r="E22" s="588" t="s">
        <v>174</v>
      </c>
      <c r="F22" s="583">
        <f>VLOOKUP(E22,'условия, ФОТ'!$A$14:$I$28,9, FALSE)</f>
        <v>456.01</v>
      </c>
      <c r="G22" s="591">
        <v>0.49</v>
      </c>
      <c r="H22" s="797">
        <f>ROUND((F22*G22+F23*G23),2)</f>
        <v>383.3</v>
      </c>
      <c r="I22" s="797">
        <f>ROUND(H22*$I$5,2)</f>
        <v>115.76</v>
      </c>
      <c r="J22" s="797">
        <f>H22+I22</f>
        <v>499.06</v>
      </c>
      <c r="K22" s="800"/>
      <c r="L22" s="805"/>
      <c r="M22" s="805"/>
      <c r="N22" s="805"/>
      <c r="O22" s="797">
        <f>SUM(O24)</f>
        <v>18</v>
      </c>
      <c r="P22" s="797">
        <f>J22+O22</f>
        <v>517.05999999999995</v>
      </c>
      <c r="Q22" s="797">
        <f>ROUND(P22*$Q$5,2)</f>
        <v>400.72</v>
      </c>
      <c r="R22" s="798">
        <f>ROUND(T22/1.2,2)</f>
        <v>1069.17</v>
      </c>
      <c r="S22" s="798">
        <f>ROUND(R22*$S$5,2)</f>
        <v>213.83</v>
      </c>
      <c r="T22" s="798">
        <f>ROUND((P22+Q22)*(1+Y22)*1.2,0)</f>
        <v>1283</v>
      </c>
      <c r="U22" s="794">
        <v>708</v>
      </c>
      <c r="V22" s="793">
        <f>T22/U22*100-100</f>
        <v>81.21468926553672</v>
      </c>
      <c r="W22" s="787"/>
      <c r="X22" s="837"/>
      <c r="Y22" s="859">
        <v>0.1651</v>
      </c>
      <c r="Z22" s="776" t="e">
        <f>#REF!*Y22</f>
        <v>#REF!</v>
      </c>
      <c r="AA22" s="445"/>
      <c r="AB22" s="404">
        <v>550.08799999999997</v>
      </c>
      <c r="AC22" s="741"/>
      <c r="AD22" s="763">
        <f>T22-U22</f>
        <v>575</v>
      </c>
      <c r="AE22" s="394"/>
      <c r="AG22" s="751">
        <v>0.1104</v>
      </c>
      <c r="AH22" s="751">
        <f t="shared" si="0"/>
        <v>0.1104</v>
      </c>
      <c r="AI22" s="751">
        <v>0</v>
      </c>
      <c r="AK22" s="879"/>
      <c r="AL22" s="148"/>
      <c r="AM22" s="751">
        <v>1.034</v>
      </c>
      <c r="AN22" s="747">
        <v>0.1104</v>
      </c>
      <c r="AO22" s="751" t="e">
        <f>#REF!-AM22</f>
        <v>#REF!</v>
      </c>
      <c r="AQ22" s="747">
        <f>Y22-AN22</f>
        <v>5.4699999999999999E-2</v>
      </c>
      <c r="AR22" s="741">
        <v>550</v>
      </c>
      <c r="AS22" s="884" t="b">
        <f>W22=AR22</f>
        <v>0</v>
      </c>
      <c r="AT22" s="411" t="e">
        <f>ROUND(W22/T22*100-100,2)+#REF!</f>
        <v>#REF!</v>
      </c>
      <c r="AU22"/>
      <c r="AV22"/>
      <c r="AW22" t="e">
        <f>ROUND(T22/W22,3)</f>
        <v>#DIV/0!</v>
      </c>
    </row>
    <row r="23" spans="1:49" s="81" customFormat="1" ht="15" customHeight="1" x14ac:dyDescent="0.25">
      <c r="A23" s="804"/>
      <c r="B23" s="804"/>
      <c r="C23" s="800"/>
      <c r="D23" s="805"/>
      <c r="E23" s="588" t="s">
        <v>169</v>
      </c>
      <c r="F23" s="583">
        <f>VLOOKUP(E23,'условия, ФОТ'!$A$14:$I$28,9, FALSE)</f>
        <v>326.24</v>
      </c>
      <c r="G23" s="591">
        <v>0.49</v>
      </c>
      <c r="H23" s="797"/>
      <c r="I23" s="797"/>
      <c r="J23" s="797"/>
      <c r="K23" s="800"/>
      <c r="L23" s="805"/>
      <c r="M23" s="805"/>
      <c r="N23" s="805"/>
      <c r="O23" s="797"/>
      <c r="P23" s="797"/>
      <c r="Q23" s="797"/>
      <c r="R23" s="798"/>
      <c r="S23" s="798"/>
      <c r="T23" s="798">
        <f>ROUND((P23+Q23)*(1+$R$5)*1.18,0)</f>
        <v>0</v>
      </c>
      <c r="U23" s="795">
        <v>0</v>
      </c>
      <c r="V23" s="793"/>
      <c r="W23" s="788"/>
      <c r="X23" s="837"/>
      <c r="Y23" s="859"/>
      <c r="Z23" s="777"/>
      <c r="AA23" s="445"/>
      <c r="AB23" s="404"/>
      <c r="AC23" s="741"/>
      <c r="AD23" s="764"/>
      <c r="AE23" s="394"/>
      <c r="AG23" s="752"/>
      <c r="AH23" s="752"/>
      <c r="AI23" s="752"/>
      <c r="AK23" s="880"/>
      <c r="AL23" s="148"/>
      <c r="AM23" s="752"/>
      <c r="AN23" s="748"/>
      <c r="AO23" s="752"/>
      <c r="AQ23" s="748"/>
      <c r="AR23" s="741"/>
      <c r="AS23" s="884"/>
      <c r="AT23" s="411"/>
      <c r="AU23"/>
      <c r="AV23"/>
      <c r="AW23"/>
    </row>
    <row r="24" spans="1:49" s="81" customFormat="1" ht="38.25" outlineLevel="1" x14ac:dyDescent="0.3">
      <c r="A24" s="587"/>
      <c r="B24" s="539"/>
      <c r="C24" s="589"/>
      <c r="D24" s="539"/>
      <c r="E24" s="539"/>
      <c r="F24" s="539"/>
      <c r="G24" s="539"/>
      <c r="H24" s="539"/>
      <c r="I24" s="539"/>
      <c r="J24" s="540" t="s">
        <v>385</v>
      </c>
      <c r="K24" s="541" t="s">
        <v>347</v>
      </c>
      <c r="L24" s="591" t="str">
        <f>VLOOKUP(K24,материалы!$A$5:$G$31,5, FALSE)</f>
        <v>кг</v>
      </c>
      <c r="M24" s="583">
        <f>VLOOKUP(K24,материалы!$A$5:$G$34,7, FALSE)</f>
        <v>300</v>
      </c>
      <c r="N24" s="591">
        <v>0.06</v>
      </c>
      <c r="O24" s="583">
        <f>ROUND(M24*N24,2)</f>
        <v>18</v>
      </c>
      <c r="P24" s="539"/>
      <c r="Q24" s="539"/>
      <c r="R24" s="543"/>
      <c r="S24" s="543"/>
      <c r="T24" s="543"/>
      <c r="U24" s="124"/>
      <c r="V24" s="125"/>
      <c r="W24" s="392"/>
      <c r="X24" s="396"/>
      <c r="Y24" s="474"/>
      <c r="Z24" s="464"/>
      <c r="AA24" s="445"/>
      <c r="AB24" s="404"/>
      <c r="AC24" s="434"/>
      <c r="AD24" s="482"/>
      <c r="AE24" s="394"/>
      <c r="AG24" s="236"/>
      <c r="AH24" s="236"/>
      <c r="AI24" s="235"/>
      <c r="AK24" s="152"/>
      <c r="AL24" s="148"/>
      <c r="AM24" s="238"/>
      <c r="AN24" s="241"/>
      <c r="AO24" s="240"/>
      <c r="AQ24" s="241"/>
      <c r="AR24" s="382"/>
      <c r="AS24" s="388"/>
      <c r="AT24" s="411"/>
      <c r="AU24"/>
      <c r="AV24"/>
      <c r="AW24"/>
    </row>
    <row r="25" spans="1:49" s="416" customFormat="1" ht="23.25" customHeight="1" x14ac:dyDescent="0.25">
      <c r="A25" s="804" t="s">
        <v>452</v>
      </c>
      <c r="B25" s="804" t="s">
        <v>356</v>
      </c>
      <c r="C25" s="800" t="s">
        <v>357</v>
      </c>
      <c r="D25" s="797" t="s">
        <v>36</v>
      </c>
      <c r="E25" s="588" t="s">
        <v>174</v>
      </c>
      <c r="F25" s="583">
        <f>VLOOKUP(E25,'условия, ФОТ'!$A$14:$I$28,9, FALSE)</f>
        <v>456.01</v>
      </c>
      <c r="G25" s="583">
        <v>0.2</v>
      </c>
      <c r="H25" s="797">
        <f>ROUND((F25*G25+F26*G26),2)</f>
        <v>156.44999999999999</v>
      </c>
      <c r="I25" s="797">
        <f>ROUND(H25*$I$5,2)</f>
        <v>47.25</v>
      </c>
      <c r="J25" s="797">
        <f>H25+I25</f>
        <v>203.7</v>
      </c>
      <c r="K25" s="867"/>
      <c r="L25" s="799"/>
      <c r="M25" s="799"/>
      <c r="N25" s="799"/>
      <c r="O25" s="799">
        <f>O27</f>
        <v>132.99</v>
      </c>
      <c r="P25" s="797">
        <f>J25+O25</f>
        <v>336.69</v>
      </c>
      <c r="Q25" s="797">
        <f>ROUND(P25*$Q$5,2)</f>
        <v>260.93</v>
      </c>
      <c r="R25" s="798">
        <f>ROUND(T25/1.2,2)</f>
        <v>622.5</v>
      </c>
      <c r="S25" s="798">
        <f>ROUND(R25*$S$5,2)</f>
        <v>124.5</v>
      </c>
      <c r="T25" s="798">
        <f>ROUND((P25+Q25)*(1+Y25)*1.2,0)</f>
        <v>747</v>
      </c>
      <c r="U25" s="825">
        <v>483</v>
      </c>
      <c r="V25" s="838">
        <f>T25/U25*100-100</f>
        <v>54.658385093167681</v>
      </c>
      <c r="W25" s="789"/>
      <c r="X25" s="839"/>
      <c r="Y25" s="775">
        <v>4.2200000000000001E-2</v>
      </c>
      <c r="Z25" s="778" t="e">
        <f>#REF!*Y25</f>
        <v>#REF!</v>
      </c>
      <c r="AA25" s="887"/>
      <c r="AB25" s="414">
        <v>342.25400000000002</v>
      </c>
      <c r="AC25" s="742"/>
      <c r="AD25" s="763">
        <f>T25-U25</f>
        <v>264</v>
      </c>
      <c r="AE25" s="415"/>
      <c r="AG25" s="753">
        <v>0.1615</v>
      </c>
      <c r="AH25" s="753">
        <f t="shared" si="0"/>
        <v>0.1615</v>
      </c>
      <c r="AI25" s="753">
        <v>0</v>
      </c>
      <c r="AK25" s="881"/>
      <c r="AL25" s="417"/>
      <c r="AM25" s="753">
        <v>1.034</v>
      </c>
      <c r="AN25" s="749">
        <v>0.1615</v>
      </c>
      <c r="AO25" s="753" t="e">
        <f>#REF!-AM25</f>
        <v>#REF!</v>
      </c>
      <c r="AQ25" s="749">
        <f>Y25-AN25</f>
        <v>-0.1193</v>
      </c>
      <c r="AR25" s="742">
        <v>342</v>
      </c>
      <c r="AS25" s="883" t="b">
        <f>W25=AR25</f>
        <v>0</v>
      </c>
      <c r="AT25" s="418" t="e">
        <f>ROUND(W25/T25*100-100,2)+#REF!</f>
        <v>#REF!</v>
      </c>
      <c r="AU25" s="419"/>
      <c r="AV25" s="419"/>
      <c r="AW25" s="419" t="e">
        <f>ROUND(T25/W25,3)</f>
        <v>#DIV/0!</v>
      </c>
    </row>
    <row r="26" spans="1:49" s="416" customFormat="1" ht="21.75" customHeight="1" x14ac:dyDescent="0.25">
      <c r="A26" s="804"/>
      <c r="B26" s="804"/>
      <c r="C26" s="800"/>
      <c r="D26" s="797"/>
      <c r="E26" s="588" t="s">
        <v>169</v>
      </c>
      <c r="F26" s="583">
        <f>VLOOKUP(E26,'условия, ФОТ'!$A$14:$I$28,9, FALSE)</f>
        <v>326.24</v>
      </c>
      <c r="G26" s="583">
        <v>0.2</v>
      </c>
      <c r="H26" s="797"/>
      <c r="I26" s="797"/>
      <c r="J26" s="797"/>
      <c r="K26" s="867"/>
      <c r="L26" s="799"/>
      <c r="M26" s="799"/>
      <c r="N26" s="799"/>
      <c r="O26" s="799"/>
      <c r="P26" s="797"/>
      <c r="Q26" s="797"/>
      <c r="R26" s="798"/>
      <c r="S26" s="798"/>
      <c r="T26" s="798">
        <f>ROUND((P26+Q26)*(1+$R$5)*1.18,0)</f>
        <v>0</v>
      </c>
      <c r="U26" s="826">
        <v>0</v>
      </c>
      <c r="V26" s="838"/>
      <c r="W26" s="790"/>
      <c r="X26" s="839"/>
      <c r="Y26" s="775"/>
      <c r="Z26" s="779"/>
      <c r="AA26" s="888"/>
      <c r="AB26" s="414"/>
      <c r="AC26" s="742"/>
      <c r="AD26" s="764"/>
      <c r="AE26" s="415"/>
      <c r="AG26" s="754"/>
      <c r="AH26" s="754"/>
      <c r="AI26" s="754"/>
      <c r="AK26" s="882"/>
      <c r="AL26" s="417"/>
      <c r="AM26" s="754"/>
      <c r="AN26" s="750"/>
      <c r="AO26" s="754"/>
      <c r="AQ26" s="750"/>
      <c r="AR26" s="742"/>
      <c r="AS26" s="883"/>
      <c r="AT26" s="418"/>
      <c r="AU26" s="419"/>
      <c r="AV26" s="419"/>
      <c r="AW26" s="419"/>
    </row>
    <row r="27" spans="1:49" s="416" customFormat="1" ht="28.5" customHeight="1" outlineLevel="1" x14ac:dyDescent="0.3">
      <c r="A27" s="587"/>
      <c r="B27" s="587"/>
      <c r="C27" s="585"/>
      <c r="D27" s="583"/>
      <c r="E27" s="588"/>
      <c r="F27" s="583"/>
      <c r="G27" s="583"/>
      <c r="H27" s="583"/>
      <c r="I27" s="583"/>
      <c r="J27" s="540" t="s">
        <v>385</v>
      </c>
      <c r="K27" s="541" t="s">
        <v>388</v>
      </c>
      <c r="L27" s="591" t="str">
        <f>VLOOKUP(K27,материалы!$A$5:$G$31,5, FALSE)</f>
        <v>м</v>
      </c>
      <c r="M27" s="583">
        <f>VLOOKUP(K27,материалы!$A$5:$G$34,7, FALSE)</f>
        <v>132.99</v>
      </c>
      <c r="N27" s="591">
        <v>1</v>
      </c>
      <c r="O27" s="583">
        <f t="shared" ref="O27" si="3">ROUND(M27*N27,2)</f>
        <v>132.99</v>
      </c>
      <c r="P27" s="583"/>
      <c r="Q27" s="583"/>
      <c r="R27" s="584"/>
      <c r="S27" s="584"/>
      <c r="T27" s="584"/>
      <c r="U27" s="437"/>
      <c r="V27" s="440"/>
      <c r="W27" s="436"/>
      <c r="X27" s="438"/>
      <c r="Y27" s="475"/>
      <c r="Z27" s="465"/>
      <c r="AA27" s="446"/>
      <c r="AB27" s="414"/>
      <c r="AC27" s="435"/>
      <c r="AD27" s="483"/>
      <c r="AE27" s="415"/>
      <c r="AG27" s="425"/>
      <c r="AH27" s="425"/>
      <c r="AI27" s="425"/>
      <c r="AK27" s="426"/>
      <c r="AL27" s="417"/>
      <c r="AM27" s="425"/>
      <c r="AN27" s="427"/>
      <c r="AO27" s="425"/>
      <c r="AQ27" s="427"/>
      <c r="AR27" s="435"/>
      <c r="AS27" s="429"/>
      <c r="AT27" s="418"/>
      <c r="AU27" s="419"/>
      <c r="AV27" s="419"/>
      <c r="AW27" s="419"/>
    </row>
    <row r="28" spans="1:49" s="81" customFormat="1" ht="31.7" customHeight="1" x14ac:dyDescent="0.3">
      <c r="A28" s="587" t="s">
        <v>453</v>
      </c>
      <c r="B28" s="587" t="s">
        <v>30</v>
      </c>
      <c r="C28" s="585" t="s">
        <v>427</v>
      </c>
      <c r="D28" s="588" t="s">
        <v>31</v>
      </c>
      <c r="E28" s="588" t="s">
        <v>169</v>
      </c>
      <c r="F28" s="583">
        <f>VLOOKUP(E28,'условия, ФОТ'!$A$14:$I$28,9, FALSE)</f>
        <v>326.24</v>
      </c>
      <c r="G28" s="591">
        <v>0.25</v>
      </c>
      <c r="H28" s="583">
        <f>ROUND(F28*G28,2)</f>
        <v>81.56</v>
      </c>
      <c r="I28" s="583">
        <f>ROUND(H28*$I$5,2)</f>
        <v>24.63</v>
      </c>
      <c r="J28" s="583">
        <f>H28+I28</f>
        <v>106.19</v>
      </c>
      <c r="K28" s="589"/>
      <c r="L28" s="583"/>
      <c r="M28" s="583"/>
      <c r="N28" s="583"/>
      <c r="O28" s="583">
        <f>O29</f>
        <v>35</v>
      </c>
      <c r="P28" s="583">
        <f>J28+O28</f>
        <v>141.19</v>
      </c>
      <c r="Q28" s="583">
        <f>ROUND(P28*$Q$5,2)</f>
        <v>109.42</v>
      </c>
      <c r="R28" s="584">
        <f>ROUND(T28/1.2,2)</f>
        <v>335.83</v>
      </c>
      <c r="S28" s="584">
        <f>ROUND(R28*$S$5,2)</f>
        <v>67.17</v>
      </c>
      <c r="T28" s="584">
        <f>ROUND((P28+Q28)*(1+Y28)*1.2,0)</f>
        <v>403</v>
      </c>
      <c r="U28" s="121">
        <v>231</v>
      </c>
      <c r="V28" s="516">
        <f>T28/U28*100-100</f>
        <v>74.458874458874476</v>
      </c>
      <c r="W28" s="470"/>
      <c r="X28" s="396"/>
      <c r="Y28" s="514">
        <v>0.34129999999999999</v>
      </c>
      <c r="Z28" s="464" t="e">
        <f>#REF!*Y28</f>
        <v>#REF!</v>
      </c>
      <c r="AA28" s="445"/>
      <c r="AB28" s="404">
        <v>194.392</v>
      </c>
      <c r="AC28" s="434"/>
      <c r="AD28" s="478">
        <f>T28-U28</f>
        <v>172</v>
      </c>
      <c r="AE28" s="394"/>
      <c r="AG28" s="236">
        <v>8.1600000000000006E-2</v>
      </c>
      <c r="AH28" s="236">
        <f t="shared" si="0"/>
        <v>8.1600000000000006E-2</v>
      </c>
      <c r="AI28" s="235">
        <v>0</v>
      </c>
      <c r="AK28" s="152"/>
      <c r="AL28" s="148"/>
      <c r="AM28" s="238">
        <v>1.034</v>
      </c>
      <c r="AN28" s="241">
        <v>8.1600000000000006E-2</v>
      </c>
      <c r="AO28" s="240" t="e">
        <f>#REF!-AM28</f>
        <v>#REF!</v>
      </c>
      <c r="AQ28" s="241">
        <f>Y28-AN28</f>
        <v>0.25969999999999999</v>
      </c>
      <c r="AR28" s="382">
        <v>194</v>
      </c>
      <c r="AS28" s="388" t="b">
        <f>W28=AR28</f>
        <v>0</v>
      </c>
      <c r="AT28" s="411" t="e">
        <f>ROUND(W28/T28*100-100,2)+#REF!</f>
        <v>#REF!</v>
      </c>
      <c r="AU28"/>
      <c r="AV28"/>
      <c r="AW28" t="e">
        <f>ROUND(T28/W28,3)</f>
        <v>#DIV/0!</v>
      </c>
    </row>
    <row r="29" spans="1:49" s="81" customFormat="1" ht="40.5" customHeight="1" outlineLevel="1" x14ac:dyDescent="0.3">
      <c r="A29" s="587"/>
      <c r="B29" s="587"/>
      <c r="C29" s="585"/>
      <c r="D29" s="588"/>
      <c r="E29" s="588"/>
      <c r="F29" s="583"/>
      <c r="G29" s="591"/>
      <c r="H29" s="583"/>
      <c r="I29" s="583"/>
      <c r="J29" s="583"/>
      <c r="K29" s="541" t="s">
        <v>426</v>
      </c>
      <c r="L29" s="591" t="str">
        <f>VLOOKUP(K29,материалы!$A$5:$G$31,5, FALSE)</f>
        <v>шт.</v>
      </c>
      <c r="M29" s="583">
        <f>VLOOKUP(K29,материалы!$A$5:$G$34,7, FALSE)</f>
        <v>35</v>
      </c>
      <c r="N29" s="591">
        <v>1</v>
      </c>
      <c r="O29" s="583">
        <f t="shared" ref="O29" si="4">ROUND(M29*N29,2)</f>
        <v>35</v>
      </c>
      <c r="P29" s="583"/>
      <c r="Q29" s="583"/>
      <c r="R29" s="584"/>
      <c r="S29" s="584"/>
      <c r="T29" s="584"/>
      <c r="U29" s="121"/>
      <c r="V29" s="516"/>
      <c r="W29" s="392"/>
      <c r="X29" s="396"/>
      <c r="Y29" s="474"/>
      <c r="Z29" s="464"/>
      <c r="AA29" s="445"/>
      <c r="AB29" s="404"/>
      <c r="AC29" s="434"/>
      <c r="AD29" s="482"/>
      <c r="AE29" s="394"/>
      <c r="AG29" s="236"/>
      <c r="AH29" s="236"/>
      <c r="AI29" s="235"/>
      <c r="AK29" s="152"/>
      <c r="AL29" s="148"/>
      <c r="AM29" s="238"/>
      <c r="AN29" s="241"/>
      <c r="AO29" s="240"/>
      <c r="AQ29" s="241"/>
      <c r="AR29" s="382"/>
      <c r="AS29" s="388"/>
      <c r="AT29" s="411"/>
      <c r="AU29"/>
      <c r="AV29"/>
      <c r="AW29"/>
    </row>
    <row r="30" spans="1:49" s="81" customFormat="1" ht="40.700000000000003" customHeight="1" x14ac:dyDescent="0.3">
      <c r="A30" s="587" t="s">
        <v>454</v>
      </c>
      <c r="B30" s="587" t="s">
        <v>32</v>
      </c>
      <c r="C30" s="585" t="s">
        <v>33</v>
      </c>
      <c r="D30" s="588" t="s">
        <v>704</v>
      </c>
      <c r="E30" s="588" t="s">
        <v>169</v>
      </c>
      <c r="F30" s="583">
        <f>VLOOKUP(E30,'условия, ФОТ'!$A$14:$I$28,9, FALSE)</f>
        <v>326.24</v>
      </c>
      <c r="G30" s="591">
        <v>0.5</v>
      </c>
      <c r="H30" s="583">
        <f>ROUND(F30*G30,2)</f>
        <v>163.12</v>
      </c>
      <c r="I30" s="583">
        <f>ROUND(H30*$I$5,2)</f>
        <v>49.26</v>
      </c>
      <c r="J30" s="583">
        <f>H30+I30</f>
        <v>212.38</v>
      </c>
      <c r="K30" s="589"/>
      <c r="L30" s="583"/>
      <c r="M30" s="583"/>
      <c r="N30" s="583"/>
      <c r="O30" s="583"/>
      <c r="P30" s="583">
        <f>J30+O30</f>
        <v>212.38</v>
      </c>
      <c r="Q30" s="583">
        <f>ROUND(P30*$Q$5,2)</f>
        <v>164.59</v>
      </c>
      <c r="R30" s="584">
        <f>ROUND(T30/1.2,2)</f>
        <v>406.67</v>
      </c>
      <c r="S30" s="584">
        <f>ROUND(R30*$S$5,2)</f>
        <v>81.33</v>
      </c>
      <c r="T30" s="584">
        <f>ROUND((P30+Q30)*(1+Y30)*1.2,0)</f>
        <v>488</v>
      </c>
      <c r="U30" s="121">
        <v>289</v>
      </c>
      <c r="V30" s="122">
        <f>T30/U30*100-100</f>
        <v>68.858131487889267</v>
      </c>
      <c r="W30" s="470"/>
      <c r="X30" s="396"/>
      <c r="Y30" s="514">
        <v>7.85E-2</v>
      </c>
      <c r="Z30" s="464" t="e">
        <f>#REF!*Y30</f>
        <v>#REF!</v>
      </c>
      <c r="AA30" s="445"/>
      <c r="AB30" s="404">
        <v>198.52800000000002</v>
      </c>
      <c r="AC30" s="434"/>
      <c r="AD30" s="478">
        <f>T30-U30</f>
        <v>199</v>
      </c>
      <c r="AE30" s="394"/>
      <c r="AG30" s="236">
        <v>-0.14119999999999999</v>
      </c>
      <c r="AH30" s="236">
        <f t="shared" si="0"/>
        <v>1.1412</v>
      </c>
      <c r="AI30" s="235">
        <v>1.18</v>
      </c>
      <c r="AK30" s="152">
        <f>ROUND(W30*AI30,2)</f>
        <v>0</v>
      </c>
      <c r="AL30" s="148"/>
      <c r="AM30" s="238">
        <v>1.034</v>
      </c>
      <c r="AN30" s="241">
        <v>-0.14119999999999999</v>
      </c>
      <c r="AO30" s="240" t="e">
        <f>#REF!-AM30</f>
        <v>#REF!</v>
      </c>
      <c r="AQ30" s="241">
        <f>Y30-AN30</f>
        <v>0.21970000000000001</v>
      </c>
      <c r="AR30" s="382">
        <v>243</v>
      </c>
      <c r="AS30" s="388" t="b">
        <f>W30=AR30</f>
        <v>0</v>
      </c>
      <c r="AT30" s="411" t="e">
        <f>ROUND(W30/T30*100-100,2)+#REF!</f>
        <v>#REF!</v>
      </c>
      <c r="AU30"/>
      <c r="AV30"/>
      <c r="AW30" t="e">
        <f>ROUND(T30/W30,3)</f>
        <v>#DIV/0!</v>
      </c>
    </row>
    <row r="31" spans="1:49" s="81" customFormat="1" ht="39.75" customHeight="1" x14ac:dyDescent="0.3">
      <c r="A31" s="587" t="s">
        <v>455</v>
      </c>
      <c r="B31" s="587" t="s">
        <v>182</v>
      </c>
      <c r="C31" s="585" t="s">
        <v>705</v>
      </c>
      <c r="D31" s="583" t="s">
        <v>34</v>
      </c>
      <c r="E31" s="588" t="s">
        <v>169</v>
      </c>
      <c r="F31" s="583">
        <f>VLOOKUP(E31,'условия, ФОТ'!$A$14:$I$28,9, FALSE)</f>
        <v>326.24</v>
      </c>
      <c r="G31" s="591">
        <v>0.25</v>
      </c>
      <c r="H31" s="583">
        <f>ROUND(F31*G31,2)</f>
        <v>81.56</v>
      </c>
      <c r="I31" s="583">
        <f>ROUND(H31*$I$5,2)</f>
        <v>24.63</v>
      </c>
      <c r="J31" s="583">
        <f>H31+I31</f>
        <v>106.19</v>
      </c>
      <c r="K31" s="589"/>
      <c r="L31" s="583"/>
      <c r="M31" s="583"/>
      <c r="N31" s="583"/>
      <c r="O31" s="583">
        <f>SUM(O32:O34)</f>
        <v>5.6499999999999995</v>
      </c>
      <c r="P31" s="583">
        <f t="shared" ref="P31:P56" si="5">J31+O31</f>
        <v>111.84</v>
      </c>
      <c r="Q31" s="583">
        <f>ROUND(P31*$Q$5,2)</f>
        <v>86.68</v>
      </c>
      <c r="R31" s="584">
        <f>ROUND(T31/1.2,2)</f>
        <v>213.33</v>
      </c>
      <c r="S31" s="584">
        <f>ROUND(R31*$S$5,2)</f>
        <v>42.67</v>
      </c>
      <c r="T31" s="584">
        <f>ROUND((P31+Q31)*(1+Y31)*1.2,0)</f>
        <v>256</v>
      </c>
      <c r="U31" s="121">
        <v>159</v>
      </c>
      <c r="V31" s="122">
        <f t="shared" ref="V31:V35" si="6">T31/U31*100-100</f>
        <v>61.006289308176122</v>
      </c>
      <c r="W31" s="470"/>
      <c r="X31" s="396"/>
      <c r="Y31" s="514">
        <v>7.4200000000000002E-2</v>
      </c>
      <c r="Z31" s="464" t="e">
        <f>#REF!*Y31</f>
        <v>#REF!</v>
      </c>
      <c r="AA31" s="445"/>
      <c r="AB31" s="404">
        <v>123.04600000000001</v>
      </c>
      <c r="AC31" s="434"/>
      <c r="AD31" s="478">
        <f>T31-U31</f>
        <v>97</v>
      </c>
      <c r="AE31" s="394"/>
      <c r="AG31" s="236">
        <v>-9.2999999999999992E-3</v>
      </c>
      <c r="AH31" s="236">
        <f t="shared" si="0"/>
        <v>1.0093000000000001</v>
      </c>
      <c r="AI31" s="235">
        <v>1.044</v>
      </c>
      <c r="AK31" s="152">
        <f>ROUND(W31*AI31,2)</f>
        <v>0</v>
      </c>
      <c r="AL31" s="148"/>
      <c r="AM31" s="238">
        <v>1.034</v>
      </c>
      <c r="AN31" s="241">
        <v>-9.2999999999999992E-3</v>
      </c>
      <c r="AO31" s="240" t="e">
        <f>#REF!-AM31</f>
        <v>#REF!</v>
      </c>
      <c r="AQ31" s="241">
        <f>Y31-AN31</f>
        <v>8.3500000000000005E-2</v>
      </c>
      <c r="AR31" s="382">
        <v>130</v>
      </c>
      <c r="AS31" s="388" t="b">
        <f>W31=AR31</f>
        <v>0</v>
      </c>
      <c r="AT31" s="411" t="e">
        <f>ROUND(W31/T31*100-100,2)+#REF!</f>
        <v>#REF!</v>
      </c>
      <c r="AU31"/>
      <c r="AV31"/>
      <c r="AW31" t="e">
        <f>ROUND(T31/W31,3)</f>
        <v>#DIV/0!</v>
      </c>
    </row>
    <row r="32" spans="1:49" s="81" customFormat="1" ht="24.75" customHeight="1" outlineLevel="1" x14ac:dyDescent="0.3">
      <c r="A32" s="587"/>
      <c r="B32" s="587"/>
      <c r="C32" s="585"/>
      <c r="D32" s="583"/>
      <c r="E32" s="588"/>
      <c r="F32" s="583"/>
      <c r="G32" s="591"/>
      <c r="H32" s="583"/>
      <c r="I32" s="583"/>
      <c r="J32" s="540" t="s">
        <v>385</v>
      </c>
      <c r="K32" s="545" t="s">
        <v>341</v>
      </c>
      <c r="L32" s="591" t="str">
        <f>VLOOKUP(K32,материалы!$A$5:$G$31,5, FALSE)</f>
        <v>кг</v>
      </c>
      <c r="M32" s="583">
        <f>VLOOKUP(K32,материалы!$A$5:$G$34,7, FALSE)</f>
        <v>950</v>
      </c>
      <c r="N32" s="583">
        <v>5.0000000000000001E-3</v>
      </c>
      <c r="O32" s="583">
        <f>ROUND(M32*N32,2)</f>
        <v>4.75</v>
      </c>
      <c r="P32" s="583"/>
      <c r="Q32" s="583"/>
      <c r="R32" s="584"/>
      <c r="S32" s="584"/>
      <c r="T32" s="584"/>
      <c r="U32" s="121"/>
      <c r="V32" s="122"/>
      <c r="W32" s="392"/>
      <c r="X32" s="396"/>
      <c r="Y32" s="474"/>
      <c r="Z32" s="464"/>
      <c r="AA32" s="445"/>
      <c r="AB32" s="404"/>
      <c r="AC32" s="434"/>
      <c r="AD32" s="482"/>
      <c r="AE32" s="394"/>
      <c r="AG32" s="236"/>
      <c r="AH32" s="236"/>
      <c r="AI32" s="235"/>
      <c r="AK32" s="152"/>
      <c r="AL32" s="148"/>
      <c r="AM32" s="238"/>
      <c r="AN32" s="241"/>
      <c r="AO32" s="240"/>
      <c r="AQ32" s="241"/>
      <c r="AR32" s="382"/>
      <c r="AS32" s="388"/>
      <c r="AT32" s="411"/>
      <c r="AU32"/>
      <c r="AV32"/>
      <c r="AW32"/>
    </row>
    <row r="33" spans="1:49" s="81" customFormat="1" ht="18" customHeight="1" outlineLevel="1" x14ac:dyDescent="0.3">
      <c r="A33" s="587"/>
      <c r="B33" s="587"/>
      <c r="C33" s="585"/>
      <c r="D33" s="583"/>
      <c r="E33" s="588"/>
      <c r="F33" s="583"/>
      <c r="G33" s="591"/>
      <c r="H33" s="583"/>
      <c r="I33" s="583"/>
      <c r="J33" s="583"/>
      <c r="K33" s="541" t="s">
        <v>335</v>
      </c>
      <c r="L33" s="591" t="str">
        <f>VLOOKUP(K33,материалы!$A$5:$G$31,5, FALSE)</f>
        <v>кг</v>
      </c>
      <c r="M33" s="583">
        <f>VLOOKUP(K33,материалы!$A$5:$G$34,7, FALSE)</f>
        <v>95</v>
      </c>
      <c r="N33" s="544">
        <v>1E-3</v>
      </c>
      <c r="O33" s="583">
        <f>ROUND(M33*N33,2)</f>
        <v>0.1</v>
      </c>
      <c r="P33" s="583"/>
      <c r="Q33" s="583"/>
      <c r="R33" s="584"/>
      <c r="S33" s="584"/>
      <c r="T33" s="584"/>
      <c r="U33" s="121"/>
      <c r="V33" s="122"/>
      <c r="W33" s="392"/>
      <c r="X33" s="396"/>
      <c r="Y33" s="474"/>
      <c r="Z33" s="464"/>
      <c r="AA33" s="445"/>
      <c r="AB33" s="404"/>
      <c r="AC33" s="434"/>
      <c r="AD33" s="482"/>
      <c r="AE33" s="394"/>
      <c r="AG33" s="236"/>
      <c r="AH33" s="236"/>
      <c r="AI33" s="235"/>
      <c r="AK33" s="152"/>
      <c r="AL33" s="148"/>
      <c r="AM33" s="238"/>
      <c r="AN33" s="241"/>
      <c r="AO33" s="240"/>
      <c r="AQ33" s="241"/>
      <c r="AR33" s="382"/>
      <c r="AS33" s="388"/>
      <c r="AT33" s="411"/>
      <c r="AU33"/>
      <c r="AV33"/>
      <c r="AW33"/>
    </row>
    <row r="34" spans="1:49" s="81" customFormat="1" ht="17.25" customHeight="1" outlineLevel="1" x14ac:dyDescent="0.3">
      <c r="A34" s="587"/>
      <c r="B34" s="587"/>
      <c r="C34" s="585"/>
      <c r="D34" s="583"/>
      <c r="E34" s="588"/>
      <c r="F34" s="583"/>
      <c r="G34" s="591"/>
      <c r="H34" s="583"/>
      <c r="I34" s="583"/>
      <c r="J34" s="583"/>
      <c r="K34" s="541" t="s">
        <v>336</v>
      </c>
      <c r="L34" s="591" t="str">
        <f>VLOOKUP(K34,материалы!$A$5:$G$31,5, FALSE)</f>
        <v>кг</v>
      </c>
      <c r="M34" s="583">
        <f>VLOOKUP(K34,материалы!$A$5:$G$34,7, FALSE)</f>
        <v>80</v>
      </c>
      <c r="N34" s="591">
        <v>0.01</v>
      </c>
      <c r="O34" s="583">
        <f>ROUND(M34*N34,2)</f>
        <v>0.8</v>
      </c>
      <c r="P34" s="583"/>
      <c r="Q34" s="583"/>
      <c r="R34" s="584"/>
      <c r="S34" s="584"/>
      <c r="T34" s="584"/>
      <c r="U34" s="121"/>
      <c r="V34" s="122"/>
      <c r="W34" s="392"/>
      <c r="X34" s="396"/>
      <c r="Y34" s="474"/>
      <c r="Z34" s="464"/>
      <c r="AA34" s="445"/>
      <c r="AB34" s="404"/>
      <c r="AC34" s="434"/>
      <c r="AD34" s="482"/>
      <c r="AE34" s="394"/>
      <c r="AG34" s="236"/>
      <c r="AH34" s="236"/>
      <c r="AI34" s="235"/>
      <c r="AK34" s="152"/>
      <c r="AL34" s="148"/>
      <c r="AM34" s="238"/>
      <c r="AN34" s="241"/>
      <c r="AO34" s="240"/>
      <c r="AQ34" s="241"/>
      <c r="AR34" s="382"/>
      <c r="AS34" s="388"/>
      <c r="AT34" s="411"/>
      <c r="AU34"/>
      <c r="AV34"/>
      <c r="AW34"/>
    </row>
    <row r="35" spans="1:49" s="81" customFormat="1" ht="51" customHeight="1" x14ac:dyDescent="0.3">
      <c r="A35" s="587" t="s">
        <v>456</v>
      </c>
      <c r="B35" s="587" t="s">
        <v>182</v>
      </c>
      <c r="C35" s="585" t="s">
        <v>706</v>
      </c>
      <c r="D35" s="583" t="s">
        <v>34</v>
      </c>
      <c r="E35" s="588" t="s">
        <v>169</v>
      </c>
      <c r="F35" s="583">
        <f>VLOOKUP(E35,'условия, ФОТ'!$A$14:$I$28,9, FALSE)</f>
        <v>326.24</v>
      </c>
      <c r="G35" s="591">
        <v>0.35</v>
      </c>
      <c r="H35" s="583">
        <f t="shared" ref="H35" si="7">ROUND(F35*G35,2)</f>
        <v>114.18</v>
      </c>
      <c r="I35" s="583">
        <f t="shared" ref="I35" si="8">ROUND(H35*$I$5,2)</f>
        <v>34.479999999999997</v>
      </c>
      <c r="J35" s="583">
        <f t="shared" ref="J35" si="9">H35+I35</f>
        <v>148.66</v>
      </c>
      <c r="K35" s="589"/>
      <c r="L35" s="583"/>
      <c r="M35" s="583"/>
      <c r="N35" s="583"/>
      <c r="O35" s="583">
        <f>SUM(O36:O38)</f>
        <v>5.6499999999999995</v>
      </c>
      <c r="P35" s="583">
        <f t="shared" si="5"/>
        <v>154.31</v>
      </c>
      <c r="Q35" s="583">
        <f t="shared" ref="Q35:Q234" si="10">ROUND(P35*$Q$5,2)</f>
        <v>119.59</v>
      </c>
      <c r="R35" s="584">
        <f>ROUND(T35/1.2,2)</f>
        <v>295</v>
      </c>
      <c r="S35" s="584">
        <f t="shared" ref="S35:S235" si="11">ROUND(R35*$S$5,2)</f>
        <v>59</v>
      </c>
      <c r="T35" s="584">
        <f>ROUND((P35+Q35)*(1+Y35)*1.2,0)</f>
        <v>354</v>
      </c>
      <c r="U35" s="121">
        <v>219</v>
      </c>
      <c r="V35" s="122">
        <f t="shared" si="6"/>
        <v>61.643835616438366</v>
      </c>
      <c r="W35" s="470"/>
      <c r="X35" s="396"/>
      <c r="Y35" s="514">
        <v>7.7799999999999994E-2</v>
      </c>
      <c r="Z35" s="464" t="e">
        <f>#REF!*Y35</f>
        <v>#REF!</v>
      </c>
      <c r="AA35" s="445"/>
      <c r="AB35" s="404">
        <v>167.50800000000001</v>
      </c>
      <c r="AC35" s="434"/>
      <c r="AD35" s="478">
        <f>T35-U35</f>
        <v>135</v>
      </c>
      <c r="AE35" s="394"/>
      <c r="AG35" s="236">
        <v>-1.7100000000000001E-2</v>
      </c>
      <c r="AH35" s="236">
        <f t="shared" si="0"/>
        <v>1.0170999999999999</v>
      </c>
      <c r="AI35" s="235">
        <v>1.052</v>
      </c>
      <c r="AK35" s="152">
        <f>ROUND(W35*AI35,2)</f>
        <v>0</v>
      </c>
      <c r="AL35" s="148"/>
      <c r="AM35" s="238">
        <v>1.034</v>
      </c>
      <c r="AN35" s="241">
        <v>-1.7100000000000001E-2</v>
      </c>
      <c r="AO35" s="240" t="e">
        <f>#REF!-AM35</f>
        <v>#REF!</v>
      </c>
      <c r="AQ35" s="241">
        <f>Y35-AN35</f>
        <v>9.4899999999999998E-2</v>
      </c>
      <c r="AR35" s="382">
        <v>179</v>
      </c>
      <c r="AS35" s="388" t="b">
        <f>W35=AR35</f>
        <v>0</v>
      </c>
      <c r="AT35" s="411" t="e">
        <f>ROUND(W35/T35*100-100,2)+#REF!</f>
        <v>#REF!</v>
      </c>
      <c r="AU35"/>
      <c r="AV35"/>
      <c r="AW35" t="e">
        <f>ROUND(T35/W35,3)</f>
        <v>#DIV/0!</v>
      </c>
    </row>
    <row r="36" spans="1:49" s="81" customFormat="1" ht="24" customHeight="1" outlineLevel="1" x14ac:dyDescent="0.3">
      <c r="A36" s="587"/>
      <c r="B36" s="587"/>
      <c r="C36" s="585"/>
      <c r="D36" s="583"/>
      <c r="E36" s="588"/>
      <c r="F36" s="583"/>
      <c r="G36" s="591"/>
      <c r="H36" s="583"/>
      <c r="I36" s="583"/>
      <c r="J36" s="540" t="s">
        <v>385</v>
      </c>
      <c r="K36" s="545" t="s">
        <v>341</v>
      </c>
      <c r="L36" s="591" t="str">
        <f>VLOOKUP(K36,материалы!$A$5:$G$31,5, FALSE)</f>
        <v>кг</v>
      </c>
      <c r="M36" s="583">
        <f>VLOOKUP(K36,материалы!$A$5:$G$34,7, FALSE)</f>
        <v>950</v>
      </c>
      <c r="N36" s="583">
        <v>5.0000000000000001E-3</v>
      </c>
      <c r="O36" s="583">
        <f>ROUND(M36*N36,2)</f>
        <v>4.75</v>
      </c>
      <c r="P36" s="583"/>
      <c r="Q36" s="583"/>
      <c r="R36" s="584"/>
      <c r="S36" s="584"/>
      <c r="T36" s="584"/>
      <c r="U36" s="121"/>
      <c r="V36" s="122"/>
      <c r="W36" s="392"/>
      <c r="X36" s="396"/>
      <c r="Y36" s="474"/>
      <c r="Z36" s="464"/>
      <c r="AA36" s="445"/>
      <c r="AB36" s="404"/>
      <c r="AC36" s="434"/>
      <c r="AD36" s="482"/>
      <c r="AE36" s="394"/>
      <c r="AG36" s="236"/>
      <c r="AH36" s="236"/>
      <c r="AI36" s="235"/>
      <c r="AK36" s="152"/>
      <c r="AL36" s="148"/>
      <c r="AM36" s="238"/>
      <c r="AN36" s="241"/>
      <c r="AO36" s="240"/>
      <c r="AQ36" s="241"/>
      <c r="AR36" s="382"/>
      <c r="AS36" s="388"/>
      <c r="AT36" s="411"/>
      <c r="AU36"/>
      <c r="AV36"/>
      <c r="AW36"/>
    </row>
    <row r="37" spans="1:49" s="81" customFormat="1" ht="15.75" customHeight="1" outlineLevel="1" x14ac:dyDescent="0.3">
      <c r="A37" s="587"/>
      <c r="B37" s="587"/>
      <c r="C37" s="585"/>
      <c r="D37" s="583"/>
      <c r="E37" s="588"/>
      <c r="F37" s="583"/>
      <c r="G37" s="591"/>
      <c r="H37" s="583"/>
      <c r="I37" s="583"/>
      <c r="J37" s="583"/>
      <c r="K37" s="541" t="s">
        <v>335</v>
      </c>
      <c r="L37" s="591" t="str">
        <f>VLOOKUP(K37,материалы!$A$5:$G$31,5, FALSE)</f>
        <v>кг</v>
      </c>
      <c r="M37" s="583">
        <f>VLOOKUP(K37,материалы!$A$5:$G$34,7, FALSE)</f>
        <v>95</v>
      </c>
      <c r="N37" s="544">
        <v>1E-3</v>
      </c>
      <c r="O37" s="583">
        <f t="shared" ref="O37:O38" si="12">ROUND(M37*N37,2)</f>
        <v>0.1</v>
      </c>
      <c r="P37" s="583"/>
      <c r="Q37" s="583"/>
      <c r="R37" s="584"/>
      <c r="S37" s="584"/>
      <c r="T37" s="584"/>
      <c r="U37" s="121"/>
      <c r="V37" s="122"/>
      <c r="W37" s="392"/>
      <c r="X37" s="396"/>
      <c r="Y37" s="474"/>
      <c r="Z37" s="464"/>
      <c r="AA37" s="445"/>
      <c r="AB37" s="404"/>
      <c r="AC37" s="434"/>
      <c r="AD37" s="482"/>
      <c r="AE37" s="394"/>
      <c r="AG37" s="236"/>
      <c r="AH37" s="236"/>
      <c r="AI37" s="235"/>
      <c r="AK37" s="152"/>
      <c r="AL37" s="148"/>
      <c r="AM37" s="238"/>
      <c r="AN37" s="241"/>
      <c r="AO37" s="240"/>
      <c r="AQ37" s="241"/>
      <c r="AR37" s="382"/>
      <c r="AS37" s="388"/>
      <c r="AT37" s="411"/>
      <c r="AU37"/>
      <c r="AV37"/>
      <c r="AW37"/>
    </row>
    <row r="38" spans="1:49" s="81" customFormat="1" ht="18.95" customHeight="1" outlineLevel="1" x14ac:dyDescent="0.3">
      <c r="A38" s="587"/>
      <c r="B38" s="587"/>
      <c r="C38" s="585"/>
      <c r="D38" s="583"/>
      <c r="E38" s="588"/>
      <c r="F38" s="583"/>
      <c r="G38" s="591"/>
      <c r="H38" s="583"/>
      <c r="I38" s="583"/>
      <c r="J38" s="583"/>
      <c r="K38" s="541" t="s">
        <v>336</v>
      </c>
      <c r="L38" s="591" t="str">
        <f>VLOOKUP(K38,материалы!$A$5:$G$31,5, FALSE)</f>
        <v>кг</v>
      </c>
      <c r="M38" s="583">
        <f>VLOOKUP(K38,материалы!$A$5:$G$34,7, FALSE)</f>
        <v>80</v>
      </c>
      <c r="N38" s="591">
        <v>0.01</v>
      </c>
      <c r="O38" s="583">
        <f t="shared" si="12"/>
        <v>0.8</v>
      </c>
      <c r="P38" s="583"/>
      <c r="Q38" s="583"/>
      <c r="R38" s="584"/>
      <c r="S38" s="584"/>
      <c r="T38" s="584"/>
      <c r="U38" s="121"/>
      <c r="V38" s="122"/>
      <c r="W38" s="392"/>
      <c r="X38" s="396"/>
      <c r="Y38" s="474"/>
      <c r="Z38" s="464"/>
      <c r="AA38" s="445"/>
      <c r="AB38" s="404"/>
      <c r="AC38" s="434"/>
      <c r="AD38" s="482"/>
      <c r="AE38" s="394"/>
      <c r="AG38" s="236"/>
      <c r="AH38" s="236"/>
      <c r="AI38" s="235"/>
      <c r="AK38" s="152"/>
      <c r="AL38" s="148"/>
      <c r="AM38" s="238"/>
      <c r="AN38" s="241"/>
      <c r="AO38" s="240"/>
      <c r="AQ38" s="241"/>
      <c r="AR38" s="382"/>
      <c r="AS38" s="388"/>
      <c r="AT38" s="411"/>
      <c r="AU38"/>
      <c r="AV38"/>
      <c r="AW38"/>
    </row>
    <row r="39" spans="1:49" s="81" customFormat="1" ht="31.7" customHeight="1" x14ac:dyDescent="0.3">
      <c r="A39" s="587" t="s">
        <v>457</v>
      </c>
      <c r="B39" s="800" t="s">
        <v>365</v>
      </c>
      <c r="C39" s="800"/>
      <c r="D39" s="583"/>
      <c r="E39" s="588"/>
      <c r="F39" s="583"/>
      <c r="G39" s="591"/>
      <c r="H39" s="583"/>
      <c r="I39" s="583"/>
      <c r="J39" s="583"/>
      <c r="K39" s="589"/>
      <c r="L39" s="583"/>
      <c r="M39" s="583"/>
      <c r="N39" s="583"/>
      <c r="O39" s="583"/>
      <c r="P39" s="583"/>
      <c r="Q39" s="583"/>
      <c r="R39" s="584"/>
      <c r="S39" s="584"/>
      <c r="T39" s="584"/>
      <c r="U39" s="121"/>
      <c r="V39" s="122"/>
      <c r="W39" s="392"/>
      <c r="X39" s="396"/>
      <c r="Y39" s="474"/>
      <c r="Z39" s="464"/>
      <c r="AA39" s="445"/>
      <c r="AB39" s="404"/>
      <c r="AC39" s="434"/>
      <c r="AD39" s="482"/>
      <c r="AE39" s="394"/>
      <c r="AG39" s="236"/>
      <c r="AH39" s="236"/>
      <c r="AI39" s="235"/>
      <c r="AK39" s="152"/>
      <c r="AL39" s="148"/>
      <c r="AM39" s="238"/>
      <c r="AN39" s="241"/>
      <c r="AO39" s="240"/>
      <c r="AQ39" s="241"/>
      <c r="AR39" s="382"/>
      <c r="AS39" s="388"/>
      <c r="AT39" s="411"/>
      <c r="AU39"/>
      <c r="AV39"/>
      <c r="AW39"/>
    </row>
    <row r="40" spans="1:49" s="416" customFormat="1" ht="23.25" customHeight="1" x14ac:dyDescent="0.25">
      <c r="A40" s="804" t="s">
        <v>363</v>
      </c>
      <c r="B40" s="804" t="s">
        <v>356</v>
      </c>
      <c r="C40" s="800" t="s">
        <v>357</v>
      </c>
      <c r="D40" s="797" t="s">
        <v>36</v>
      </c>
      <c r="E40" s="588" t="s">
        <v>174</v>
      </c>
      <c r="F40" s="583">
        <f>VLOOKUP(E40,'условия, ФОТ'!$A$14:$I$28,9, FALSE)</f>
        <v>456.01</v>
      </c>
      <c r="G40" s="583">
        <v>0.2</v>
      </c>
      <c r="H40" s="797">
        <f>ROUND(F40*G40+F41*G41,2)</f>
        <v>156.44999999999999</v>
      </c>
      <c r="I40" s="797">
        <f>ROUND(H40*$I$5,2)</f>
        <v>47.25</v>
      </c>
      <c r="J40" s="797">
        <f>H40+I40</f>
        <v>203.7</v>
      </c>
      <c r="K40" s="814"/>
      <c r="L40" s="797"/>
      <c r="M40" s="797"/>
      <c r="N40" s="797"/>
      <c r="O40" s="797">
        <f>O42</f>
        <v>132.99</v>
      </c>
      <c r="P40" s="797">
        <f>J40+O40</f>
        <v>336.69</v>
      </c>
      <c r="Q40" s="797">
        <f>ROUND(P40*$Q$5,2)</f>
        <v>260.93</v>
      </c>
      <c r="R40" s="798">
        <f>ROUND(T40/1.2,2)</f>
        <v>622.5</v>
      </c>
      <c r="S40" s="798">
        <f>ROUND(R40*$S$5,2)</f>
        <v>124.5</v>
      </c>
      <c r="T40" s="798">
        <f>ROUND((P40+Q40)*(1+Y40)*1.2,0)</f>
        <v>747</v>
      </c>
      <c r="U40" s="825">
        <v>483</v>
      </c>
      <c r="V40" s="420">
        <f>T40/U40*100-100</f>
        <v>54.658385093167681</v>
      </c>
      <c r="W40" s="783"/>
      <c r="X40" s="839"/>
      <c r="Y40" s="775">
        <v>4.2200000000000001E-2</v>
      </c>
      <c r="Z40" s="778" t="e">
        <f>#REF!*Y40</f>
        <v>#REF!</v>
      </c>
      <c r="AA40" s="887"/>
      <c r="AB40" s="414">
        <v>342.25400000000002</v>
      </c>
      <c r="AC40" s="742"/>
      <c r="AD40" s="763">
        <f>T40-U40</f>
        <v>264</v>
      </c>
      <c r="AE40" s="415"/>
      <c r="AG40" s="753">
        <v>0.1615</v>
      </c>
      <c r="AH40" s="753">
        <f t="shared" si="0"/>
        <v>0.1615</v>
      </c>
      <c r="AI40" s="753">
        <v>0</v>
      </c>
      <c r="AK40" s="881"/>
      <c r="AL40" s="417"/>
      <c r="AM40" s="753">
        <v>1.034</v>
      </c>
      <c r="AN40" s="749">
        <v>0.1615</v>
      </c>
      <c r="AO40" s="753" t="e">
        <f>#REF!-AM40</f>
        <v>#REF!</v>
      </c>
      <c r="AQ40" s="749">
        <f>Y40-AN40</f>
        <v>-0.1193</v>
      </c>
      <c r="AR40" s="742">
        <v>342</v>
      </c>
      <c r="AS40" s="883" t="b">
        <f>W40=AR40</f>
        <v>0</v>
      </c>
      <c r="AT40" s="418" t="e">
        <f>ROUND(W40/T40*100-100,2)+#REF!</f>
        <v>#REF!</v>
      </c>
      <c r="AU40" s="419"/>
      <c r="AV40" s="419"/>
      <c r="AW40" s="419" t="e">
        <f>ROUND(T40/W40,3)</f>
        <v>#DIV/0!</v>
      </c>
    </row>
    <row r="41" spans="1:49" s="416" customFormat="1" ht="18" customHeight="1" x14ac:dyDescent="0.25">
      <c r="A41" s="804"/>
      <c r="B41" s="804"/>
      <c r="C41" s="800"/>
      <c r="D41" s="797"/>
      <c r="E41" s="588" t="s">
        <v>169</v>
      </c>
      <c r="F41" s="583">
        <f>VLOOKUP(E41,'условия, ФОТ'!$A$14:$I$28,9, FALSE)</f>
        <v>326.24</v>
      </c>
      <c r="G41" s="583">
        <v>0.2</v>
      </c>
      <c r="H41" s="797"/>
      <c r="I41" s="797"/>
      <c r="J41" s="797"/>
      <c r="K41" s="814"/>
      <c r="L41" s="797"/>
      <c r="M41" s="797"/>
      <c r="N41" s="797"/>
      <c r="O41" s="797"/>
      <c r="P41" s="797"/>
      <c r="Q41" s="797"/>
      <c r="R41" s="798"/>
      <c r="S41" s="798"/>
      <c r="T41" s="798">
        <f>ROUND((P41+Q41)*(1+$R$5)*1.18,0)</f>
        <v>0</v>
      </c>
      <c r="U41" s="826"/>
      <c r="V41" s="420"/>
      <c r="W41" s="783"/>
      <c r="X41" s="839"/>
      <c r="Y41" s="775"/>
      <c r="Z41" s="779"/>
      <c r="AA41" s="888"/>
      <c r="AB41" s="414"/>
      <c r="AC41" s="742"/>
      <c r="AD41" s="764"/>
      <c r="AE41" s="415"/>
      <c r="AG41" s="754"/>
      <c r="AH41" s="754"/>
      <c r="AI41" s="754"/>
      <c r="AK41" s="882"/>
      <c r="AL41" s="417"/>
      <c r="AM41" s="754"/>
      <c r="AN41" s="750"/>
      <c r="AO41" s="754"/>
      <c r="AQ41" s="750"/>
      <c r="AR41" s="742"/>
      <c r="AS41" s="883"/>
      <c r="AT41" s="418"/>
      <c r="AU41" s="419"/>
      <c r="AV41" s="419"/>
      <c r="AW41" s="419"/>
    </row>
    <row r="42" spans="1:49" s="416" customFormat="1" ht="24.75" customHeight="1" outlineLevel="1" x14ac:dyDescent="0.3">
      <c r="A42" s="804"/>
      <c r="B42" s="587"/>
      <c r="C42" s="585"/>
      <c r="D42" s="583"/>
      <c r="E42" s="588"/>
      <c r="F42" s="583"/>
      <c r="G42" s="583"/>
      <c r="H42" s="583"/>
      <c r="I42" s="583"/>
      <c r="J42" s="540" t="s">
        <v>385</v>
      </c>
      <c r="K42" s="541" t="s">
        <v>388</v>
      </c>
      <c r="L42" s="591" t="str">
        <f>VLOOKUP(K42,материалы!$A$5:$G$31,5, FALSE)</f>
        <v>м</v>
      </c>
      <c r="M42" s="583">
        <f>VLOOKUP(K42,материалы!$A$5:$G$34,7, FALSE)</f>
        <v>132.99</v>
      </c>
      <c r="N42" s="591">
        <v>1</v>
      </c>
      <c r="O42" s="583">
        <f t="shared" ref="O42" si="13">ROUND(M42*N42,2)</f>
        <v>132.99</v>
      </c>
      <c r="P42" s="583"/>
      <c r="Q42" s="583"/>
      <c r="R42" s="584"/>
      <c r="S42" s="584"/>
      <c r="T42" s="584"/>
      <c r="U42" s="437"/>
      <c r="V42" s="420"/>
      <c r="W42" s="436"/>
      <c r="X42" s="438"/>
      <c r="Y42" s="475"/>
      <c r="Z42" s="465"/>
      <c r="AA42" s="446"/>
      <c r="AB42" s="414"/>
      <c r="AC42" s="435"/>
      <c r="AD42" s="483"/>
      <c r="AE42" s="415"/>
      <c r="AG42" s="425"/>
      <c r="AH42" s="425"/>
      <c r="AI42" s="425"/>
      <c r="AK42" s="426"/>
      <c r="AL42" s="417"/>
      <c r="AM42" s="425"/>
      <c r="AN42" s="427"/>
      <c r="AO42" s="425"/>
      <c r="AQ42" s="427"/>
      <c r="AR42" s="435"/>
      <c r="AS42" s="429"/>
      <c r="AT42" s="418"/>
      <c r="AU42" s="419"/>
      <c r="AV42" s="419"/>
      <c r="AW42" s="419"/>
    </row>
    <row r="43" spans="1:49" s="81" customFormat="1" ht="24" customHeight="1" x14ac:dyDescent="0.25">
      <c r="A43" s="804"/>
      <c r="B43" s="804" t="s">
        <v>180</v>
      </c>
      <c r="C43" s="800" t="s">
        <v>23</v>
      </c>
      <c r="D43" s="805" t="s">
        <v>24</v>
      </c>
      <c r="E43" s="588" t="s">
        <v>174</v>
      </c>
      <c r="F43" s="583">
        <f>VLOOKUP(E43,'условия, ФОТ'!$A$14:$I$28,9, FALSE)</f>
        <v>456.01</v>
      </c>
      <c r="G43" s="591">
        <v>0.68</v>
      </c>
      <c r="H43" s="797">
        <f>ROUND(F43*G43+F44*G44,2)</f>
        <v>531.92999999999995</v>
      </c>
      <c r="I43" s="797">
        <f>ROUND(H43*$I$5,2)</f>
        <v>160.63999999999999</v>
      </c>
      <c r="J43" s="797">
        <f>H43+I43</f>
        <v>692.56999999999994</v>
      </c>
      <c r="K43" s="814"/>
      <c r="L43" s="797"/>
      <c r="M43" s="797"/>
      <c r="N43" s="797"/>
      <c r="O43" s="797">
        <f>SUM(O45:O51)</f>
        <v>185.07000000000002</v>
      </c>
      <c r="P43" s="797">
        <f>J43+O43</f>
        <v>877.64</v>
      </c>
      <c r="Q43" s="797">
        <f>ROUND(P43*$Q$5,2)</f>
        <v>680.17</v>
      </c>
      <c r="R43" s="798">
        <f>ROUND(T43/1.2,2)</f>
        <v>1753.33</v>
      </c>
      <c r="S43" s="798">
        <f t="shared" ref="S43:S44" si="14">ROUND(R43*$S$5,2)</f>
        <v>350.67</v>
      </c>
      <c r="T43" s="798">
        <f>ROUND((P43+Q43)*(1+Y43)*1.2,0)</f>
        <v>2104</v>
      </c>
      <c r="U43" s="825">
        <v>1190</v>
      </c>
      <c r="V43" s="793">
        <f t="shared" ref="V43" si="15">T43/U43*100-100</f>
        <v>76.806722689075627</v>
      </c>
      <c r="W43" s="782"/>
      <c r="X43" s="837"/>
      <c r="Y43" s="859">
        <v>0.12559999999999999</v>
      </c>
      <c r="Z43" s="776" t="e">
        <f>#REF!*Y43</f>
        <v>#REF!</v>
      </c>
      <c r="AA43" s="445"/>
      <c r="AB43" s="404">
        <v>967.82400000000007</v>
      </c>
      <c r="AC43" s="741"/>
      <c r="AD43" s="763">
        <f>T43-U43</f>
        <v>914</v>
      </c>
      <c r="AE43" s="394"/>
      <c r="AG43" s="751">
        <v>0.1414</v>
      </c>
      <c r="AH43" s="751">
        <f t="shared" si="0"/>
        <v>0.1414</v>
      </c>
      <c r="AI43" s="751">
        <v>0</v>
      </c>
      <c r="AK43" s="879"/>
      <c r="AL43" s="148"/>
      <c r="AM43" s="751">
        <v>1.034</v>
      </c>
      <c r="AN43" s="747">
        <v>0.1414</v>
      </c>
      <c r="AO43" s="751" t="e">
        <f>#REF!-AM43</f>
        <v>#REF!</v>
      </c>
      <c r="AQ43" s="747">
        <f>Y43-AN43</f>
        <v>-1.5800000000000008E-2</v>
      </c>
      <c r="AR43" s="741">
        <v>968</v>
      </c>
      <c r="AS43" s="884" t="b">
        <f>W43=AR43</f>
        <v>0</v>
      </c>
      <c r="AT43" s="411" t="e">
        <f>ROUND(W43/T43*100-100,2)+#REF!</f>
        <v>#REF!</v>
      </c>
      <c r="AU43"/>
      <c r="AV43"/>
      <c r="AW43" t="e">
        <f>ROUND(T43/W43,3)</f>
        <v>#DIV/0!</v>
      </c>
    </row>
    <row r="44" spans="1:49" s="81" customFormat="1" ht="16.5" customHeight="1" x14ac:dyDescent="0.25">
      <c r="A44" s="804"/>
      <c r="B44" s="804"/>
      <c r="C44" s="800"/>
      <c r="D44" s="805"/>
      <c r="E44" s="588" t="s">
        <v>169</v>
      </c>
      <c r="F44" s="583">
        <f>VLOOKUP(E44,'условия, ФОТ'!$A$14:$I$28,9, FALSE)</f>
        <v>326.24</v>
      </c>
      <c r="G44" s="591">
        <v>0.68</v>
      </c>
      <c r="H44" s="797"/>
      <c r="I44" s="797"/>
      <c r="J44" s="797"/>
      <c r="K44" s="814"/>
      <c r="L44" s="797"/>
      <c r="M44" s="797"/>
      <c r="N44" s="797"/>
      <c r="O44" s="797"/>
      <c r="P44" s="797"/>
      <c r="Q44" s="797"/>
      <c r="R44" s="798">
        <f t="shared" ref="R44" si="16">ROUND(T44/1.18,2)</f>
        <v>0</v>
      </c>
      <c r="S44" s="798">
        <f t="shared" si="14"/>
        <v>0</v>
      </c>
      <c r="T44" s="798">
        <f>ROUND((P44+Q44)*(1+$R$5)*1.18,0)</f>
        <v>0</v>
      </c>
      <c r="U44" s="826"/>
      <c r="V44" s="793"/>
      <c r="W44" s="782"/>
      <c r="X44" s="837"/>
      <c r="Y44" s="859"/>
      <c r="Z44" s="777"/>
      <c r="AA44" s="445"/>
      <c r="AB44" s="404"/>
      <c r="AC44" s="741"/>
      <c r="AD44" s="764"/>
      <c r="AE44" s="394"/>
      <c r="AG44" s="752"/>
      <c r="AH44" s="752"/>
      <c r="AI44" s="752"/>
      <c r="AK44" s="880"/>
      <c r="AL44" s="148"/>
      <c r="AM44" s="752"/>
      <c r="AN44" s="748"/>
      <c r="AO44" s="752"/>
      <c r="AQ44" s="748"/>
      <c r="AR44" s="741"/>
      <c r="AS44" s="884"/>
      <c r="AT44" s="411"/>
      <c r="AU44"/>
      <c r="AV44"/>
      <c r="AW44"/>
    </row>
    <row r="45" spans="1:49" s="81" customFormat="1" ht="16.5" customHeight="1" outlineLevel="1" x14ac:dyDescent="0.3">
      <c r="A45" s="804"/>
      <c r="B45" s="587"/>
      <c r="C45" s="585"/>
      <c r="D45" s="588"/>
      <c r="E45" s="588"/>
      <c r="F45" s="583"/>
      <c r="G45" s="591"/>
      <c r="H45" s="583"/>
      <c r="I45" s="583"/>
      <c r="J45" s="540" t="s">
        <v>385</v>
      </c>
      <c r="K45" s="541" t="s">
        <v>329</v>
      </c>
      <c r="L45" s="591" t="str">
        <f>VLOOKUP(K45,материалы!$A$5:$G$31,5, FALSE)</f>
        <v>м3</v>
      </c>
      <c r="M45" s="583">
        <f>VLOOKUP(K45,материалы!$A$5:$G$34,7, FALSE)</f>
        <v>1033.33</v>
      </c>
      <c r="N45" s="591">
        <v>8.7499999999999994E-2</v>
      </c>
      <c r="O45" s="583">
        <f>ROUND(M45*N45,2)</f>
        <v>90.42</v>
      </c>
      <c r="P45" s="583"/>
      <c r="Q45" s="583"/>
      <c r="R45" s="584"/>
      <c r="S45" s="584"/>
      <c r="T45" s="584"/>
      <c r="U45" s="121"/>
      <c r="V45" s="122"/>
      <c r="W45" s="392"/>
      <c r="X45" s="396"/>
      <c r="Y45" s="474"/>
      <c r="Z45" s="464"/>
      <c r="AA45" s="445"/>
      <c r="AB45" s="404"/>
      <c r="AC45" s="434"/>
      <c r="AD45" s="482"/>
      <c r="AE45" s="394"/>
      <c r="AG45" s="236"/>
      <c r="AH45" s="236"/>
      <c r="AI45" s="235"/>
      <c r="AK45" s="152"/>
      <c r="AL45" s="148"/>
      <c r="AM45" s="238"/>
      <c r="AN45" s="241"/>
      <c r="AO45" s="240"/>
      <c r="AQ45" s="241"/>
      <c r="AR45" s="382"/>
      <c r="AS45" s="388"/>
      <c r="AT45" s="411"/>
      <c r="AU45"/>
      <c r="AV45"/>
      <c r="AW45"/>
    </row>
    <row r="46" spans="1:49" s="81" customFormat="1" ht="18.95" customHeight="1" outlineLevel="1" x14ac:dyDescent="0.3">
      <c r="A46" s="804"/>
      <c r="B46" s="587"/>
      <c r="C46" s="585"/>
      <c r="D46" s="588"/>
      <c r="E46" s="588"/>
      <c r="F46" s="583"/>
      <c r="G46" s="591"/>
      <c r="H46" s="583"/>
      <c r="I46" s="583"/>
      <c r="J46" s="583"/>
      <c r="K46" s="541" t="s">
        <v>330</v>
      </c>
      <c r="L46" s="591" t="str">
        <f>VLOOKUP(K46,материалы!$A$5:$G$31,5, FALSE)</f>
        <v>м3</v>
      </c>
      <c r="M46" s="583">
        <f>VLOOKUP(K46,материалы!$A$5:$G$34,7, FALSE)</f>
        <v>116.67</v>
      </c>
      <c r="N46" s="583">
        <v>0.15</v>
      </c>
      <c r="O46" s="583">
        <f t="shared" ref="O46:O51" si="17">ROUND(M46*N46,2)</f>
        <v>17.5</v>
      </c>
      <c r="P46" s="583"/>
      <c r="Q46" s="583"/>
      <c r="R46" s="584"/>
      <c r="S46" s="584"/>
      <c r="T46" s="584"/>
      <c r="U46" s="121"/>
      <c r="V46" s="122"/>
      <c r="W46" s="392"/>
      <c r="X46" s="396"/>
      <c r="Y46" s="474"/>
      <c r="Z46" s="464"/>
      <c r="AA46" s="445"/>
      <c r="AB46" s="404"/>
      <c r="AC46" s="434"/>
      <c r="AD46" s="482"/>
      <c r="AE46" s="394"/>
      <c r="AG46" s="236"/>
      <c r="AH46" s="236"/>
      <c r="AI46" s="235"/>
      <c r="AK46" s="152"/>
      <c r="AL46" s="148"/>
      <c r="AM46" s="238"/>
      <c r="AN46" s="241"/>
      <c r="AO46" s="240"/>
      <c r="AQ46" s="241"/>
      <c r="AR46" s="382"/>
      <c r="AS46" s="388"/>
      <c r="AT46" s="411"/>
      <c r="AU46"/>
      <c r="AV46"/>
      <c r="AW46"/>
    </row>
    <row r="47" spans="1:49" s="81" customFormat="1" ht="42" customHeight="1" outlineLevel="1" x14ac:dyDescent="0.3">
      <c r="A47" s="804"/>
      <c r="B47" s="587"/>
      <c r="C47" s="585"/>
      <c r="D47" s="588"/>
      <c r="E47" s="588"/>
      <c r="F47" s="583"/>
      <c r="G47" s="591"/>
      <c r="H47" s="583"/>
      <c r="I47" s="583"/>
      <c r="J47" s="583"/>
      <c r="K47" s="541" t="s">
        <v>347</v>
      </c>
      <c r="L47" s="591" t="str">
        <f>VLOOKUP(K47,материалы!$A$5:$G$31,5, FALSE)</f>
        <v>кг</v>
      </c>
      <c r="M47" s="583">
        <f>VLOOKUP(K47,материалы!$A$5:$G$34,7, FALSE)</f>
        <v>300</v>
      </c>
      <c r="N47" s="583">
        <v>0.1</v>
      </c>
      <c r="O47" s="583">
        <f t="shared" si="17"/>
        <v>30</v>
      </c>
      <c r="P47" s="583"/>
      <c r="Q47" s="583"/>
      <c r="R47" s="584"/>
      <c r="S47" s="584"/>
      <c r="T47" s="584"/>
      <c r="U47" s="121"/>
      <c r="V47" s="122"/>
      <c r="W47" s="392"/>
      <c r="X47" s="396"/>
      <c r="Y47" s="474"/>
      <c r="Z47" s="464"/>
      <c r="AA47" s="445"/>
      <c r="AB47" s="404"/>
      <c r="AC47" s="434"/>
      <c r="AD47" s="482"/>
      <c r="AE47" s="394"/>
      <c r="AG47" s="236"/>
      <c r="AH47" s="236"/>
      <c r="AI47" s="235"/>
      <c r="AK47" s="152"/>
      <c r="AL47" s="148"/>
      <c r="AM47" s="238"/>
      <c r="AN47" s="241"/>
      <c r="AO47" s="240"/>
      <c r="AQ47" s="241"/>
      <c r="AR47" s="382"/>
      <c r="AS47" s="388"/>
      <c r="AT47" s="411"/>
      <c r="AU47"/>
      <c r="AV47"/>
      <c r="AW47"/>
    </row>
    <row r="48" spans="1:49" s="81" customFormat="1" ht="30.75" customHeight="1" outlineLevel="1" x14ac:dyDescent="0.3">
      <c r="A48" s="804"/>
      <c r="B48" s="587"/>
      <c r="C48" s="585"/>
      <c r="D48" s="588"/>
      <c r="E48" s="588"/>
      <c r="F48" s="583"/>
      <c r="G48" s="591"/>
      <c r="H48" s="583"/>
      <c r="I48" s="583"/>
      <c r="J48" s="583"/>
      <c r="K48" s="541" t="s">
        <v>358</v>
      </c>
      <c r="L48" s="591" t="str">
        <f>VLOOKUP(K48,материалы!$A$5:$G$31,5, FALSE)</f>
        <v>шт.</v>
      </c>
      <c r="M48" s="583">
        <f>VLOOKUP(K48,материалы!$A$5:$G$34,7, FALSE)</f>
        <v>35</v>
      </c>
      <c r="N48" s="583">
        <v>1</v>
      </c>
      <c r="O48" s="583">
        <f t="shared" si="17"/>
        <v>35</v>
      </c>
      <c r="P48" s="583"/>
      <c r="Q48" s="583"/>
      <c r="R48" s="584"/>
      <c r="S48" s="584"/>
      <c r="T48" s="584"/>
      <c r="U48" s="121"/>
      <c r="V48" s="122"/>
      <c r="W48" s="392"/>
      <c r="X48" s="396"/>
      <c r="Y48" s="474"/>
      <c r="Z48" s="464"/>
      <c r="AA48" s="445"/>
      <c r="AB48" s="404"/>
      <c r="AC48" s="434"/>
      <c r="AD48" s="482"/>
      <c r="AE48" s="394"/>
      <c r="AG48" s="236"/>
      <c r="AH48" s="236"/>
      <c r="AI48" s="235"/>
      <c r="AK48" s="152"/>
      <c r="AL48" s="148"/>
      <c r="AM48" s="238"/>
      <c r="AN48" s="241"/>
      <c r="AO48" s="240"/>
      <c r="AQ48" s="241"/>
      <c r="AR48" s="382"/>
      <c r="AS48" s="388"/>
      <c r="AT48" s="411"/>
      <c r="AU48"/>
      <c r="AV48"/>
      <c r="AW48"/>
    </row>
    <row r="49" spans="1:49" s="81" customFormat="1" ht="36" customHeight="1" outlineLevel="1" x14ac:dyDescent="0.3">
      <c r="A49" s="804"/>
      <c r="B49" s="587"/>
      <c r="C49" s="585"/>
      <c r="D49" s="588"/>
      <c r="E49" s="588"/>
      <c r="F49" s="583"/>
      <c r="G49" s="591"/>
      <c r="H49" s="583"/>
      <c r="I49" s="583"/>
      <c r="J49" s="583"/>
      <c r="K49" s="541" t="s">
        <v>348</v>
      </c>
      <c r="L49" s="591" t="str">
        <f>VLOOKUP(K49,материалы!$A$5:$G$31,5, FALSE)</f>
        <v>шт.</v>
      </c>
      <c r="M49" s="583">
        <f>VLOOKUP(K49,материалы!$A$5:$G$34,7, FALSE)</f>
        <v>45</v>
      </c>
      <c r="N49" s="583">
        <v>0.25</v>
      </c>
      <c r="O49" s="583">
        <f t="shared" si="17"/>
        <v>11.25</v>
      </c>
      <c r="P49" s="583"/>
      <c r="Q49" s="583"/>
      <c r="R49" s="584"/>
      <c r="S49" s="584"/>
      <c r="T49" s="584"/>
      <c r="U49" s="121"/>
      <c r="V49" s="122"/>
      <c r="W49" s="392"/>
      <c r="X49" s="396"/>
      <c r="Y49" s="474"/>
      <c r="Z49" s="464"/>
      <c r="AA49" s="445"/>
      <c r="AB49" s="404"/>
      <c r="AC49" s="434"/>
      <c r="AD49" s="482"/>
      <c r="AE49" s="394"/>
      <c r="AG49" s="236"/>
      <c r="AH49" s="236"/>
      <c r="AI49" s="235"/>
      <c r="AK49" s="152"/>
      <c r="AL49" s="148"/>
      <c r="AM49" s="238"/>
      <c r="AN49" s="241"/>
      <c r="AO49" s="240"/>
      <c r="AQ49" s="241"/>
      <c r="AR49" s="382"/>
      <c r="AS49" s="388"/>
      <c r="AT49" s="411"/>
      <c r="AU49"/>
      <c r="AV49"/>
      <c r="AW49"/>
    </row>
    <row r="50" spans="1:49" s="81" customFormat="1" ht="17.25" customHeight="1" outlineLevel="1" x14ac:dyDescent="0.3">
      <c r="A50" s="804"/>
      <c r="B50" s="587"/>
      <c r="C50" s="585"/>
      <c r="D50" s="588"/>
      <c r="E50" s="588"/>
      <c r="F50" s="583"/>
      <c r="G50" s="591"/>
      <c r="H50" s="583"/>
      <c r="I50" s="583"/>
      <c r="J50" s="583"/>
      <c r="K50" s="541" t="s">
        <v>336</v>
      </c>
      <c r="L50" s="591" t="str">
        <f>VLOOKUP(K50,материалы!$A$5:$G$31,5, FALSE)</f>
        <v>кг</v>
      </c>
      <c r="M50" s="583">
        <f>VLOOKUP(K50,материалы!$A$5:$G$34,7, FALSE)</f>
        <v>80</v>
      </c>
      <c r="N50" s="583">
        <v>0.01</v>
      </c>
      <c r="O50" s="583">
        <f t="shared" si="17"/>
        <v>0.8</v>
      </c>
      <c r="P50" s="583"/>
      <c r="Q50" s="583"/>
      <c r="R50" s="584"/>
      <c r="S50" s="584"/>
      <c r="T50" s="584"/>
      <c r="U50" s="121"/>
      <c r="V50" s="122"/>
      <c r="W50" s="392"/>
      <c r="X50" s="396"/>
      <c r="Y50" s="474"/>
      <c r="Z50" s="464"/>
      <c r="AA50" s="445"/>
      <c r="AB50" s="404"/>
      <c r="AC50" s="434"/>
      <c r="AD50" s="482"/>
      <c r="AE50" s="394"/>
      <c r="AG50" s="236"/>
      <c r="AH50" s="236"/>
      <c r="AI50" s="235"/>
      <c r="AK50" s="152"/>
      <c r="AL50" s="148"/>
      <c r="AM50" s="238"/>
      <c r="AN50" s="241"/>
      <c r="AO50" s="240"/>
      <c r="AQ50" s="241"/>
      <c r="AR50" s="382"/>
      <c r="AS50" s="388"/>
      <c r="AT50" s="411"/>
      <c r="AU50"/>
      <c r="AV50"/>
      <c r="AW50"/>
    </row>
    <row r="51" spans="1:49" s="81" customFormat="1" ht="16.5" customHeight="1" outlineLevel="1" x14ac:dyDescent="0.3">
      <c r="A51" s="804"/>
      <c r="B51" s="587"/>
      <c r="C51" s="585"/>
      <c r="D51" s="588"/>
      <c r="E51" s="588"/>
      <c r="F51" s="583"/>
      <c r="G51" s="591"/>
      <c r="H51" s="583"/>
      <c r="I51" s="583"/>
      <c r="J51" s="583"/>
      <c r="K51" s="541" t="s">
        <v>335</v>
      </c>
      <c r="L51" s="591" t="str">
        <f>VLOOKUP(K51,материалы!$A$5:$G$31,5, FALSE)</f>
        <v>кг</v>
      </c>
      <c r="M51" s="583">
        <f>VLOOKUP(K51,материалы!$A$5:$G$34,7, FALSE)</f>
        <v>95</v>
      </c>
      <c r="N51" s="583">
        <v>1E-3</v>
      </c>
      <c r="O51" s="583">
        <f t="shared" si="17"/>
        <v>0.1</v>
      </c>
      <c r="P51" s="583"/>
      <c r="Q51" s="583"/>
      <c r="R51" s="584"/>
      <c r="S51" s="584"/>
      <c r="T51" s="584"/>
      <c r="U51" s="121"/>
      <c r="V51" s="122"/>
      <c r="W51" s="392"/>
      <c r="X51" s="396"/>
      <c r="Y51" s="474"/>
      <c r="Z51" s="464"/>
      <c r="AA51" s="445"/>
      <c r="AB51" s="404"/>
      <c r="AC51" s="434"/>
      <c r="AD51" s="482"/>
      <c r="AE51" s="394"/>
      <c r="AG51" s="236"/>
      <c r="AH51" s="236"/>
      <c r="AI51" s="235"/>
      <c r="AK51" s="152"/>
      <c r="AL51" s="148"/>
      <c r="AM51" s="238"/>
      <c r="AN51" s="241"/>
      <c r="AO51" s="240"/>
      <c r="AQ51" s="241"/>
      <c r="AR51" s="382"/>
      <c r="AS51" s="388"/>
      <c r="AT51" s="411"/>
      <c r="AU51"/>
      <c r="AV51"/>
      <c r="AW51"/>
    </row>
    <row r="52" spans="1:49" s="81" customFormat="1" ht="61.5" customHeight="1" x14ac:dyDescent="0.3">
      <c r="A52" s="804"/>
      <c r="B52" s="587" t="s">
        <v>182</v>
      </c>
      <c r="C52" s="585" t="s">
        <v>705</v>
      </c>
      <c r="D52" s="583" t="s">
        <v>34</v>
      </c>
      <c r="E52" s="588" t="s">
        <v>169</v>
      </c>
      <c r="F52" s="583">
        <f>VLOOKUP(E52,'условия, ФОТ'!$A$14:$I$28,9, FALSE)</f>
        <v>326.24</v>
      </c>
      <c r="G52" s="591">
        <v>0.25</v>
      </c>
      <c r="H52" s="583">
        <f>ROUND(F52*G52,2)</f>
        <v>81.56</v>
      </c>
      <c r="I52" s="583">
        <f>ROUND(H52*$I$5,2)</f>
        <v>24.63</v>
      </c>
      <c r="J52" s="583">
        <f>H52+I52</f>
        <v>106.19</v>
      </c>
      <c r="K52" s="589"/>
      <c r="L52" s="583"/>
      <c r="M52" s="583"/>
      <c r="N52" s="583"/>
      <c r="O52" s="583">
        <f>SUM(O53:O55)</f>
        <v>5.6499999999999995</v>
      </c>
      <c r="P52" s="583">
        <f>J52+O52</f>
        <v>111.84</v>
      </c>
      <c r="Q52" s="583">
        <f>ROUND(P52*$Q$5,2)</f>
        <v>86.68</v>
      </c>
      <c r="R52" s="584">
        <f>ROUND(T52/1.2,2)</f>
        <v>213.33</v>
      </c>
      <c r="S52" s="584">
        <f>ROUND(R52*$S$5,2)</f>
        <v>42.67</v>
      </c>
      <c r="T52" s="584">
        <f>ROUND((P52+Q52)*(1+Y52)*1.2,0)</f>
        <v>256</v>
      </c>
      <c r="U52" s="121">
        <v>159</v>
      </c>
      <c r="V52" s="122">
        <f>T52/U52*100-100</f>
        <v>61.006289308176122</v>
      </c>
      <c r="W52" s="470"/>
      <c r="X52" s="396"/>
      <c r="Y52" s="514">
        <v>7.4200000000000002E-2</v>
      </c>
      <c r="Z52" s="464" t="e">
        <f>#REF!*Y52</f>
        <v>#REF!</v>
      </c>
      <c r="AA52" s="445"/>
      <c r="AB52" s="404">
        <v>123.04600000000001</v>
      </c>
      <c r="AC52" s="434"/>
      <c r="AD52" s="478">
        <f>T52-U52</f>
        <v>97</v>
      </c>
      <c r="AE52" s="394"/>
      <c r="AG52" s="236">
        <v>-9.2999999999999992E-3</v>
      </c>
      <c r="AH52" s="236">
        <f t="shared" si="0"/>
        <v>1.0093000000000001</v>
      </c>
      <c r="AI52" s="235">
        <v>1.044</v>
      </c>
      <c r="AK52" s="152">
        <f>ROUND(W52*AI52,2)</f>
        <v>0</v>
      </c>
      <c r="AL52" s="148"/>
      <c r="AM52" s="238">
        <v>1.034</v>
      </c>
      <c r="AN52" s="241">
        <v>-9.2999999999999992E-3</v>
      </c>
      <c r="AO52" s="240" t="e">
        <f>#REF!-AM52</f>
        <v>#REF!</v>
      </c>
      <c r="AQ52" s="241">
        <f>Y52-AN52</f>
        <v>8.3500000000000005E-2</v>
      </c>
      <c r="AR52" s="382">
        <v>130</v>
      </c>
      <c r="AS52" s="388" t="b">
        <f>W52=AR52</f>
        <v>0</v>
      </c>
      <c r="AT52" s="411" t="e">
        <f>ROUND(W52/T52*100-100,2)+#REF!</f>
        <v>#REF!</v>
      </c>
      <c r="AU52"/>
      <c r="AV52"/>
      <c r="AW52" t="e">
        <f>ROUND(T52/W52,3)</f>
        <v>#DIV/0!</v>
      </c>
    </row>
    <row r="53" spans="1:49" s="81" customFormat="1" ht="27" customHeight="1" x14ac:dyDescent="0.3">
      <c r="A53" s="848" t="s">
        <v>612</v>
      </c>
      <c r="B53" s="848"/>
      <c r="C53" s="848"/>
      <c r="D53" s="848"/>
      <c r="E53" s="848"/>
      <c r="F53" s="848"/>
      <c r="G53" s="848"/>
      <c r="H53" s="848"/>
      <c r="I53" s="848"/>
      <c r="J53" s="540" t="s">
        <v>385</v>
      </c>
      <c r="K53" s="545" t="s">
        <v>341</v>
      </c>
      <c r="L53" s="591" t="str">
        <f>VLOOKUP(K53,материалы!$A$5:$G$31,5, FALSE)</f>
        <v>кг</v>
      </c>
      <c r="M53" s="583">
        <f>VLOOKUP(K53,материалы!$A$5:$G$34,7, FALSE)</f>
        <v>950</v>
      </c>
      <c r="N53" s="583">
        <v>5.0000000000000001E-3</v>
      </c>
      <c r="O53" s="583">
        <f t="shared" ref="O53:O55" si="18">ROUND(M53*N53,2)</f>
        <v>4.75</v>
      </c>
      <c r="P53" s="583"/>
      <c r="Q53" s="583"/>
      <c r="R53" s="584"/>
      <c r="S53" s="584"/>
      <c r="T53" s="584"/>
      <c r="U53" s="121"/>
      <c r="V53" s="122"/>
      <c r="W53" s="392"/>
      <c r="X53" s="396"/>
      <c r="Y53" s="474"/>
      <c r="Z53" s="464"/>
      <c r="AA53" s="445"/>
      <c r="AB53" s="404"/>
      <c r="AC53" s="434"/>
      <c r="AD53" s="482"/>
      <c r="AE53" s="394"/>
      <c r="AG53" s="236"/>
      <c r="AH53" s="236"/>
      <c r="AI53" s="235"/>
      <c r="AK53" s="152"/>
      <c r="AL53" s="148"/>
      <c r="AM53" s="238"/>
      <c r="AN53" s="241"/>
      <c r="AO53" s="240"/>
      <c r="AQ53" s="241"/>
      <c r="AR53" s="382"/>
      <c r="AS53" s="388"/>
      <c r="AT53" s="411"/>
      <c r="AU53"/>
      <c r="AV53"/>
      <c r="AW53"/>
    </row>
    <row r="54" spans="1:49" s="81" customFormat="1" ht="22.5" customHeight="1" x14ac:dyDescent="0.3">
      <c r="A54" s="848"/>
      <c r="B54" s="848"/>
      <c r="C54" s="848"/>
      <c r="D54" s="848"/>
      <c r="E54" s="848"/>
      <c r="F54" s="848"/>
      <c r="G54" s="848"/>
      <c r="H54" s="848"/>
      <c r="I54" s="848"/>
      <c r="J54" s="583"/>
      <c r="K54" s="541" t="s">
        <v>335</v>
      </c>
      <c r="L54" s="591" t="str">
        <f>VLOOKUP(K54,материалы!$A$5:$G$31,5, FALSE)</f>
        <v>кг</v>
      </c>
      <c r="M54" s="583">
        <f>VLOOKUP(K54,материалы!$A$5:$G$34,7, FALSE)</f>
        <v>95</v>
      </c>
      <c r="N54" s="544">
        <f>0.001</f>
        <v>1E-3</v>
      </c>
      <c r="O54" s="583">
        <f t="shared" si="18"/>
        <v>0.1</v>
      </c>
      <c r="P54" s="583"/>
      <c r="Q54" s="583"/>
      <c r="R54" s="584"/>
      <c r="S54" s="584"/>
      <c r="T54" s="584"/>
      <c r="U54" s="121"/>
      <c r="V54" s="122"/>
      <c r="W54" s="392"/>
      <c r="X54" s="396"/>
      <c r="Y54" s="474"/>
      <c r="Z54" s="464"/>
      <c r="AA54" s="445"/>
      <c r="AB54" s="404"/>
      <c r="AC54" s="434"/>
      <c r="AD54" s="482"/>
      <c r="AE54" s="394"/>
      <c r="AG54" s="236"/>
      <c r="AH54" s="236"/>
      <c r="AI54" s="235"/>
      <c r="AK54" s="152"/>
      <c r="AL54" s="148"/>
      <c r="AM54" s="238"/>
      <c r="AN54" s="241"/>
      <c r="AO54" s="240"/>
      <c r="AQ54" s="241"/>
      <c r="AR54" s="382"/>
      <c r="AS54" s="388"/>
      <c r="AT54" s="411"/>
      <c r="AU54"/>
      <c r="AV54"/>
      <c r="AW54"/>
    </row>
    <row r="55" spans="1:49" s="81" customFormat="1" ht="18.75" customHeight="1" x14ac:dyDescent="0.3">
      <c r="A55" s="848"/>
      <c r="B55" s="848"/>
      <c r="C55" s="848"/>
      <c r="D55" s="848"/>
      <c r="E55" s="848"/>
      <c r="F55" s="848"/>
      <c r="G55" s="848"/>
      <c r="H55" s="848"/>
      <c r="I55" s="848"/>
      <c r="J55" s="583"/>
      <c r="K55" s="541" t="s">
        <v>336</v>
      </c>
      <c r="L55" s="591" t="str">
        <f>VLOOKUP(K55,материалы!$A$5:$G$31,5, FALSE)</f>
        <v>кг</v>
      </c>
      <c r="M55" s="583">
        <f>VLOOKUP(K55,материалы!$A$5:$G$34,7, FALSE)</f>
        <v>80</v>
      </c>
      <c r="N55" s="591">
        <f>0.01</f>
        <v>0.01</v>
      </c>
      <c r="O55" s="583">
        <f t="shared" si="18"/>
        <v>0.8</v>
      </c>
      <c r="P55" s="583"/>
      <c r="Q55" s="583"/>
      <c r="R55" s="584"/>
      <c r="S55" s="584"/>
      <c r="T55" s="584"/>
      <c r="U55" s="121"/>
      <c r="V55" s="122"/>
      <c r="W55" s="392"/>
      <c r="X55" s="396"/>
      <c r="Y55" s="474"/>
      <c r="Z55" s="464"/>
      <c r="AA55" s="445"/>
      <c r="AB55" s="404"/>
      <c r="AC55" s="434"/>
      <c r="AD55" s="482"/>
      <c r="AE55" s="394"/>
      <c r="AG55" s="236"/>
      <c r="AH55" s="236"/>
      <c r="AI55" s="235"/>
      <c r="AK55" s="152"/>
      <c r="AL55" s="148"/>
      <c r="AM55" s="238"/>
      <c r="AN55" s="241"/>
      <c r="AO55" s="240"/>
      <c r="AQ55" s="241"/>
      <c r="AR55" s="382"/>
      <c r="AS55" s="388"/>
      <c r="AT55" s="411"/>
      <c r="AU55"/>
      <c r="AV55"/>
      <c r="AW55"/>
    </row>
    <row r="56" spans="1:49" s="416" customFormat="1" ht="37.5" customHeight="1" x14ac:dyDescent="0.3">
      <c r="A56" s="587" t="s">
        <v>458</v>
      </c>
      <c r="B56" s="587" t="s">
        <v>35</v>
      </c>
      <c r="C56" s="585" t="s">
        <v>171</v>
      </c>
      <c r="D56" s="588" t="s">
        <v>36</v>
      </c>
      <c r="E56" s="588" t="s">
        <v>169</v>
      </c>
      <c r="F56" s="583">
        <f>VLOOKUP(E56,'условия, ФОТ'!$A$14:$I$28,9, FALSE)</f>
        <v>326.24</v>
      </c>
      <c r="G56" s="583">
        <v>1</v>
      </c>
      <c r="H56" s="583">
        <f>ROUND(F56*G56,2)</f>
        <v>326.24</v>
      </c>
      <c r="I56" s="583">
        <f>ROUND(H56*$I$5,2)</f>
        <v>98.52</v>
      </c>
      <c r="J56" s="583">
        <f>H56+I56</f>
        <v>424.76</v>
      </c>
      <c r="K56" s="589"/>
      <c r="L56" s="583"/>
      <c r="M56" s="583"/>
      <c r="N56" s="583"/>
      <c r="O56" s="583">
        <f>O57</f>
        <v>132.99</v>
      </c>
      <c r="P56" s="583">
        <f t="shared" si="5"/>
        <v>557.75</v>
      </c>
      <c r="Q56" s="583">
        <f t="shared" si="10"/>
        <v>432.26</v>
      </c>
      <c r="R56" s="584">
        <f>ROUND(T56/1.2,2)</f>
        <v>1031.67</v>
      </c>
      <c r="S56" s="584">
        <f>ROUND(R56*$S$5,2)</f>
        <v>206.33</v>
      </c>
      <c r="T56" s="584">
        <f>ROUND((P56+Q56)*(1+Y56)*1.2,0)</f>
        <v>1238</v>
      </c>
      <c r="U56" s="421">
        <v>810</v>
      </c>
      <c r="V56" s="422">
        <f>T56/U56*100-100</f>
        <v>52.839506172839492</v>
      </c>
      <c r="W56" s="441"/>
      <c r="X56" s="424"/>
      <c r="Y56" s="514">
        <v>4.19E-2</v>
      </c>
      <c r="Z56" s="465" t="e">
        <f>#REF!*Y56</f>
        <v>#REF!</v>
      </c>
      <c r="AA56" s="451"/>
      <c r="AB56" s="414">
        <v>569.73400000000004</v>
      </c>
      <c r="AC56" s="435"/>
      <c r="AD56" s="478">
        <f>T56-U56</f>
        <v>428</v>
      </c>
      <c r="AE56" s="415"/>
      <c r="AG56" s="425">
        <v>2.2700000000000001E-2</v>
      </c>
      <c r="AH56" s="425">
        <f t="shared" si="0"/>
        <v>2.2700000000000001E-2</v>
      </c>
      <c r="AI56" s="425">
        <v>0</v>
      </c>
      <c r="AK56" s="426"/>
      <c r="AL56" s="417"/>
      <c r="AM56" s="425">
        <v>1.034</v>
      </c>
      <c r="AN56" s="427">
        <v>2.2700000000000001E-2</v>
      </c>
      <c r="AO56" s="425" t="e">
        <f>#REF!-AM56</f>
        <v>#REF!</v>
      </c>
      <c r="AQ56" s="427">
        <f>Y56-AN56</f>
        <v>1.9199999999999998E-2</v>
      </c>
      <c r="AR56" s="428">
        <v>570</v>
      </c>
      <c r="AS56" s="429" t="b">
        <f>W56=AR56</f>
        <v>0</v>
      </c>
      <c r="AT56" s="418" t="e">
        <f>ROUND(W56/T56*100-100,2)+#REF!</f>
        <v>#REF!</v>
      </c>
      <c r="AU56" s="419"/>
      <c r="AV56" s="419"/>
      <c r="AW56" s="419" t="e">
        <f>ROUND(T56/W56,3)</f>
        <v>#DIV/0!</v>
      </c>
    </row>
    <row r="57" spans="1:49" s="416" customFormat="1" ht="27" customHeight="1" outlineLevel="1" x14ac:dyDescent="0.3">
      <c r="A57" s="587"/>
      <c r="B57" s="587"/>
      <c r="C57" s="585"/>
      <c r="D57" s="588"/>
      <c r="E57" s="588"/>
      <c r="F57" s="583"/>
      <c r="G57" s="583"/>
      <c r="H57" s="583"/>
      <c r="I57" s="583"/>
      <c r="J57" s="540" t="s">
        <v>385</v>
      </c>
      <c r="K57" s="541" t="s">
        <v>388</v>
      </c>
      <c r="L57" s="591" t="str">
        <f>VLOOKUP(K57,материалы!$A$5:$G$31,5, FALSE)</f>
        <v>м</v>
      </c>
      <c r="M57" s="583">
        <f>VLOOKUP(K57,материалы!$A$5:$G$34,7, FALSE)</f>
        <v>132.99</v>
      </c>
      <c r="N57" s="591">
        <v>1</v>
      </c>
      <c r="O57" s="583">
        <f t="shared" ref="O57" si="19">ROUND(M57*N57,2)</f>
        <v>132.99</v>
      </c>
      <c r="P57" s="583"/>
      <c r="Q57" s="583"/>
      <c r="R57" s="584"/>
      <c r="S57" s="584"/>
      <c r="T57" s="584"/>
      <c r="U57" s="421"/>
      <c r="V57" s="422"/>
      <c r="W57" s="423"/>
      <c r="X57" s="424"/>
      <c r="Y57" s="475"/>
      <c r="Z57" s="465"/>
      <c r="AA57" s="450"/>
      <c r="AB57" s="414"/>
      <c r="AC57" s="435"/>
      <c r="AD57" s="483"/>
      <c r="AE57" s="415"/>
      <c r="AG57" s="425"/>
      <c r="AH57" s="425"/>
      <c r="AI57" s="425"/>
      <c r="AK57" s="426"/>
      <c r="AL57" s="417"/>
      <c r="AM57" s="425"/>
      <c r="AN57" s="427"/>
      <c r="AO57" s="425"/>
      <c r="AQ57" s="427"/>
      <c r="AR57" s="428"/>
      <c r="AS57" s="429"/>
      <c r="AT57" s="418"/>
      <c r="AU57" s="419"/>
      <c r="AV57" s="419"/>
      <c r="AW57" s="419"/>
    </row>
    <row r="58" spans="1:49" s="81" customFormat="1" ht="59.25" customHeight="1" x14ac:dyDescent="0.3">
      <c r="A58" s="587" t="s">
        <v>459</v>
      </c>
      <c r="B58" s="587" t="s">
        <v>183</v>
      </c>
      <c r="C58" s="585" t="s">
        <v>707</v>
      </c>
      <c r="D58" s="588" t="s">
        <v>20</v>
      </c>
      <c r="E58" s="583" t="s">
        <v>37</v>
      </c>
      <c r="F58" s="583">
        <f>VLOOKUP(E58,'условия, ФОТ'!$A$14:$I$28,9, FALSE)</f>
        <v>463.57</v>
      </c>
      <c r="G58" s="583">
        <v>1</v>
      </c>
      <c r="H58" s="583">
        <f>ROUND(F58*G58,2)</f>
        <v>463.57</v>
      </c>
      <c r="I58" s="583">
        <f>ROUND(H58*$I$5,2)</f>
        <v>140</v>
      </c>
      <c r="J58" s="583">
        <f>H58+I58</f>
        <v>603.56999999999994</v>
      </c>
      <c r="K58" s="589"/>
      <c r="L58" s="583"/>
      <c r="M58" s="583"/>
      <c r="N58" s="583"/>
      <c r="O58" s="583"/>
      <c r="P58" s="583">
        <f>J58+O58</f>
        <v>603.56999999999994</v>
      </c>
      <c r="Q58" s="583">
        <f>ROUND(P58*$Q$5,2)</f>
        <v>467.77</v>
      </c>
      <c r="R58" s="584">
        <f>ROUND(T58/1.2,2)</f>
        <v>1236.67</v>
      </c>
      <c r="S58" s="584">
        <f t="shared" si="11"/>
        <v>247.33</v>
      </c>
      <c r="T58" s="584">
        <f>ROUND((P58+Q58)*(1+Y58)*1.2,0)</f>
        <v>1484</v>
      </c>
      <c r="U58" s="437">
        <v>746</v>
      </c>
      <c r="V58" s="122">
        <f>T58/U58*100-100</f>
        <v>98.927613941018762</v>
      </c>
      <c r="W58" s="470"/>
      <c r="X58" s="396"/>
      <c r="Y58" s="514">
        <v>0.154</v>
      </c>
      <c r="Z58" s="464" t="e">
        <f>#REF!*Y58</f>
        <v>#REF!</v>
      </c>
      <c r="AA58" s="445"/>
      <c r="AB58" s="404">
        <v>520.10199999999998</v>
      </c>
      <c r="AC58" s="434"/>
      <c r="AD58" s="478">
        <f>T58-U58</f>
        <v>738</v>
      </c>
      <c r="AE58" s="394"/>
      <c r="AG58" s="236">
        <v>0.1249</v>
      </c>
      <c r="AH58" s="236">
        <f t="shared" si="0"/>
        <v>0.1249</v>
      </c>
      <c r="AI58" s="235">
        <v>0</v>
      </c>
      <c r="AK58" s="152"/>
      <c r="AL58" s="148"/>
      <c r="AM58" s="238">
        <v>1.034</v>
      </c>
      <c r="AN58" s="241">
        <v>0.1249</v>
      </c>
      <c r="AO58" s="240" t="e">
        <f>#REF!-AM58</f>
        <v>#REF!</v>
      </c>
      <c r="AQ58" s="241">
        <f>Y58-AN58</f>
        <v>2.9100000000000001E-2</v>
      </c>
      <c r="AR58" s="382">
        <v>520</v>
      </c>
      <c r="AS58" s="388" t="b">
        <f>W58=AR58</f>
        <v>0</v>
      </c>
      <c r="AT58" s="411" t="e">
        <f>ROUND(W58/T58*100-100,2)+#REF!</f>
        <v>#REF!</v>
      </c>
      <c r="AU58"/>
      <c r="AV58"/>
      <c r="AW58" t="e">
        <f>ROUND(T58/W58,3)</f>
        <v>#DIV/0!</v>
      </c>
    </row>
    <row r="59" spans="1:49" s="81" customFormat="1" ht="59.25" customHeight="1" x14ac:dyDescent="0.3">
      <c r="A59" s="587" t="s">
        <v>460</v>
      </c>
      <c r="B59" s="587" t="s">
        <v>183</v>
      </c>
      <c r="C59" s="585" t="s">
        <v>708</v>
      </c>
      <c r="D59" s="588" t="s">
        <v>20</v>
      </c>
      <c r="E59" s="583" t="s">
        <v>37</v>
      </c>
      <c r="F59" s="583">
        <f>VLOOKUP(E59,'условия, ФОТ'!$A$14:$I$28,9, FALSE)</f>
        <v>463.57</v>
      </c>
      <c r="G59" s="583">
        <f>G58*1.5</f>
        <v>1.5</v>
      </c>
      <c r="H59" s="583">
        <f>ROUND(F59*G59,2)</f>
        <v>695.36</v>
      </c>
      <c r="I59" s="583">
        <f>ROUND(H59*$I$5,2)</f>
        <v>210</v>
      </c>
      <c r="J59" s="583">
        <f>H59+I59</f>
        <v>905.36</v>
      </c>
      <c r="K59" s="589"/>
      <c r="L59" s="583"/>
      <c r="M59" s="583"/>
      <c r="N59" s="583"/>
      <c r="O59" s="583"/>
      <c r="P59" s="583">
        <f>J59+O59</f>
        <v>905.36</v>
      </c>
      <c r="Q59" s="583">
        <f>ROUND(P59*$Q$5,2)</f>
        <v>701.65</v>
      </c>
      <c r="R59" s="584">
        <f>ROUND(T59/1.2,2)</f>
        <v>1854.17</v>
      </c>
      <c r="S59" s="584">
        <f t="shared" si="11"/>
        <v>370.83</v>
      </c>
      <c r="T59" s="584">
        <f>ROUND((P59+Q59)*(1+Y59)*1.2,0)</f>
        <v>2225</v>
      </c>
      <c r="U59" s="437">
        <v>1119</v>
      </c>
      <c r="V59" s="122">
        <f>T59/U59*100-100</f>
        <v>98.838248436103669</v>
      </c>
      <c r="W59" s="470"/>
      <c r="X59" s="396"/>
      <c r="Y59" s="514">
        <v>0.15390000000000001</v>
      </c>
      <c r="Z59" s="464" t="e">
        <f>#REF!*Y59</f>
        <v>#REF!</v>
      </c>
      <c r="AA59" s="445"/>
      <c r="AB59" s="404">
        <v>779.63599999999997</v>
      </c>
      <c r="AC59" s="434"/>
      <c r="AD59" s="478">
        <f>T59-U59</f>
        <v>1106</v>
      </c>
      <c r="AE59" s="394"/>
      <c r="AG59" s="236">
        <v>0.1242</v>
      </c>
      <c r="AH59" s="236">
        <f t="shared" si="0"/>
        <v>0.1242</v>
      </c>
      <c r="AI59" s="235">
        <v>0</v>
      </c>
      <c r="AK59" s="152"/>
      <c r="AL59" s="148"/>
      <c r="AM59" s="238">
        <v>1.034</v>
      </c>
      <c r="AN59" s="241">
        <v>0.1242</v>
      </c>
      <c r="AO59" s="240" t="e">
        <f>#REF!-AM59</f>
        <v>#REF!</v>
      </c>
      <c r="AQ59" s="241">
        <f>Y59-AN59</f>
        <v>2.9700000000000004E-2</v>
      </c>
      <c r="AR59" s="382">
        <v>780</v>
      </c>
      <c r="AS59" s="388" t="b">
        <f>W59=AR59</f>
        <v>0</v>
      </c>
      <c r="AT59" s="411" t="e">
        <f>ROUND(W59/T59*100-100,2)+#REF!</f>
        <v>#REF!</v>
      </c>
      <c r="AU59"/>
      <c r="AV59"/>
      <c r="AW59" t="e">
        <f>ROUND(T59/W59,3)</f>
        <v>#DIV/0!</v>
      </c>
    </row>
    <row r="60" spans="1:49" s="83" customFormat="1" ht="23.25" customHeight="1" x14ac:dyDescent="0.3">
      <c r="A60" s="806" t="s">
        <v>353</v>
      </c>
      <c r="B60" s="807"/>
      <c r="C60" s="807"/>
      <c r="D60" s="807"/>
      <c r="E60" s="807"/>
      <c r="F60" s="807"/>
      <c r="G60" s="807"/>
      <c r="H60" s="807"/>
      <c r="I60" s="807"/>
      <c r="J60" s="807"/>
      <c r="K60" s="807"/>
      <c r="L60" s="807"/>
      <c r="M60" s="807"/>
      <c r="N60" s="807"/>
      <c r="O60" s="807"/>
      <c r="P60" s="807"/>
      <c r="Q60" s="807"/>
      <c r="R60" s="807"/>
      <c r="S60" s="807"/>
      <c r="T60" s="808"/>
      <c r="U60" s="119"/>
      <c r="V60" s="125"/>
      <c r="W60" s="392"/>
      <c r="X60" s="396"/>
      <c r="Y60" s="474"/>
      <c r="Z60" s="464"/>
      <c r="AA60" s="445"/>
      <c r="AB60" s="404"/>
      <c r="AC60" s="390"/>
      <c r="AD60" s="482"/>
      <c r="AE60" s="394"/>
      <c r="AG60" s="162"/>
      <c r="AH60" s="236"/>
      <c r="AI60" s="235"/>
      <c r="AK60" s="152"/>
      <c r="AL60" s="150"/>
      <c r="AM60" s="162"/>
      <c r="AN60" s="242"/>
      <c r="AO60" s="240"/>
      <c r="AQ60" s="241"/>
      <c r="AR60" s="390"/>
      <c r="AS60" s="388"/>
      <c r="AT60" s="411"/>
      <c r="AU60"/>
      <c r="AV60"/>
      <c r="AW60"/>
    </row>
    <row r="61" spans="1:49" ht="26.25" customHeight="1" x14ac:dyDescent="0.3">
      <c r="A61" s="587" t="s">
        <v>461</v>
      </c>
      <c r="B61" s="587" t="s">
        <v>38</v>
      </c>
      <c r="C61" s="585" t="s">
        <v>370</v>
      </c>
      <c r="D61" s="588" t="s">
        <v>39</v>
      </c>
      <c r="E61" s="588" t="s">
        <v>169</v>
      </c>
      <c r="F61" s="583">
        <f>VLOOKUP(E61,'условия, ФОТ'!$A$14:$I$28,9, FALSE)</f>
        <v>326.24</v>
      </c>
      <c r="G61" s="591">
        <v>4.71</v>
      </c>
      <c r="H61" s="583">
        <f>ROUND(F61*G61,2)</f>
        <v>1536.59</v>
      </c>
      <c r="I61" s="583">
        <f>ROUND(H61*$I$5,2)</f>
        <v>464.05</v>
      </c>
      <c r="J61" s="583">
        <f>H61+I61</f>
        <v>2000.6399999999999</v>
      </c>
      <c r="K61" s="589"/>
      <c r="L61" s="583"/>
      <c r="M61" s="583"/>
      <c r="N61" s="583"/>
      <c r="O61" s="583"/>
      <c r="P61" s="583">
        <f>J61+O61</f>
        <v>2000.6399999999999</v>
      </c>
      <c r="Q61" s="583">
        <f t="shared" si="10"/>
        <v>1550.5</v>
      </c>
      <c r="R61" s="584">
        <f>ROUND(T61/1.2,2)</f>
        <v>3824.17</v>
      </c>
      <c r="S61" s="584">
        <f>ROUND(R61*$S$5,2)</f>
        <v>764.83</v>
      </c>
      <c r="T61" s="584">
        <f>ROUND((P61+Q61)*(1+Y61)*1.2,0)</f>
        <v>4589</v>
      </c>
      <c r="U61" s="121">
        <v>2721</v>
      </c>
      <c r="V61" s="122">
        <f>T61/U61*100-100</f>
        <v>68.651231165012859</v>
      </c>
      <c r="W61" s="470"/>
      <c r="X61" s="396"/>
      <c r="Y61" s="514">
        <v>7.6999999999999999E-2</v>
      </c>
      <c r="Z61" s="464" t="e">
        <f>#REF!*Y61</f>
        <v>#REF!</v>
      </c>
      <c r="AB61" s="404">
        <v>1867.404</v>
      </c>
      <c r="AC61" s="434"/>
      <c r="AD61" s="478">
        <f>T61-U61</f>
        <v>1868</v>
      </c>
      <c r="AE61" s="394"/>
      <c r="AG61" s="237">
        <v>-0.14249999999999999</v>
      </c>
      <c r="AH61" s="236">
        <f t="shared" si="0"/>
        <v>1.1425000000000001</v>
      </c>
      <c r="AI61" s="235">
        <v>1.181</v>
      </c>
      <c r="AK61" s="152">
        <f>ROUND(W61*AI61,2)</f>
        <v>0</v>
      </c>
      <c r="AM61" s="239">
        <v>1.034</v>
      </c>
      <c r="AN61" s="243">
        <v>-0.14249999999999999</v>
      </c>
      <c r="AO61" s="240" t="e">
        <f>#REF!-AM61</f>
        <v>#REF!</v>
      </c>
      <c r="AQ61" s="241">
        <f>Y61-AN61</f>
        <v>0.21949999999999997</v>
      </c>
      <c r="AR61" s="382">
        <v>2286</v>
      </c>
      <c r="AS61" s="388" t="b">
        <f>W61=AR61</f>
        <v>0</v>
      </c>
      <c r="AT61" s="411" t="e">
        <f>ROUND(W61/T61*100-100,2)+#REF!</f>
        <v>#REF!</v>
      </c>
      <c r="AW61" t="e">
        <f>ROUND(T61/W61,3)</f>
        <v>#DIV/0!</v>
      </c>
    </row>
    <row r="62" spans="1:49" ht="18.95" customHeight="1" x14ac:dyDescent="0.3">
      <c r="A62" s="587" t="s">
        <v>462</v>
      </c>
      <c r="B62" s="587" t="s">
        <v>35</v>
      </c>
      <c r="C62" s="585" t="s">
        <v>175</v>
      </c>
      <c r="D62" s="588" t="s">
        <v>39</v>
      </c>
      <c r="E62" s="588" t="s">
        <v>174</v>
      </c>
      <c r="F62" s="583">
        <f>VLOOKUP(E62,'условия, ФОТ'!$A$14:$I$28,9, FALSE)</f>
        <v>456.01</v>
      </c>
      <c r="G62" s="583">
        <v>0.5</v>
      </c>
      <c r="H62" s="583">
        <f>ROUND(F62*G62,2)</f>
        <v>228.01</v>
      </c>
      <c r="I62" s="583">
        <f>ROUND(H62*$I$5,2)</f>
        <v>68.86</v>
      </c>
      <c r="J62" s="583">
        <f>H62+I62</f>
        <v>296.87</v>
      </c>
      <c r="K62" s="589"/>
      <c r="L62" s="583"/>
      <c r="M62" s="583"/>
      <c r="N62" s="583"/>
      <c r="O62" s="583">
        <f>SUM(O63:O64)</f>
        <v>111</v>
      </c>
      <c r="P62" s="583">
        <f>J62+O62</f>
        <v>407.87</v>
      </c>
      <c r="Q62" s="583">
        <f t="shared" si="10"/>
        <v>316.10000000000002</v>
      </c>
      <c r="R62" s="584">
        <f>ROUND(T62/1.2,2)</f>
        <v>879.17</v>
      </c>
      <c r="S62" s="584">
        <f>ROUND(R62*$S$5,2)</f>
        <v>175.83</v>
      </c>
      <c r="T62" s="584">
        <f>ROUND((P62+Q62)*(1+Y62)*1.2,0)</f>
        <v>1055</v>
      </c>
      <c r="U62" s="121">
        <v>622</v>
      </c>
      <c r="V62" s="122">
        <f t="shared" ref="V62:V69" si="20">T62/U62*100-100</f>
        <v>69.614147909967841</v>
      </c>
      <c r="W62" s="470"/>
      <c r="X62" s="396"/>
      <c r="Y62" s="514">
        <v>0.2145</v>
      </c>
      <c r="Z62" s="464" t="e">
        <f>#REF!*Y62</f>
        <v>#REF!</v>
      </c>
      <c r="AB62" s="404">
        <v>508.72800000000001</v>
      </c>
      <c r="AC62" s="434"/>
      <c r="AD62" s="478">
        <f>T62-U62</f>
        <v>433</v>
      </c>
      <c r="AE62" s="394"/>
      <c r="AG62" s="237">
        <v>0.2429</v>
      </c>
      <c r="AH62" s="236">
        <f t="shared" si="0"/>
        <v>0.2429</v>
      </c>
      <c r="AI62" s="235">
        <v>0</v>
      </c>
      <c r="AK62" s="152"/>
      <c r="AM62" s="239">
        <v>1.034</v>
      </c>
      <c r="AN62" s="243">
        <v>0.2429</v>
      </c>
      <c r="AO62" s="240" t="e">
        <f>#REF!-AM62</f>
        <v>#REF!</v>
      </c>
      <c r="AQ62" s="241">
        <f>Y62-AN62</f>
        <v>-2.8400000000000009E-2</v>
      </c>
      <c r="AR62" s="382">
        <v>509</v>
      </c>
      <c r="AS62" s="388" t="b">
        <f>W62=AR62</f>
        <v>0</v>
      </c>
      <c r="AT62" s="411" t="e">
        <f>ROUND(W62/T62*100-100,2)+#REF!</f>
        <v>#REF!</v>
      </c>
      <c r="AW62" t="e">
        <f>ROUND(T62/W62,3)</f>
        <v>#DIV/0!</v>
      </c>
    </row>
    <row r="63" spans="1:49" ht="18.95" customHeight="1" outlineLevel="1" x14ac:dyDescent="0.3">
      <c r="A63" s="587"/>
      <c r="B63" s="587"/>
      <c r="C63" s="585"/>
      <c r="D63" s="588"/>
      <c r="E63" s="588"/>
      <c r="F63" s="583"/>
      <c r="G63" s="583"/>
      <c r="H63" s="583"/>
      <c r="I63" s="583"/>
      <c r="J63" s="540" t="s">
        <v>385</v>
      </c>
      <c r="K63" s="541" t="s">
        <v>371</v>
      </c>
      <c r="L63" s="591" t="str">
        <f>VLOOKUP(K63,материалы!$A$5:$G$31,5, FALSE)</f>
        <v>шт.</v>
      </c>
      <c r="M63" s="583">
        <f>VLOOKUP(K63,материалы!$A$5:$G$34,7, FALSE)</f>
        <v>50</v>
      </c>
      <c r="N63" s="591">
        <v>2</v>
      </c>
      <c r="O63" s="583">
        <f t="shared" ref="O63:O64" si="21">ROUND(M63*N63,2)</f>
        <v>100</v>
      </c>
      <c r="P63" s="583"/>
      <c r="Q63" s="583"/>
      <c r="R63" s="584"/>
      <c r="S63" s="584"/>
      <c r="T63" s="584"/>
      <c r="U63" s="121"/>
      <c r="V63" s="122"/>
      <c r="W63" s="470"/>
      <c r="X63" s="396"/>
      <c r="Y63" s="474"/>
      <c r="Z63" s="464"/>
      <c r="AC63" s="434"/>
      <c r="AD63" s="482"/>
      <c r="AE63" s="394"/>
      <c r="AG63" s="237"/>
      <c r="AH63" s="236"/>
      <c r="AI63" s="235"/>
      <c r="AK63" s="152"/>
      <c r="AM63" s="239"/>
      <c r="AN63" s="243"/>
      <c r="AO63" s="240"/>
      <c r="AQ63" s="241"/>
      <c r="AR63" s="382"/>
      <c r="AT63" s="411"/>
    </row>
    <row r="64" spans="1:49" ht="18.95" customHeight="1" outlineLevel="1" x14ac:dyDescent="0.3">
      <c r="A64" s="587"/>
      <c r="B64" s="587"/>
      <c r="C64" s="585"/>
      <c r="D64" s="588"/>
      <c r="E64" s="588"/>
      <c r="F64" s="583"/>
      <c r="G64" s="583"/>
      <c r="H64" s="583"/>
      <c r="I64" s="583"/>
      <c r="J64" s="583"/>
      <c r="K64" s="541" t="s">
        <v>372</v>
      </c>
      <c r="L64" s="591" t="str">
        <f>VLOOKUP(K64,материалы!$A$5:$G$31,5, FALSE)</f>
        <v>кг</v>
      </c>
      <c r="M64" s="583">
        <f>VLOOKUP(K64,материалы!$A$5:$G$34,7, FALSE)</f>
        <v>220</v>
      </c>
      <c r="N64" s="591">
        <v>0.05</v>
      </c>
      <c r="O64" s="583">
        <f t="shared" si="21"/>
        <v>11</v>
      </c>
      <c r="P64" s="583"/>
      <c r="Q64" s="583"/>
      <c r="R64" s="584"/>
      <c r="S64" s="584"/>
      <c r="T64" s="584"/>
      <c r="U64" s="121"/>
      <c r="V64" s="122"/>
      <c r="W64" s="470"/>
      <c r="X64" s="396"/>
      <c r="Y64" s="474"/>
      <c r="Z64" s="464"/>
      <c r="AC64" s="434"/>
      <c r="AD64" s="482"/>
      <c r="AE64" s="394"/>
      <c r="AG64" s="237"/>
      <c r="AH64" s="236"/>
      <c r="AI64" s="235"/>
      <c r="AK64" s="152"/>
      <c r="AM64" s="239"/>
      <c r="AN64" s="243"/>
      <c r="AO64" s="240"/>
      <c r="AQ64" s="241"/>
      <c r="AR64" s="382"/>
      <c r="AT64" s="411"/>
    </row>
    <row r="65" spans="1:49" ht="42" customHeight="1" x14ac:dyDescent="0.3">
      <c r="A65" s="587" t="s">
        <v>463</v>
      </c>
      <c r="B65" s="587" t="s">
        <v>349</v>
      </c>
      <c r="C65" s="585" t="s">
        <v>374</v>
      </c>
      <c r="D65" s="588" t="s">
        <v>350</v>
      </c>
      <c r="E65" s="588" t="s">
        <v>169</v>
      </c>
      <c r="F65" s="583">
        <f>VLOOKUP(E65,'условия, ФОТ'!$A$14:$I$28,9, FALSE)</f>
        <v>326.24</v>
      </c>
      <c r="G65" s="591">
        <f>1.45/2</f>
        <v>0.72499999999999998</v>
      </c>
      <c r="H65" s="583">
        <f t="shared" ref="H65:H68" si="22">ROUND(F65*G65,2)</f>
        <v>236.52</v>
      </c>
      <c r="I65" s="583">
        <f t="shared" ref="I65:I68" si="23">ROUND(H65*$I$5,2)</f>
        <v>71.430000000000007</v>
      </c>
      <c r="J65" s="583">
        <f t="shared" ref="J65:J68" si="24">H65+I65</f>
        <v>307.95000000000005</v>
      </c>
      <c r="K65" s="589"/>
      <c r="L65" s="583"/>
      <c r="M65" s="583"/>
      <c r="N65" s="583"/>
      <c r="O65" s="583"/>
      <c r="P65" s="583">
        <f t="shared" ref="P65:P68" si="25">J65+O65</f>
        <v>307.95000000000005</v>
      </c>
      <c r="Q65" s="583">
        <f t="shared" ref="Q65:Q68" si="26">ROUND(P65*$Q$5,2)</f>
        <v>238.66</v>
      </c>
      <c r="R65" s="584">
        <f>ROUND(T65/1.2,2)</f>
        <v>589.16999999999996</v>
      </c>
      <c r="S65" s="584">
        <f>ROUND(R65*$S$5,2)</f>
        <v>117.83</v>
      </c>
      <c r="T65" s="584">
        <f>ROUND((P65+Q65)*(1+Y65)*1.2,0)</f>
        <v>707</v>
      </c>
      <c r="U65" s="121">
        <v>435</v>
      </c>
      <c r="V65" s="122">
        <f>T65/U65*100-100</f>
        <v>62.528735632183896</v>
      </c>
      <c r="W65" s="470"/>
      <c r="X65" s="396"/>
      <c r="Y65" s="514">
        <v>7.7399999999999997E-2</v>
      </c>
      <c r="Z65" s="464" t="e">
        <f>#REF!*Y65</f>
        <v>#REF!</v>
      </c>
      <c r="AB65" s="404">
        <v>324.67599999999999</v>
      </c>
      <c r="AC65" s="434"/>
      <c r="AD65" s="478">
        <f>T65-U65</f>
        <v>272</v>
      </c>
      <c r="AE65" s="394"/>
      <c r="AG65" s="237">
        <v>-3.1399999999999997E-2</v>
      </c>
      <c r="AH65" s="236">
        <f t="shared" si="0"/>
        <v>1.0314000000000001</v>
      </c>
      <c r="AI65" s="235">
        <v>1.0660000000000001</v>
      </c>
      <c r="AK65" s="152">
        <f>ROUND(W65*AI65,2)</f>
        <v>0</v>
      </c>
      <c r="AM65" s="239">
        <v>1.034</v>
      </c>
      <c r="AN65" s="243">
        <v>-3.1399999999999997E-2</v>
      </c>
      <c r="AO65" s="240" t="e">
        <f>#REF!-AM65</f>
        <v>#REF!</v>
      </c>
      <c r="AQ65" s="241">
        <f>Y65-AN65</f>
        <v>0.10879999999999999</v>
      </c>
      <c r="AR65" s="382">
        <v>352</v>
      </c>
      <c r="AS65" s="388" t="b">
        <f>W65=AR65</f>
        <v>0</v>
      </c>
      <c r="AT65" s="411" t="e">
        <f>ROUND(W65/T65*100-100,2)+#REF!</f>
        <v>#REF!</v>
      </c>
      <c r="AW65" t="e">
        <f>ROUND(T65/W65,3)</f>
        <v>#DIV/0!</v>
      </c>
    </row>
    <row r="66" spans="1:49" ht="39.75" customHeight="1" x14ac:dyDescent="0.3">
      <c r="A66" s="587" t="s">
        <v>464</v>
      </c>
      <c r="B66" s="587" t="s">
        <v>349</v>
      </c>
      <c r="C66" s="585" t="s">
        <v>375</v>
      </c>
      <c r="D66" s="588" t="s">
        <v>350</v>
      </c>
      <c r="E66" s="588" t="s">
        <v>169</v>
      </c>
      <c r="F66" s="583">
        <f>VLOOKUP(E66,'условия, ФОТ'!$A$14:$I$28,9, FALSE)</f>
        <v>326.24</v>
      </c>
      <c r="G66" s="583">
        <v>1.45</v>
      </c>
      <c r="H66" s="583">
        <f t="shared" si="22"/>
        <v>473.05</v>
      </c>
      <c r="I66" s="583">
        <f t="shared" si="23"/>
        <v>142.86000000000001</v>
      </c>
      <c r="J66" s="583">
        <f t="shared" si="24"/>
        <v>615.91000000000008</v>
      </c>
      <c r="K66" s="589"/>
      <c r="L66" s="583"/>
      <c r="M66" s="583"/>
      <c r="N66" s="583"/>
      <c r="O66" s="583"/>
      <c r="P66" s="583">
        <f t="shared" si="25"/>
        <v>615.91000000000008</v>
      </c>
      <c r="Q66" s="583">
        <f t="shared" si="26"/>
        <v>477.33</v>
      </c>
      <c r="R66" s="584">
        <f>ROUND(T66/1.2,2)</f>
        <v>1177.5</v>
      </c>
      <c r="S66" s="584">
        <f t="shared" ref="S66:S67" si="27">ROUND(R66*$S$5,2)</f>
        <v>235.5</v>
      </c>
      <c r="T66" s="584">
        <f>ROUND((P66+Q66)*(1+Y66)*1.2,0)</f>
        <v>1413</v>
      </c>
      <c r="U66" s="121">
        <v>869</v>
      </c>
      <c r="V66" s="122">
        <f t="shared" ref="V66:V68" si="28">T66/U66*100-100</f>
        <v>62.60069044879171</v>
      </c>
      <c r="W66" s="470"/>
      <c r="X66" s="396"/>
      <c r="Y66" s="514">
        <v>7.7399999999999997E-2</v>
      </c>
      <c r="Z66" s="464" t="e">
        <f>#REF!*Y66</f>
        <v>#REF!</v>
      </c>
      <c r="AB66" s="404">
        <v>650.38599999999997</v>
      </c>
      <c r="AC66" s="434"/>
      <c r="AD66" s="478">
        <f>T66-U66</f>
        <v>544</v>
      </c>
      <c r="AE66" s="394"/>
      <c r="AG66" s="237">
        <v>-2.98E-2</v>
      </c>
      <c r="AH66" s="236">
        <f t="shared" si="0"/>
        <v>1.0298</v>
      </c>
      <c r="AI66" s="235">
        <v>1.0649999999999999</v>
      </c>
      <c r="AK66" s="152">
        <f>ROUND(W66*AI66,2)</f>
        <v>0</v>
      </c>
      <c r="AM66" s="239">
        <v>1.034</v>
      </c>
      <c r="AN66" s="243">
        <v>-2.98E-2</v>
      </c>
      <c r="AO66" s="240" t="e">
        <f>#REF!-AM66</f>
        <v>#REF!</v>
      </c>
      <c r="AQ66" s="241">
        <f>Y66-AN66</f>
        <v>0.10719999999999999</v>
      </c>
      <c r="AR66" s="382">
        <v>704</v>
      </c>
      <c r="AS66" s="388" t="b">
        <f>W66=AR66</f>
        <v>0</v>
      </c>
      <c r="AT66" s="411" t="e">
        <f>ROUND(W66/T66*100-100,2)+#REF!</f>
        <v>#REF!</v>
      </c>
      <c r="AW66" t="e">
        <f>ROUND(T66/W66,3)</f>
        <v>#DIV/0!</v>
      </c>
    </row>
    <row r="67" spans="1:49" ht="44.25" customHeight="1" x14ac:dyDescent="0.3">
      <c r="A67" s="587" t="s">
        <v>465</v>
      </c>
      <c r="B67" s="587" t="s">
        <v>351</v>
      </c>
      <c r="C67" s="585" t="s">
        <v>376</v>
      </c>
      <c r="D67" s="588" t="s">
        <v>350</v>
      </c>
      <c r="E67" s="588" t="s">
        <v>169</v>
      </c>
      <c r="F67" s="583">
        <f>VLOOKUP(E67,'условия, ФОТ'!$A$14:$I$28,9, FALSE)</f>
        <v>326.24</v>
      </c>
      <c r="G67" s="591">
        <f>G68-G66+G65</f>
        <v>2.7749999999999999</v>
      </c>
      <c r="H67" s="583">
        <f t="shared" si="22"/>
        <v>905.32</v>
      </c>
      <c r="I67" s="583">
        <f t="shared" si="23"/>
        <v>273.41000000000003</v>
      </c>
      <c r="J67" s="583">
        <f t="shared" si="24"/>
        <v>1178.73</v>
      </c>
      <c r="K67" s="589"/>
      <c r="L67" s="583"/>
      <c r="M67" s="583"/>
      <c r="N67" s="583"/>
      <c r="O67" s="583"/>
      <c r="P67" s="583">
        <f t="shared" si="25"/>
        <v>1178.73</v>
      </c>
      <c r="Q67" s="583">
        <f t="shared" si="26"/>
        <v>913.52</v>
      </c>
      <c r="R67" s="584">
        <f>ROUND(T67/1.2,2)</f>
        <v>2252.5</v>
      </c>
      <c r="S67" s="584">
        <f t="shared" si="27"/>
        <v>450.5</v>
      </c>
      <c r="T67" s="584">
        <f>ROUND((P67+Q67)*(1+Y67)*1.2,0)</f>
        <v>2703</v>
      </c>
      <c r="U67" s="121">
        <v>1662</v>
      </c>
      <c r="V67" s="122">
        <f t="shared" si="28"/>
        <v>62.63537906137185</v>
      </c>
      <c r="W67" s="470"/>
      <c r="X67" s="396"/>
      <c r="Y67" s="514">
        <v>7.6399999999999996E-2</v>
      </c>
      <c r="Z67" s="464" t="e">
        <f>#REF!*Y67</f>
        <v>#REF!</v>
      </c>
      <c r="AB67" s="404">
        <v>1244.9360000000001</v>
      </c>
      <c r="AC67" s="434"/>
      <c r="AD67" s="478">
        <f>T67-U67</f>
        <v>1041</v>
      </c>
      <c r="AE67" s="394"/>
      <c r="AG67" s="237">
        <v>-2.9700000000000001E-2</v>
      </c>
      <c r="AH67" s="236">
        <f t="shared" si="0"/>
        <v>1.0297000000000001</v>
      </c>
      <c r="AI67" s="235">
        <v>1.0649999999999999</v>
      </c>
      <c r="AK67" s="152">
        <f>ROUND(W67*AI67,2)</f>
        <v>0</v>
      </c>
      <c r="AM67" s="239">
        <v>1.034</v>
      </c>
      <c r="AN67" s="243">
        <v>-2.9700000000000001E-2</v>
      </c>
      <c r="AO67" s="240" t="e">
        <f>#REF!-AM67</f>
        <v>#REF!</v>
      </c>
      <c r="AQ67" s="241">
        <f>Y67-AN67</f>
        <v>0.1061</v>
      </c>
      <c r="AR67" s="382">
        <v>1346</v>
      </c>
      <c r="AS67" s="388" t="b">
        <f>W67=AR67</f>
        <v>0</v>
      </c>
      <c r="AT67" s="411" t="e">
        <f>ROUND(W67/T67*100-100,2)+#REF!</f>
        <v>#REF!</v>
      </c>
      <c r="AW67" t="e">
        <f>ROUND(T67/W67,3)</f>
        <v>#DIV/0!</v>
      </c>
    </row>
    <row r="68" spans="1:49" ht="39.75" customHeight="1" x14ac:dyDescent="0.3">
      <c r="A68" s="587" t="s">
        <v>466</v>
      </c>
      <c r="B68" s="587" t="s">
        <v>351</v>
      </c>
      <c r="C68" s="585" t="s">
        <v>607</v>
      </c>
      <c r="D68" s="588" t="s">
        <v>350</v>
      </c>
      <c r="E68" s="588" t="s">
        <v>169</v>
      </c>
      <c r="F68" s="583">
        <f>VLOOKUP(E68,'условия, ФОТ'!$A$14:$I$28,9, FALSE)</f>
        <v>326.24</v>
      </c>
      <c r="G68" s="583">
        <v>3.5</v>
      </c>
      <c r="H68" s="583">
        <f t="shared" si="22"/>
        <v>1141.8399999999999</v>
      </c>
      <c r="I68" s="583">
        <f t="shared" si="23"/>
        <v>344.84</v>
      </c>
      <c r="J68" s="583">
        <f t="shared" si="24"/>
        <v>1486.6799999999998</v>
      </c>
      <c r="K68" s="589"/>
      <c r="L68" s="583"/>
      <c r="M68" s="583"/>
      <c r="N68" s="583"/>
      <c r="O68" s="583"/>
      <c r="P68" s="583">
        <f t="shared" si="25"/>
        <v>1486.6799999999998</v>
      </c>
      <c r="Q68" s="583">
        <f t="shared" si="26"/>
        <v>1152.18</v>
      </c>
      <c r="R68" s="584">
        <f>ROUND(T68/1.2,2)</f>
        <v>2842.5</v>
      </c>
      <c r="S68" s="584">
        <f>ROUND(R68*$S$5,2)</f>
        <v>568.5</v>
      </c>
      <c r="T68" s="584">
        <f>ROUND((P68+Q68)*(1+Y68)*1.2,0)</f>
        <v>3411</v>
      </c>
      <c r="U68" s="121">
        <v>2097</v>
      </c>
      <c r="V68" s="122">
        <f t="shared" si="28"/>
        <v>62.660944206008594</v>
      </c>
      <c r="W68" s="470"/>
      <c r="X68" s="396"/>
      <c r="Y68" s="514">
        <v>7.7200000000000005E-2</v>
      </c>
      <c r="Z68" s="464" t="e">
        <f>#REF!*Y68</f>
        <v>#REF!</v>
      </c>
      <c r="AB68" s="404">
        <v>1569.6120000000001</v>
      </c>
      <c r="AC68" s="434"/>
      <c r="AD68" s="478">
        <f>T68-U68</f>
        <v>1314</v>
      </c>
      <c r="AE68" s="394"/>
      <c r="AG68" s="237">
        <v>-0.03</v>
      </c>
      <c r="AH68" s="236">
        <f t="shared" si="0"/>
        <v>1.03</v>
      </c>
      <c r="AI68" s="235">
        <v>1.0649999999999999</v>
      </c>
      <c r="AK68" s="152">
        <f>ROUND(W68*AI68,2)</f>
        <v>0</v>
      </c>
      <c r="AM68" s="239">
        <v>1.034</v>
      </c>
      <c r="AN68" s="243">
        <v>-0.03</v>
      </c>
      <c r="AO68" s="240" t="e">
        <f>#REF!-AM68</f>
        <v>#REF!</v>
      </c>
      <c r="AQ68" s="241">
        <f>Y68-AN68</f>
        <v>0.1072</v>
      </c>
      <c r="AR68" s="382">
        <v>1699</v>
      </c>
      <c r="AS68" s="388" t="b">
        <f>W68=AR68</f>
        <v>0</v>
      </c>
      <c r="AT68" s="411" t="e">
        <f>ROUND(W68/T68*100-100,2)+#REF!</f>
        <v>#REF!</v>
      </c>
      <c r="AW68" t="e">
        <f>ROUND(T68/W68,3)</f>
        <v>#DIV/0!</v>
      </c>
    </row>
    <row r="69" spans="1:49" ht="37.5" customHeight="1" x14ac:dyDescent="0.3">
      <c r="A69" s="587" t="s">
        <v>467</v>
      </c>
      <c r="B69" s="587" t="s">
        <v>35</v>
      </c>
      <c r="C69" s="585" t="s">
        <v>389</v>
      </c>
      <c r="D69" s="588" t="s">
        <v>350</v>
      </c>
      <c r="E69" s="588" t="s">
        <v>169</v>
      </c>
      <c r="F69" s="583">
        <f>VLOOKUP(E69,'условия, ФОТ'!$A$14:$I$28,9, FALSE)</f>
        <v>326.24</v>
      </c>
      <c r="G69" s="583">
        <v>0.5</v>
      </c>
      <c r="H69" s="583">
        <f t="shared" ref="H69:H84" si="29">ROUND(F69*G69,2)</f>
        <v>163.12</v>
      </c>
      <c r="I69" s="583">
        <f t="shared" ref="I69:I250" si="30">ROUND(H69*$I$5,2)</f>
        <v>49.26</v>
      </c>
      <c r="J69" s="583">
        <f t="shared" ref="J69:J84" si="31">H69+I69</f>
        <v>212.38</v>
      </c>
      <c r="K69" s="589"/>
      <c r="L69" s="583"/>
      <c r="M69" s="583"/>
      <c r="N69" s="583"/>
      <c r="O69" s="583">
        <f>SUM(O70:O73)</f>
        <v>130.07999999999998</v>
      </c>
      <c r="P69" s="583">
        <f>J69+O69</f>
        <v>342.46</v>
      </c>
      <c r="Q69" s="583">
        <f t="shared" si="10"/>
        <v>265.41000000000003</v>
      </c>
      <c r="R69" s="584">
        <f>ROUND(T69/1.2,2)</f>
        <v>698.33</v>
      </c>
      <c r="S69" s="584">
        <f t="shared" si="11"/>
        <v>139.66999999999999</v>
      </c>
      <c r="T69" s="584">
        <f>ROUND((P69+Q69)*(1+Y69)*1.2,0)</f>
        <v>838</v>
      </c>
      <c r="U69" s="121">
        <v>502</v>
      </c>
      <c r="V69" s="122">
        <f t="shared" si="20"/>
        <v>66.932270916334659</v>
      </c>
      <c r="W69" s="470"/>
      <c r="X69" s="396"/>
      <c r="Y69" s="514">
        <v>0.1492</v>
      </c>
      <c r="Z69" s="464" t="e">
        <f>#REF!*Y69</f>
        <v>#REF!</v>
      </c>
      <c r="AB69" s="404">
        <v>434.28000000000003</v>
      </c>
      <c r="AC69" s="434"/>
      <c r="AD69" s="478">
        <f>T69-U69</f>
        <v>336</v>
      </c>
      <c r="AE69" s="394"/>
      <c r="AG69" s="237">
        <v>8.5199999999999998E-2</v>
      </c>
      <c r="AH69" s="236">
        <f t="shared" si="0"/>
        <v>8.5199999999999998E-2</v>
      </c>
      <c r="AI69" s="235">
        <v>0</v>
      </c>
      <c r="AK69" s="152"/>
      <c r="AM69" s="239">
        <v>1.034</v>
      </c>
      <c r="AN69" s="243">
        <v>8.5199999999999998E-2</v>
      </c>
      <c r="AO69" s="240" t="e">
        <f>#REF!-AM69</f>
        <v>#REF!</v>
      </c>
      <c r="AQ69" s="241">
        <f>Y69-AN69</f>
        <v>6.4000000000000001E-2</v>
      </c>
      <c r="AR69" s="382">
        <v>434</v>
      </c>
      <c r="AS69" s="388" t="b">
        <f>W69=AR69</f>
        <v>0</v>
      </c>
      <c r="AT69" s="411" t="e">
        <f>ROUND(W69/T69*100-100,2)+#REF!</f>
        <v>#REF!</v>
      </c>
      <c r="AW69" t="e">
        <f>ROUND(T69/W69,3)</f>
        <v>#DIV/0!</v>
      </c>
    </row>
    <row r="70" spans="1:49" ht="29.25" customHeight="1" outlineLevel="1" x14ac:dyDescent="0.3">
      <c r="A70" s="587"/>
      <c r="B70" s="587"/>
      <c r="C70" s="585"/>
      <c r="D70" s="588"/>
      <c r="E70" s="583"/>
      <c r="F70" s="583"/>
      <c r="G70" s="583"/>
      <c r="H70" s="583"/>
      <c r="I70" s="583"/>
      <c r="J70" s="540" t="s">
        <v>385</v>
      </c>
      <c r="K70" s="545" t="s">
        <v>172</v>
      </c>
      <c r="L70" s="591" t="str">
        <f>VLOOKUP(K70,материалы!$A$5:$G$31,5, FALSE)</f>
        <v>шт.</v>
      </c>
      <c r="M70" s="583">
        <f>VLOOKUP(K70,материалы!$A$5:$G$34,7, FALSE)</f>
        <v>60</v>
      </c>
      <c r="N70" s="583">
        <v>1</v>
      </c>
      <c r="O70" s="583">
        <f>ROUND(M70*N70,2)</f>
        <v>60</v>
      </c>
      <c r="P70" s="583"/>
      <c r="Q70" s="583"/>
      <c r="R70" s="584"/>
      <c r="S70" s="584"/>
      <c r="T70" s="584"/>
      <c r="U70" s="121"/>
      <c r="V70" s="122"/>
      <c r="W70" s="392"/>
      <c r="X70" s="396"/>
      <c r="Y70" s="474"/>
      <c r="Z70" s="464"/>
      <c r="AC70" s="434"/>
      <c r="AD70" s="482"/>
      <c r="AE70" s="394"/>
      <c r="AG70" s="237"/>
      <c r="AH70" s="236"/>
      <c r="AI70" s="235"/>
      <c r="AK70" s="152"/>
      <c r="AM70" s="239"/>
      <c r="AN70" s="243"/>
      <c r="AO70" s="240"/>
      <c r="AQ70" s="241"/>
      <c r="AR70" s="382"/>
      <c r="AT70" s="411"/>
    </row>
    <row r="71" spans="1:49" ht="28.5" customHeight="1" outlineLevel="1" x14ac:dyDescent="0.3">
      <c r="A71" s="587"/>
      <c r="B71" s="587"/>
      <c r="C71" s="585"/>
      <c r="D71" s="588"/>
      <c r="E71" s="583"/>
      <c r="F71" s="583"/>
      <c r="G71" s="583"/>
      <c r="H71" s="583"/>
      <c r="I71" s="583"/>
      <c r="J71" s="583"/>
      <c r="K71" s="545" t="s">
        <v>341</v>
      </c>
      <c r="L71" s="591" t="str">
        <f>VLOOKUP(K71,материалы!$A$5:$G$31,5, FALSE)</f>
        <v>кг</v>
      </c>
      <c r="M71" s="583">
        <f>VLOOKUP(K71,материалы!$A$5:$G$34,7, FALSE)</f>
        <v>950</v>
      </c>
      <c r="N71" s="583">
        <v>0.01</v>
      </c>
      <c r="O71" s="583">
        <f t="shared" ref="O71:O72" si="32">ROUND(M71*N71,2)</f>
        <v>9.5</v>
      </c>
      <c r="P71" s="583"/>
      <c r="Q71" s="583"/>
      <c r="R71" s="584"/>
      <c r="S71" s="584"/>
      <c r="T71" s="584"/>
      <c r="U71" s="121"/>
      <c r="V71" s="122"/>
      <c r="W71" s="392"/>
      <c r="X71" s="396"/>
      <c r="Y71" s="474"/>
      <c r="Z71" s="464"/>
      <c r="AC71" s="434"/>
      <c r="AD71" s="482"/>
      <c r="AE71" s="394"/>
      <c r="AG71" s="237"/>
      <c r="AH71" s="236"/>
      <c r="AI71" s="235"/>
      <c r="AK71" s="152"/>
      <c r="AM71" s="239"/>
      <c r="AN71" s="243"/>
      <c r="AO71" s="240"/>
      <c r="AQ71" s="241"/>
      <c r="AR71" s="382"/>
      <c r="AT71" s="411"/>
    </row>
    <row r="72" spans="1:49" ht="38.25" outlineLevel="1" x14ac:dyDescent="0.3">
      <c r="A72" s="587"/>
      <c r="B72" s="587"/>
      <c r="C72" s="585"/>
      <c r="D72" s="588"/>
      <c r="E72" s="583"/>
      <c r="F72" s="583"/>
      <c r="G72" s="583"/>
      <c r="H72" s="583"/>
      <c r="I72" s="583"/>
      <c r="J72" s="583"/>
      <c r="K72" s="545" t="s">
        <v>390</v>
      </c>
      <c r="L72" s="591" t="str">
        <f>VLOOKUP(K72,материалы!$A$5:$G$31,5, FALSE)</f>
        <v>шт.</v>
      </c>
      <c r="M72" s="583">
        <f>VLOOKUP(K72,материалы!$A$5:$G$34,7, FALSE)</f>
        <v>0.57999999999999996</v>
      </c>
      <c r="N72" s="583">
        <v>1</v>
      </c>
      <c r="O72" s="583">
        <f t="shared" si="32"/>
        <v>0.57999999999999996</v>
      </c>
      <c r="P72" s="583"/>
      <c r="Q72" s="583"/>
      <c r="R72" s="584"/>
      <c r="S72" s="584"/>
      <c r="T72" s="584"/>
      <c r="U72" s="121"/>
      <c r="V72" s="122"/>
      <c r="W72" s="392"/>
      <c r="X72" s="396"/>
      <c r="Y72" s="474"/>
      <c r="Z72" s="464"/>
      <c r="AC72" s="434"/>
      <c r="AD72" s="482"/>
      <c r="AE72" s="394"/>
      <c r="AG72" s="237"/>
      <c r="AH72" s="236"/>
      <c r="AI72" s="235"/>
      <c r="AK72" s="152"/>
      <c r="AM72" s="239"/>
      <c r="AN72" s="243"/>
      <c r="AO72" s="240"/>
      <c r="AQ72" s="241"/>
      <c r="AR72" s="382"/>
      <c r="AT72" s="411"/>
    </row>
    <row r="73" spans="1:49" ht="51" outlineLevel="1" x14ac:dyDescent="0.3">
      <c r="A73" s="587"/>
      <c r="B73" s="587"/>
      <c r="C73" s="585"/>
      <c r="D73" s="588"/>
      <c r="E73" s="583"/>
      <c r="F73" s="583"/>
      <c r="G73" s="583"/>
      <c r="H73" s="583"/>
      <c r="I73" s="583"/>
      <c r="J73" s="583"/>
      <c r="K73" s="545" t="s">
        <v>345</v>
      </c>
      <c r="L73" s="591" t="str">
        <f>VLOOKUP(K73,материалы!$A$5:$G$31,5, FALSE)</f>
        <v>шт.</v>
      </c>
      <c r="M73" s="583">
        <f>VLOOKUP(K73,материалы!$A$5:$G$34,7, FALSE)</f>
        <v>30</v>
      </c>
      <c r="N73" s="583">
        <v>2</v>
      </c>
      <c r="O73" s="583">
        <f t="shared" ref="O73" si="33">ROUND(M73*N73,2)</f>
        <v>60</v>
      </c>
      <c r="P73" s="583"/>
      <c r="Q73" s="583"/>
      <c r="R73" s="584"/>
      <c r="S73" s="584"/>
      <c r="T73" s="584"/>
      <c r="U73" s="121"/>
      <c r="V73" s="122"/>
      <c r="W73" s="392"/>
      <c r="X73" s="396"/>
      <c r="Y73" s="474"/>
      <c r="Z73" s="464"/>
      <c r="AC73" s="434"/>
      <c r="AD73" s="482"/>
      <c r="AE73" s="394"/>
      <c r="AG73" s="237"/>
      <c r="AH73" s="236"/>
      <c r="AI73" s="235"/>
      <c r="AK73" s="152"/>
      <c r="AM73" s="239"/>
      <c r="AN73" s="243"/>
      <c r="AO73" s="240"/>
      <c r="AQ73" s="241"/>
      <c r="AR73" s="382"/>
      <c r="AT73" s="411"/>
    </row>
    <row r="74" spans="1:49" ht="19.5" customHeight="1" x14ac:dyDescent="0.25">
      <c r="A74" s="804" t="s">
        <v>468</v>
      </c>
      <c r="B74" s="804" t="s">
        <v>35</v>
      </c>
      <c r="C74" s="800" t="s">
        <v>391</v>
      </c>
      <c r="D74" s="805" t="s">
        <v>350</v>
      </c>
      <c r="E74" s="583" t="s">
        <v>169</v>
      </c>
      <c r="F74" s="583">
        <f>VLOOKUP(E74,'условия, ФОТ'!$A$14:$I$28,9, FALSE)</f>
        <v>326.24</v>
      </c>
      <c r="G74" s="583">
        <v>0.5</v>
      </c>
      <c r="H74" s="797">
        <f>ROUND((F74*G74+F75*G75),2)</f>
        <v>391.13</v>
      </c>
      <c r="I74" s="797">
        <f>ROUND(H74*$I$5,2)</f>
        <v>118.12</v>
      </c>
      <c r="J74" s="797">
        <f>H74+I74</f>
        <v>509.25</v>
      </c>
      <c r="K74" s="814"/>
      <c r="L74" s="797"/>
      <c r="M74" s="797"/>
      <c r="N74" s="797"/>
      <c r="O74" s="797">
        <f>SUM(O76:O83)</f>
        <v>263.5</v>
      </c>
      <c r="P74" s="820">
        <f>J74+O74</f>
        <v>772.75</v>
      </c>
      <c r="Q74" s="820">
        <f>ROUND(P74*$Q$5,2)</f>
        <v>598.88</v>
      </c>
      <c r="R74" s="833">
        <f>ROUND(T74/1.2,2)</f>
        <v>1631.67</v>
      </c>
      <c r="S74" s="833">
        <f>ROUND(R74*$S$5,2)</f>
        <v>326.33</v>
      </c>
      <c r="T74" s="798">
        <f>ROUND((P74+Q74)*(1+Y74)*1.2,0)</f>
        <v>1958</v>
      </c>
      <c r="U74" s="794">
        <v>1067</v>
      </c>
      <c r="V74" s="793">
        <f>T74/U74*100-100</f>
        <v>83.505154639175259</v>
      </c>
      <c r="W74" s="782"/>
      <c r="X74" s="837"/>
      <c r="Y74" s="859">
        <v>0.18970000000000001</v>
      </c>
      <c r="Z74" s="857" t="e">
        <f>#REF!*Y74</f>
        <v>#REF!</v>
      </c>
      <c r="AB74" s="404">
        <v>889.24</v>
      </c>
      <c r="AC74" s="741"/>
      <c r="AD74" s="763">
        <f>T74-U74</f>
        <v>891</v>
      </c>
      <c r="AE74" s="394"/>
      <c r="AG74" s="759">
        <v>0.1588</v>
      </c>
      <c r="AH74" s="751">
        <f t="shared" ref="AH74:AH133" si="34">IF(AG74&lt;0,-AG74+1,AG74)</f>
        <v>0.1588</v>
      </c>
      <c r="AI74" s="751">
        <v>0</v>
      </c>
      <c r="AK74" s="879"/>
      <c r="AM74" s="759">
        <v>1.034</v>
      </c>
      <c r="AN74" s="877">
        <v>0.1588</v>
      </c>
      <c r="AO74" s="751" t="e">
        <f>#REF!-AM74</f>
        <v>#REF!</v>
      </c>
      <c r="AQ74" s="747">
        <f>Y74-AN74</f>
        <v>3.0900000000000011E-2</v>
      </c>
      <c r="AR74" s="741">
        <v>889</v>
      </c>
      <c r="AS74" s="884" t="b">
        <f>W74=AR74</f>
        <v>0</v>
      </c>
      <c r="AT74" s="411" t="e">
        <f>ROUND(W74/T74*100-100,2)+#REF!</f>
        <v>#REF!</v>
      </c>
      <c r="AW74" t="e">
        <f>ROUND(T74/W74,3)</f>
        <v>#DIV/0!</v>
      </c>
    </row>
    <row r="75" spans="1:49" ht="21.75" customHeight="1" x14ac:dyDescent="0.25">
      <c r="A75" s="804"/>
      <c r="B75" s="804"/>
      <c r="C75" s="800"/>
      <c r="D75" s="805"/>
      <c r="E75" s="588" t="s">
        <v>174</v>
      </c>
      <c r="F75" s="583">
        <f>VLOOKUP(E75,'условия, ФОТ'!$A$14:$I$28,9, FALSE)</f>
        <v>456.01</v>
      </c>
      <c r="G75" s="583">
        <v>0.5</v>
      </c>
      <c r="H75" s="797">
        <f t="shared" ref="H75" si="35">ROUND(F75*G75,2)</f>
        <v>228.01</v>
      </c>
      <c r="I75" s="797">
        <f t="shared" ref="I75" si="36">ROUND(H75*$I$5,2)</f>
        <v>68.86</v>
      </c>
      <c r="J75" s="797">
        <f t="shared" ref="J75" si="37">H75+I75</f>
        <v>296.87</v>
      </c>
      <c r="K75" s="814"/>
      <c r="L75" s="797"/>
      <c r="M75" s="797"/>
      <c r="N75" s="797"/>
      <c r="O75" s="797"/>
      <c r="P75" s="821"/>
      <c r="Q75" s="821"/>
      <c r="R75" s="821"/>
      <c r="S75" s="821"/>
      <c r="T75" s="798">
        <f>ROUND((P75+Q75)*(1+$R$5)*1.18,0)</f>
        <v>0</v>
      </c>
      <c r="U75" s="795">
        <v>0</v>
      </c>
      <c r="V75" s="793"/>
      <c r="W75" s="782"/>
      <c r="X75" s="837"/>
      <c r="Y75" s="859"/>
      <c r="Z75" s="857"/>
      <c r="AC75" s="741"/>
      <c r="AD75" s="764"/>
      <c r="AE75" s="394"/>
      <c r="AG75" s="760"/>
      <c r="AH75" s="752"/>
      <c r="AI75" s="752"/>
      <c r="AK75" s="880"/>
      <c r="AM75" s="760"/>
      <c r="AN75" s="878"/>
      <c r="AO75" s="752"/>
      <c r="AQ75" s="748"/>
      <c r="AR75" s="741"/>
      <c r="AS75" s="884"/>
      <c r="AT75" s="411"/>
    </row>
    <row r="76" spans="1:49" ht="25.5" outlineLevel="1" x14ac:dyDescent="0.3">
      <c r="A76" s="587"/>
      <c r="B76" s="587"/>
      <c r="C76" s="585"/>
      <c r="D76" s="588"/>
      <c r="E76" s="583"/>
      <c r="F76" s="583"/>
      <c r="G76" s="539"/>
      <c r="H76" s="583"/>
      <c r="I76" s="583"/>
      <c r="J76" s="540" t="s">
        <v>385</v>
      </c>
      <c r="K76" s="545" t="s">
        <v>172</v>
      </c>
      <c r="L76" s="591" t="str">
        <f>VLOOKUP(K76,материалы!$A$5:$G$31,5, FALSE)</f>
        <v>шт.</v>
      </c>
      <c r="M76" s="583">
        <f>VLOOKUP(K76,материалы!$A$5:$G$34,7, FALSE)</f>
        <v>60</v>
      </c>
      <c r="N76" s="583">
        <v>1</v>
      </c>
      <c r="O76" s="583">
        <f>ROUND(M76*N76,2)</f>
        <v>60</v>
      </c>
      <c r="P76" s="583"/>
      <c r="Q76" s="583"/>
      <c r="R76" s="584"/>
      <c r="S76" s="584"/>
      <c r="T76" s="584"/>
      <c r="U76" s="121"/>
      <c r="V76" s="125"/>
      <c r="W76" s="392"/>
      <c r="X76" s="396"/>
      <c r="Y76" s="474"/>
      <c r="Z76" s="464"/>
      <c r="AC76" s="434"/>
      <c r="AD76" s="482"/>
      <c r="AE76" s="394"/>
      <c r="AG76" s="237"/>
      <c r="AH76" s="236"/>
      <c r="AI76" s="235"/>
      <c r="AK76" s="152"/>
      <c r="AM76" s="239"/>
      <c r="AN76" s="243"/>
      <c r="AO76" s="240"/>
      <c r="AQ76" s="241"/>
      <c r="AR76" s="382"/>
      <c r="AT76" s="411"/>
    </row>
    <row r="77" spans="1:49" ht="18" customHeight="1" outlineLevel="1" x14ac:dyDescent="0.3">
      <c r="A77" s="587"/>
      <c r="B77" s="587"/>
      <c r="C77" s="585"/>
      <c r="D77" s="588"/>
      <c r="E77" s="583"/>
      <c r="F77" s="583"/>
      <c r="G77" s="539"/>
      <c r="H77" s="583"/>
      <c r="I77" s="583"/>
      <c r="J77" s="583"/>
      <c r="K77" s="545" t="s">
        <v>329</v>
      </c>
      <c r="L77" s="591" t="str">
        <f>VLOOKUP(K77,материалы!$A$5:$G$31,5, FALSE)</f>
        <v>м3</v>
      </c>
      <c r="M77" s="583">
        <f>VLOOKUP(K77,материалы!$A$5:$G$34,7, FALSE)</f>
        <v>1033.33</v>
      </c>
      <c r="N77" s="591">
        <v>8.7499999999999994E-2</v>
      </c>
      <c r="O77" s="583">
        <f t="shared" ref="O77:O88" si="38">ROUND(M77*N77,2)</f>
        <v>90.42</v>
      </c>
      <c r="P77" s="583"/>
      <c r="Q77" s="583"/>
      <c r="R77" s="584"/>
      <c r="S77" s="584"/>
      <c r="T77" s="584"/>
      <c r="U77" s="121"/>
      <c r="V77" s="125"/>
      <c r="W77" s="392"/>
      <c r="X77" s="396"/>
      <c r="Y77" s="474"/>
      <c r="Z77" s="464"/>
      <c r="AC77" s="434"/>
      <c r="AD77" s="482"/>
      <c r="AE77" s="394"/>
      <c r="AG77" s="237"/>
      <c r="AH77" s="236"/>
      <c r="AI77" s="235"/>
      <c r="AK77" s="152"/>
      <c r="AM77" s="239"/>
      <c r="AN77" s="243"/>
      <c r="AO77" s="240"/>
      <c r="AQ77" s="241"/>
      <c r="AR77" s="382"/>
      <c r="AT77" s="411"/>
    </row>
    <row r="78" spans="1:49" ht="38.25" outlineLevel="1" x14ac:dyDescent="0.3">
      <c r="A78" s="587"/>
      <c r="B78" s="587"/>
      <c r="C78" s="585"/>
      <c r="D78" s="588"/>
      <c r="E78" s="583"/>
      <c r="F78" s="583"/>
      <c r="G78" s="539"/>
      <c r="H78" s="583"/>
      <c r="I78" s="583"/>
      <c r="J78" s="583"/>
      <c r="K78" s="545" t="s">
        <v>347</v>
      </c>
      <c r="L78" s="591" t="str">
        <f>VLOOKUP(K78,материалы!$A$5:$G$31,5, FALSE)</f>
        <v>кг</v>
      </c>
      <c r="M78" s="583">
        <f>VLOOKUP(K78,материалы!$A$5:$G$34,7, FALSE)</f>
        <v>300</v>
      </c>
      <c r="N78" s="583">
        <v>0.1</v>
      </c>
      <c r="O78" s="583">
        <f t="shared" si="38"/>
        <v>30</v>
      </c>
      <c r="P78" s="583"/>
      <c r="Q78" s="583"/>
      <c r="R78" s="584"/>
      <c r="S78" s="584"/>
      <c r="T78" s="584"/>
      <c r="U78" s="121"/>
      <c r="V78" s="125"/>
      <c r="W78" s="392"/>
      <c r="X78" s="396"/>
      <c r="Y78" s="474"/>
      <c r="Z78" s="464"/>
      <c r="AC78" s="434"/>
      <c r="AD78" s="482"/>
      <c r="AE78" s="394"/>
      <c r="AG78" s="237"/>
      <c r="AH78" s="236"/>
      <c r="AI78" s="235"/>
      <c r="AK78" s="152"/>
      <c r="AM78" s="239"/>
      <c r="AN78" s="243"/>
      <c r="AO78" s="240"/>
      <c r="AQ78" s="241"/>
      <c r="AR78" s="382"/>
      <c r="AT78" s="411"/>
    </row>
    <row r="79" spans="1:49" outlineLevel="1" x14ac:dyDescent="0.3">
      <c r="A79" s="587"/>
      <c r="B79" s="587"/>
      <c r="C79" s="585"/>
      <c r="D79" s="588"/>
      <c r="E79" s="583"/>
      <c r="F79" s="583"/>
      <c r="G79" s="539"/>
      <c r="H79" s="583"/>
      <c r="I79" s="583"/>
      <c r="J79" s="583"/>
      <c r="K79" s="545" t="s">
        <v>330</v>
      </c>
      <c r="L79" s="591" t="str">
        <f>VLOOKUP(K79,материалы!$A$5:$G$31,5, FALSE)</f>
        <v>м3</v>
      </c>
      <c r="M79" s="583">
        <f>VLOOKUP(K79,материалы!$A$5:$G$34,7, FALSE)</f>
        <v>116.67</v>
      </c>
      <c r="N79" s="583">
        <v>1.4999999999999999E-2</v>
      </c>
      <c r="O79" s="583">
        <f t="shared" si="38"/>
        <v>1.75</v>
      </c>
      <c r="P79" s="583"/>
      <c r="Q79" s="583"/>
      <c r="R79" s="584"/>
      <c r="S79" s="584"/>
      <c r="T79" s="584"/>
      <c r="U79" s="121"/>
      <c r="V79" s="125"/>
      <c r="W79" s="392"/>
      <c r="X79" s="396"/>
      <c r="Y79" s="474"/>
      <c r="Z79" s="464"/>
      <c r="AC79" s="434"/>
      <c r="AD79" s="482"/>
      <c r="AE79" s="394"/>
      <c r="AG79" s="237"/>
      <c r="AH79" s="236"/>
      <c r="AI79" s="235"/>
      <c r="AK79" s="152"/>
      <c r="AM79" s="239"/>
      <c r="AN79" s="243"/>
      <c r="AO79" s="240"/>
      <c r="AQ79" s="241"/>
      <c r="AR79" s="382"/>
      <c r="AT79" s="411"/>
    </row>
    <row r="80" spans="1:49" ht="33.75" customHeight="1" outlineLevel="1" x14ac:dyDescent="0.3">
      <c r="A80" s="587"/>
      <c r="B80" s="587"/>
      <c r="C80" s="585"/>
      <c r="D80" s="588"/>
      <c r="E80" s="583"/>
      <c r="F80" s="583"/>
      <c r="G80" s="539"/>
      <c r="H80" s="583"/>
      <c r="I80" s="583"/>
      <c r="J80" s="583"/>
      <c r="K80" s="545" t="s">
        <v>348</v>
      </c>
      <c r="L80" s="591" t="str">
        <f>VLOOKUP(K80,материалы!$A$5:$G$31,5, FALSE)</f>
        <v>шт.</v>
      </c>
      <c r="M80" s="583">
        <f>VLOOKUP(K80,материалы!$A$5:$G$34,7, FALSE)</f>
        <v>45</v>
      </c>
      <c r="N80" s="583">
        <v>0.25</v>
      </c>
      <c r="O80" s="583">
        <f t="shared" si="38"/>
        <v>11.25</v>
      </c>
      <c r="P80" s="583"/>
      <c r="Q80" s="583"/>
      <c r="R80" s="584"/>
      <c r="S80" s="584"/>
      <c r="T80" s="584"/>
      <c r="U80" s="121"/>
      <c r="V80" s="125"/>
      <c r="W80" s="392"/>
      <c r="X80" s="396"/>
      <c r="Y80" s="474"/>
      <c r="Z80" s="464"/>
      <c r="AC80" s="434"/>
      <c r="AD80" s="482"/>
      <c r="AE80" s="394"/>
      <c r="AG80" s="237"/>
      <c r="AH80" s="236"/>
      <c r="AI80" s="235"/>
      <c r="AK80" s="152"/>
      <c r="AM80" s="239"/>
      <c r="AN80" s="243"/>
      <c r="AO80" s="240"/>
      <c r="AQ80" s="241"/>
      <c r="AR80" s="382"/>
      <c r="AT80" s="411"/>
    </row>
    <row r="81" spans="1:49" ht="25.5" outlineLevel="1" x14ac:dyDescent="0.3">
      <c r="A81" s="587"/>
      <c r="B81" s="587"/>
      <c r="C81" s="585"/>
      <c r="D81" s="588"/>
      <c r="E81" s="583"/>
      <c r="F81" s="583"/>
      <c r="G81" s="539"/>
      <c r="H81" s="583"/>
      <c r="I81" s="583"/>
      <c r="J81" s="583"/>
      <c r="K81" s="545" t="s">
        <v>341</v>
      </c>
      <c r="L81" s="591" t="str">
        <f>VLOOKUP(K81,материалы!$A$5:$G$31,5, FALSE)</f>
        <v>кг</v>
      </c>
      <c r="M81" s="583">
        <f>VLOOKUP(K81,материалы!$A$5:$G$34,7, FALSE)</f>
        <v>950</v>
      </c>
      <c r="N81" s="583">
        <v>0.01</v>
      </c>
      <c r="O81" s="583">
        <f t="shared" si="38"/>
        <v>9.5</v>
      </c>
      <c r="P81" s="583"/>
      <c r="Q81" s="583"/>
      <c r="R81" s="584"/>
      <c r="S81" s="584"/>
      <c r="T81" s="584"/>
      <c r="U81" s="121"/>
      <c r="V81" s="125"/>
      <c r="W81" s="392"/>
      <c r="X81" s="396"/>
      <c r="Y81" s="474"/>
      <c r="Z81" s="464"/>
      <c r="AC81" s="434"/>
      <c r="AD81" s="482"/>
      <c r="AE81" s="394"/>
      <c r="AG81" s="237"/>
      <c r="AH81" s="236"/>
      <c r="AI81" s="235"/>
      <c r="AK81" s="152"/>
      <c r="AM81" s="239"/>
      <c r="AN81" s="243"/>
      <c r="AO81" s="240"/>
      <c r="AQ81" s="241"/>
      <c r="AR81" s="382"/>
      <c r="AT81" s="411"/>
    </row>
    <row r="82" spans="1:49" ht="38.25" outlineLevel="1" x14ac:dyDescent="0.3">
      <c r="A82" s="587"/>
      <c r="B82" s="587"/>
      <c r="C82" s="585"/>
      <c r="D82" s="588"/>
      <c r="E82" s="583"/>
      <c r="F82" s="583"/>
      <c r="G82" s="539"/>
      <c r="H82" s="583"/>
      <c r="I82" s="583"/>
      <c r="J82" s="583"/>
      <c r="K82" s="545" t="s">
        <v>390</v>
      </c>
      <c r="L82" s="591" t="str">
        <f>VLOOKUP(K82,материалы!$A$5:$G$31,5, FALSE)</f>
        <v>шт.</v>
      </c>
      <c r="M82" s="583">
        <f>VLOOKUP(K82,материалы!$A$5:$G$34,7, FALSE)</f>
        <v>0.57999999999999996</v>
      </c>
      <c r="N82" s="583">
        <v>1</v>
      </c>
      <c r="O82" s="583">
        <f t="shared" si="38"/>
        <v>0.57999999999999996</v>
      </c>
      <c r="P82" s="583"/>
      <c r="Q82" s="583"/>
      <c r="R82" s="584"/>
      <c r="S82" s="584"/>
      <c r="T82" s="584"/>
      <c r="U82" s="121"/>
      <c r="V82" s="125"/>
      <c r="W82" s="392"/>
      <c r="X82" s="396"/>
      <c r="Y82" s="474"/>
      <c r="Z82" s="464"/>
      <c r="AC82" s="434"/>
      <c r="AD82" s="482"/>
      <c r="AE82" s="394"/>
      <c r="AG82" s="237"/>
      <c r="AH82" s="236"/>
      <c r="AI82" s="235"/>
      <c r="AK82" s="152"/>
      <c r="AM82" s="239"/>
      <c r="AN82" s="243"/>
      <c r="AO82" s="240"/>
      <c r="AQ82" s="241"/>
      <c r="AR82" s="382"/>
      <c r="AT82" s="411"/>
    </row>
    <row r="83" spans="1:49" ht="51" outlineLevel="1" x14ac:dyDescent="0.3">
      <c r="A83" s="587"/>
      <c r="B83" s="587"/>
      <c r="C83" s="585"/>
      <c r="D83" s="588"/>
      <c r="E83" s="583"/>
      <c r="F83" s="583"/>
      <c r="G83" s="539"/>
      <c r="H83" s="583"/>
      <c r="I83" s="583"/>
      <c r="J83" s="583"/>
      <c r="K83" s="545" t="s">
        <v>345</v>
      </c>
      <c r="L83" s="591" t="str">
        <f>VLOOKUP(K83,материалы!$A$5:$G$31,5, FALSE)</f>
        <v>шт.</v>
      </c>
      <c r="M83" s="583">
        <f>VLOOKUP(K83,материалы!$A$5:$G$34,7, FALSE)</f>
        <v>30</v>
      </c>
      <c r="N83" s="583">
        <v>2</v>
      </c>
      <c r="O83" s="583">
        <f t="shared" si="38"/>
        <v>60</v>
      </c>
      <c r="P83" s="583"/>
      <c r="Q83" s="583"/>
      <c r="R83" s="584"/>
      <c r="S83" s="584"/>
      <c r="T83" s="584"/>
      <c r="U83" s="121"/>
      <c r="V83" s="125"/>
      <c r="W83" s="392"/>
      <c r="X83" s="396"/>
      <c r="Y83" s="474"/>
      <c r="Z83" s="464"/>
      <c r="AC83" s="434"/>
      <c r="AD83" s="482"/>
      <c r="AE83" s="394"/>
      <c r="AG83" s="237"/>
      <c r="AH83" s="236"/>
      <c r="AI83" s="235"/>
      <c r="AK83" s="152"/>
      <c r="AM83" s="239"/>
      <c r="AN83" s="243"/>
      <c r="AO83" s="240"/>
      <c r="AQ83" s="241"/>
      <c r="AR83" s="382"/>
      <c r="AT83" s="411"/>
    </row>
    <row r="84" spans="1:49" ht="33.75" customHeight="1" x14ac:dyDescent="0.3">
      <c r="A84" s="587" t="s">
        <v>469</v>
      </c>
      <c r="B84" s="587" t="s">
        <v>35</v>
      </c>
      <c r="C84" s="585" t="s">
        <v>392</v>
      </c>
      <c r="D84" s="588" t="s">
        <v>350</v>
      </c>
      <c r="E84" s="583" t="s">
        <v>169</v>
      </c>
      <c r="F84" s="583">
        <f>VLOOKUP(E84,'условия, ФОТ'!$A$14:$I$28,9, FALSE)</f>
        <v>326.24</v>
      </c>
      <c r="G84" s="583">
        <v>0.5</v>
      </c>
      <c r="H84" s="583">
        <f t="shared" si="29"/>
        <v>163.12</v>
      </c>
      <c r="I84" s="583">
        <f t="shared" si="30"/>
        <v>49.26</v>
      </c>
      <c r="J84" s="583">
        <f t="shared" si="31"/>
        <v>212.38</v>
      </c>
      <c r="K84" s="589"/>
      <c r="L84" s="583"/>
      <c r="M84" s="583"/>
      <c r="N84" s="583"/>
      <c r="O84" s="583">
        <f>SUM(O85:O88)</f>
        <v>130.66</v>
      </c>
      <c r="P84" s="583">
        <f>J84+O84</f>
        <v>343.03999999999996</v>
      </c>
      <c r="Q84" s="583">
        <f t="shared" si="10"/>
        <v>265.86</v>
      </c>
      <c r="R84" s="584">
        <f>ROUND(T84/1.2,2)</f>
        <v>834.17</v>
      </c>
      <c r="S84" s="584">
        <f t="shared" si="11"/>
        <v>166.83</v>
      </c>
      <c r="T84" s="584">
        <f>ROUND((P84+Q84)*(1+Y84)*1.2,0)</f>
        <v>1001</v>
      </c>
      <c r="U84" s="121">
        <v>600</v>
      </c>
      <c r="V84" s="793">
        <f>T84/U84*100-100</f>
        <v>66.833333333333314</v>
      </c>
      <c r="W84" s="470"/>
      <c r="X84" s="396"/>
      <c r="Y84" s="514">
        <v>0.37019999999999997</v>
      </c>
      <c r="Z84" s="464" t="e">
        <f>#REF!*Y84</f>
        <v>#REF!</v>
      </c>
      <c r="AB84" s="404">
        <v>519.06799999999998</v>
      </c>
      <c r="AC84" s="434"/>
      <c r="AD84" s="478">
        <f>T84-U84</f>
        <v>401</v>
      </c>
      <c r="AE84" s="394"/>
      <c r="AG84" s="237">
        <v>0.10150000000000001</v>
      </c>
      <c r="AH84" s="236">
        <f t="shared" si="34"/>
        <v>0.10150000000000001</v>
      </c>
      <c r="AI84" s="235">
        <v>0</v>
      </c>
      <c r="AK84" s="152"/>
      <c r="AM84" s="239">
        <v>1.034</v>
      </c>
      <c r="AN84" s="243">
        <v>0.10150000000000001</v>
      </c>
      <c r="AO84" s="240" t="e">
        <f>#REF!-AM84</f>
        <v>#REF!</v>
      </c>
      <c r="AQ84" s="241">
        <f>Y84-AN84</f>
        <v>0.26869999999999994</v>
      </c>
      <c r="AR84" s="382">
        <v>519</v>
      </c>
      <c r="AS84" s="388" t="b">
        <f>W84=AR84</f>
        <v>0</v>
      </c>
      <c r="AT84" s="411" t="e">
        <f>ROUND(W84/T84*100-100,2)+#REF!</f>
        <v>#REF!</v>
      </c>
      <c r="AW84" t="e">
        <f>ROUND(T84/W84,3)</f>
        <v>#DIV/0!</v>
      </c>
    </row>
    <row r="85" spans="1:49" ht="25.5" outlineLevel="1" x14ac:dyDescent="0.3">
      <c r="A85" s="587"/>
      <c r="B85" s="587"/>
      <c r="C85" s="585"/>
      <c r="D85" s="588"/>
      <c r="E85" s="583"/>
      <c r="F85" s="539"/>
      <c r="G85" s="539"/>
      <c r="H85" s="583"/>
      <c r="I85" s="583"/>
      <c r="J85" s="540" t="s">
        <v>385</v>
      </c>
      <c r="K85" s="545" t="s">
        <v>173</v>
      </c>
      <c r="L85" s="591" t="str">
        <f>VLOOKUP(K85,материалы!$A$5:$G$31,5, FALSE)</f>
        <v>шт.</v>
      </c>
      <c r="M85" s="583">
        <f>VLOOKUP(K85,материалы!$A$5:$G$34,7, FALSE)</f>
        <v>60</v>
      </c>
      <c r="N85" s="583">
        <v>1</v>
      </c>
      <c r="O85" s="583">
        <f t="shared" si="38"/>
        <v>60</v>
      </c>
      <c r="P85" s="583"/>
      <c r="Q85" s="583"/>
      <c r="R85" s="584"/>
      <c r="S85" s="584"/>
      <c r="T85" s="584"/>
      <c r="U85" s="121"/>
      <c r="V85" s="793"/>
      <c r="W85" s="392"/>
      <c r="X85" s="396"/>
      <c r="Y85" s="474"/>
      <c r="Z85" s="464"/>
      <c r="AC85" s="434"/>
      <c r="AD85" s="482"/>
      <c r="AE85" s="394"/>
      <c r="AG85" s="237"/>
      <c r="AH85" s="236"/>
      <c r="AI85" s="235"/>
      <c r="AK85" s="152"/>
      <c r="AM85" s="239"/>
      <c r="AN85" s="243"/>
      <c r="AO85" s="240"/>
      <c r="AQ85" s="241"/>
      <c r="AR85" s="382"/>
      <c r="AT85" s="411"/>
    </row>
    <row r="86" spans="1:49" ht="25.5" outlineLevel="1" x14ac:dyDescent="0.3">
      <c r="A86" s="587"/>
      <c r="B86" s="587"/>
      <c r="C86" s="585"/>
      <c r="D86" s="588"/>
      <c r="E86" s="583"/>
      <c r="F86" s="539"/>
      <c r="G86" s="539"/>
      <c r="H86" s="583"/>
      <c r="I86" s="583"/>
      <c r="J86" s="583"/>
      <c r="K86" s="545" t="s">
        <v>341</v>
      </c>
      <c r="L86" s="591" t="str">
        <f>VLOOKUP(K86,материалы!$A$5:$G$31,5, FALSE)</f>
        <v>кг</v>
      </c>
      <c r="M86" s="583">
        <f>VLOOKUP(K86,материалы!$A$5:$G$34,7, FALSE)</f>
        <v>950</v>
      </c>
      <c r="N86" s="583">
        <v>0.01</v>
      </c>
      <c r="O86" s="583">
        <f t="shared" si="38"/>
        <v>9.5</v>
      </c>
      <c r="P86" s="583"/>
      <c r="Q86" s="583"/>
      <c r="R86" s="584"/>
      <c r="S86" s="584"/>
      <c r="T86" s="584"/>
      <c r="U86" s="121"/>
      <c r="V86" s="516"/>
      <c r="W86" s="392"/>
      <c r="X86" s="396"/>
      <c r="Y86" s="474"/>
      <c r="Z86" s="464"/>
      <c r="AC86" s="434"/>
      <c r="AD86" s="482"/>
      <c r="AE86" s="394"/>
      <c r="AG86" s="237"/>
      <c r="AH86" s="236"/>
      <c r="AI86" s="235"/>
      <c r="AK86" s="152"/>
      <c r="AM86" s="239"/>
      <c r="AN86" s="243"/>
      <c r="AO86" s="240"/>
      <c r="AQ86" s="241"/>
      <c r="AR86" s="382"/>
      <c r="AT86" s="411"/>
    </row>
    <row r="87" spans="1:49" ht="38.25" outlineLevel="1" x14ac:dyDescent="0.3">
      <c r="A87" s="587"/>
      <c r="B87" s="587"/>
      <c r="C87" s="585"/>
      <c r="D87" s="588"/>
      <c r="E87" s="583"/>
      <c r="F87" s="539"/>
      <c r="G87" s="539"/>
      <c r="H87" s="583"/>
      <c r="I87" s="583"/>
      <c r="J87" s="583"/>
      <c r="K87" s="545" t="s">
        <v>390</v>
      </c>
      <c r="L87" s="591" t="str">
        <f>VLOOKUP(K87,материалы!$A$5:$G$31,5, FALSE)</f>
        <v>шт.</v>
      </c>
      <c r="M87" s="583">
        <f>VLOOKUP(K87,материалы!$A$5:$G$34,7, FALSE)</f>
        <v>0.57999999999999996</v>
      </c>
      <c r="N87" s="583">
        <v>2</v>
      </c>
      <c r="O87" s="583">
        <f t="shared" si="38"/>
        <v>1.1599999999999999</v>
      </c>
      <c r="P87" s="583"/>
      <c r="Q87" s="583"/>
      <c r="R87" s="584"/>
      <c r="S87" s="584"/>
      <c r="T87" s="584"/>
      <c r="U87" s="121"/>
      <c r="V87" s="516"/>
      <c r="W87" s="392"/>
      <c r="X87" s="396"/>
      <c r="Y87" s="474"/>
      <c r="Z87" s="464"/>
      <c r="AC87" s="434"/>
      <c r="AD87" s="482"/>
      <c r="AE87" s="394"/>
      <c r="AG87" s="237"/>
      <c r="AH87" s="236"/>
      <c r="AI87" s="235"/>
      <c r="AK87" s="152"/>
      <c r="AM87" s="239"/>
      <c r="AN87" s="243"/>
      <c r="AO87" s="240"/>
      <c r="AQ87" s="241"/>
      <c r="AR87" s="382"/>
      <c r="AT87" s="411"/>
    </row>
    <row r="88" spans="1:49" ht="51" outlineLevel="1" x14ac:dyDescent="0.3">
      <c r="A88" s="587"/>
      <c r="B88" s="587"/>
      <c r="C88" s="585"/>
      <c r="D88" s="588"/>
      <c r="E88" s="583"/>
      <c r="F88" s="539"/>
      <c r="G88" s="539"/>
      <c r="H88" s="583"/>
      <c r="I88" s="583"/>
      <c r="J88" s="583"/>
      <c r="K88" s="545" t="s">
        <v>345</v>
      </c>
      <c r="L88" s="591" t="str">
        <f>VLOOKUP(K88,материалы!$A$5:$G$31,5, FALSE)</f>
        <v>шт.</v>
      </c>
      <c r="M88" s="583">
        <f>VLOOKUP(K88,материалы!$A$5:$G$34,7, FALSE)</f>
        <v>30</v>
      </c>
      <c r="N88" s="583">
        <v>2</v>
      </c>
      <c r="O88" s="583">
        <f t="shared" si="38"/>
        <v>60</v>
      </c>
      <c r="P88" s="583"/>
      <c r="Q88" s="583"/>
      <c r="R88" s="584"/>
      <c r="S88" s="584"/>
      <c r="T88" s="584"/>
      <c r="U88" s="121"/>
      <c r="V88" s="516"/>
      <c r="W88" s="392"/>
      <c r="X88" s="396"/>
      <c r="Y88" s="474"/>
      <c r="Z88" s="464"/>
      <c r="AC88" s="434"/>
      <c r="AD88" s="482"/>
      <c r="AE88" s="394"/>
      <c r="AG88" s="237"/>
      <c r="AH88" s="236"/>
      <c r="AI88" s="235"/>
      <c r="AK88" s="152"/>
      <c r="AM88" s="239"/>
      <c r="AN88" s="243"/>
      <c r="AO88" s="240"/>
      <c r="AQ88" s="241"/>
      <c r="AR88" s="382"/>
      <c r="AT88" s="411"/>
    </row>
    <row r="89" spans="1:49" ht="17.25" customHeight="1" x14ac:dyDescent="0.25">
      <c r="A89" s="804" t="s">
        <v>470</v>
      </c>
      <c r="B89" s="804" t="s">
        <v>35</v>
      </c>
      <c r="C89" s="800" t="s">
        <v>393</v>
      </c>
      <c r="D89" s="805" t="s">
        <v>350</v>
      </c>
      <c r="E89" s="583" t="s">
        <v>169</v>
      </c>
      <c r="F89" s="583">
        <f>VLOOKUP(E89,'условия, ФОТ'!$A$14:$I$28,9, FALSE)</f>
        <v>326.24</v>
      </c>
      <c r="G89" s="583">
        <v>0.5</v>
      </c>
      <c r="H89" s="797">
        <f>ROUND((F89*G89+F90*G90),2)</f>
        <v>391.13</v>
      </c>
      <c r="I89" s="797">
        <f>ROUND(H89*$I$5,2)</f>
        <v>118.12</v>
      </c>
      <c r="J89" s="797">
        <f>H89+I89</f>
        <v>509.25</v>
      </c>
      <c r="K89" s="814"/>
      <c r="L89" s="797"/>
      <c r="M89" s="797"/>
      <c r="N89" s="797"/>
      <c r="O89" s="797">
        <f>SUM(O91:O98)</f>
        <v>264.08000000000004</v>
      </c>
      <c r="P89" s="820">
        <f>J89+O89</f>
        <v>773.33</v>
      </c>
      <c r="Q89" s="820">
        <f>ROUND(P89*$Q$5,2)</f>
        <v>599.33000000000004</v>
      </c>
      <c r="R89" s="833">
        <f>ROUND(T89/1.2,2)</f>
        <v>1788.33</v>
      </c>
      <c r="S89" s="833">
        <f>ROUND(R89*$S$5,2)</f>
        <v>357.67</v>
      </c>
      <c r="T89" s="798">
        <f>ROUND((P89+Q89)*(1+Y89)*1.2,0)</f>
        <v>2146</v>
      </c>
      <c r="U89" s="794">
        <v>1170</v>
      </c>
      <c r="V89" s="793">
        <f>T89/U89*100-100</f>
        <v>83.418803418803407</v>
      </c>
      <c r="W89" s="782"/>
      <c r="X89" s="837"/>
      <c r="Y89" s="859">
        <v>0.30280000000000001</v>
      </c>
      <c r="Z89" s="857" t="e">
        <f>#REF!*Y89</f>
        <v>#REF!</v>
      </c>
      <c r="AB89" s="404">
        <v>975.06200000000001</v>
      </c>
      <c r="AC89" s="741"/>
      <c r="AD89" s="763">
        <f>T89-U89</f>
        <v>976</v>
      </c>
      <c r="AE89" s="394"/>
      <c r="AG89" s="759">
        <v>0.16289999999999999</v>
      </c>
      <c r="AH89" s="751">
        <f t="shared" si="34"/>
        <v>0.16289999999999999</v>
      </c>
      <c r="AI89" s="751">
        <v>0</v>
      </c>
      <c r="AK89" s="879"/>
      <c r="AM89" s="759">
        <v>1.034</v>
      </c>
      <c r="AN89" s="877">
        <v>0.16289999999999999</v>
      </c>
      <c r="AO89" s="751" t="e">
        <f>#REF!-AM89</f>
        <v>#REF!</v>
      </c>
      <c r="AQ89" s="747">
        <f>Y89-AN89</f>
        <v>0.13990000000000002</v>
      </c>
      <c r="AR89" s="741">
        <v>975</v>
      </c>
      <c r="AS89" s="884" t="b">
        <f>W89=AR89</f>
        <v>0</v>
      </c>
      <c r="AT89" s="411" t="e">
        <f>ROUND(W89/T89*100-100,2)+#REF!</f>
        <v>#REF!</v>
      </c>
      <c r="AW89" t="e">
        <f>ROUND(T89/W89,3)</f>
        <v>#DIV/0!</v>
      </c>
    </row>
    <row r="90" spans="1:49" ht="23.25" customHeight="1" x14ac:dyDescent="0.25">
      <c r="A90" s="804"/>
      <c r="B90" s="804"/>
      <c r="C90" s="800"/>
      <c r="D90" s="805"/>
      <c r="E90" s="588" t="s">
        <v>174</v>
      </c>
      <c r="F90" s="583">
        <f>VLOOKUP(E90,'условия, ФОТ'!$A$14:$I$28,9, FALSE)</f>
        <v>456.01</v>
      </c>
      <c r="G90" s="583">
        <v>0.5</v>
      </c>
      <c r="H90" s="797">
        <f t="shared" ref="H90" si="39">ROUND(F90*G90,2)</f>
        <v>228.01</v>
      </c>
      <c r="I90" s="797">
        <f t="shared" ref="I90" si="40">ROUND(H90*$I$5,2)</f>
        <v>68.86</v>
      </c>
      <c r="J90" s="797">
        <f t="shared" ref="J90" si="41">H90+I90</f>
        <v>296.87</v>
      </c>
      <c r="K90" s="814"/>
      <c r="L90" s="797"/>
      <c r="M90" s="797"/>
      <c r="N90" s="797"/>
      <c r="O90" s="797"/>
      <c r="P90" s="821"/>
      <c r="Q90" s="821"/>
      <c r="R90" s="821"/>
      <c r="S90" s="821"/>
      <c r="T90" s="798">
        <f>ROUND((P90+Q90)*(1+$R$5)*1.18,0)</f>
        <v>0</v>
      </c>
      <c r="U90" s="795">
        <v>0</v>
      </c>
      <c r="V90" s="793"/>
      <c r="W90" s="782"/>
      <c r="X90" s="837"/>
      <c r="Y90" s="859"/>
      <c r="Z90" s="857"/>
      <c r="AC90" s="741"/>
      <c r="AD90" s="764"/>
      <c r="AE90" s="394"/>
      <c r="AG90" s="760"/>
      <c r="AH90" s="752"/>
      <c r="AI90" s="752"/>
      <c r="AK90" s="880"/>
      <c r="AM90" s="760"/>
      <c r="AN90" s="878"/>
      <c r="AO90" s="752"/>
      <c r="AQ90" s="748"/>
      <c r="AR90" s="741"/>
      <c r="AS90" s="884"/>
      <c r="AT90" s="411"/>
    </row>
    <row r="91" spans="1:49" ht="25.5" outlineLevel="1" x14ac:dyDescent="0.3">
      <c r="A91" s="587"/>
      <c r="B91" s="587"/>
      <c r="C91" s="585"/>
      <c r="D91" s="588"/>
      <c r="E91" s="583"/>
      <c r="F91" s="539"/>
      <c r="G91" s="539"/>
      <c r="H91" s="583"/>
      <c r="I91" s="583"/>
      <c r="J91" s="540" t="s">
        <v>385</v>
      </c>
      <c r="K91" s="545" t="s">
        <v>173</v>
      </c>
      <c r="L91" s="591" t="str">
        <f>VLOOKUP(K91,материалы!$A$5:$G$31,5, FALSE)</f>
        <v>шт.</v>
      </c>
      <c r="M91" s="583">
        <f>VLOOKUP(K91,материалы!$A$5:$G$34,7, FALSE)</f>
        <v>60</v>
      </c>
      <c r="N91" s="583">
        <v>1</v>
      </c>
      <c r="O91" s="583">
        <f t="shared" ref="O91:O98" si="42">ROUND(M91*N91,2)</f>
        <v>60</v>
      </c>
      <c r="P91" s="583"/>
      <c r="Q91" s="583"/>
      <c r="R91" s="584"/>
      <c r="S91" s="584"/>
      <c r="T91" s="584"/>
      <c r="U91" s="121"/>
      <c r="V91" s="125"/>
      <c r="W91" s="392"/>
      <c r="X91" s="396"/>
      <c r="Y91" s="474"/>
      <c r="Z91" s="464"/>
      <c r="AC91" s="434"/>
      <c r="AD91" s="482"/>
      <c r="AE91" s="394"/>
      <c r="AG91" s="237"/>
      <c r="AH91" s="236"/>
      <c r="AI91" s="235"/>
      <c r="AK91" s="152"/>
      <c r="AM91" s="239"/>
      <c r="AN91" s="243"/>
      <c r="AO91" s="240"/>
      <c r="AQ91" s="241"/>
      <c r="AR91" s="382"/>
      <c r="AT91" s="411"/>
    </row>
    <row r="92" spans="1:49" outlineLevel="1" x14ac:dyDescent="0.3">
      <c r="A92" s="587"/>
      <c r="B92" s="587"/>
      <c r="C92" s="585"/>
      <c r="D92" s="588"/>
      <c r="E92" s="583"/>
      <c r="F92" s="539"/>
      <c r="G92" s="539"/>
      <c r="H92" s="583"/>
      <c r="I92" s="583"/>
      <c r="J92" s="583"/>
      <c r="K92" s="545" t="s">
        <v>329</v>
      </c>
      <c r="L92" s="591" t="str">
        <f>VLOOKUP(K92,материалы!$A$5:$G$31,5, FALSE)</f>
        <v>м3</v>
      </c>
      <c r="M92" s="583">
        <f>VLOOKUP(K92,материалы!$A$5:$G$34,7, FALSE)</f>
        <v>1033.33</v>
      </c>
      <c r="N92" s="591">
        <v>8.7499999999999994E-2</v>
      </c>
      <c r="O92" s="583">
        <f t="shared" si="42"/>
        <v>90.42</v>
      </c>
      <c r="P92" s="583"/>
      <c r="Q92" s="583"/>
      <c r="R92" s="584"/>
      <c r="S92" s="584"/>
      <c r="T92" s="584"/>
      <c r="U92" s="121"/>
      <c r="V92" s="125"/>
      <c r="W92" s="392"/>
      <c r="X92" s="396"/>
      <c r="Y92" s="474"/>
      <c r="Z92" s="464"/>
      <c r="AC92" s="434"/>
      <c r="AD92" s="482"/>
      <c r="AE92" s="394"/>
      <c r="AG92" s="237"/>
      <c r="AH92" s="236"/>
      <c r="AI92" s="235"/>
      <c r="AK92" s="152"/>
      <c r="AM92" s="239"/>
      <c r="AN92" s="243"/>
      <c r="AO92" s="240"/>
      <c r="AQ92" s="241"/>
      <c r="AR92" s="382"/>
      <c r="AT92" s="411"/>
    </row>
    <row r="93" spans="1:49" ht="38.25" outlineLevel="1" x14ac:dyDescent="0.3">
      <c r="A93" s="587"/>
      <c r="B93" s="587"/>
      <c r="C93" s="585"/>
      <c r="D93" s="588"/>
      <c r="E93" s="583"/>
      <c r="F93" s="539"/>
      <c r="G93" s="539"/>
      <c r="H93" s="583"/>
      <c r="I93" s="583"/>
      <c r="J93" s="583"/>
      <c r="K93" s="545" t="s">
        <v>347</v>
      </c>
      <c r="L93" s="591" t="str">
        <f>VLOOKUP(K93,материалы!$A$5:$G$31,5, FALSE)</f>
        <v>кг</v>
      </c>
      <c r="M93" s="583">
        <f>VLOOKUP(K93,материалы!$A$5:$G$34,7, FALSE)</f>
        <v>300</v>
      </c>
      <c r="N93" s="583">
        <v>0.1</v>
      </c>
      <c r="O93" s="583">
        <f>ROUND(M93*N93,2)</f>
        <v>30</v>
      </c>
      <c r="P93" s="583"/>
      <c r="Q93" s="583"/>
      <c r="R93" s="584"/>
      <c r="S93" s="584"/>
      <c r="T93" s="584"/>
      <c r="U93" s="121"/>
      <c r="V93" s="125"/>
      <c r="W93" s="392"/>
      <c r="X93" s="396"/>
      <c r="Y93" s="474"/>
      <c r="Z93" s="464"/>
      <c r="AC93" s="434"/>
      <c r="AD93" s="482"/>
      <c r="AE93" s="394"/>
      <c r="AG93" s="237"/>
      <c r="AH93" s="236"/>
      <c r="AI93" s="235"/>
      <c r="AK93" s="152"/>
      <c r="AM93" s="239"/>
      <c r="AN93" s="243"/>
      <c r="AO93" s="240"/>
      <c r="AQ93" s="241"/>
      <c r="AR93" s="382"/>
      <c r="AT93" s="411"/>
    </row>
    <row r="94" spans="1:49" outlineLevel="1" x14ac:dyDescent="0.3">
      <c r="A94" s="587"/>
      <c r="B94" s="587"/>
      <c r="C94" s="585"/>
      <c r="D94" s="588"/>
      <c r="E94" s="583"/>
      <c r="F94" s="539"/>
      <c r="G94" s="539"/>
      <c r="H94" s="583"/>
      <c r="I94" s="583"/>
      <c r="J94" s="583"/>
      <c r="K94" s="545" t="s">
        <v>330</v>
      </c>
      <c r="L94" s="591" t="str">
        <f>VLOOKUP(K94,материалы!$A$5:$G$31,5, FALSE)</f>
        <v>м3</v>
      </c>
      <c r="M94" s="583">
        <f>VLOOKUP(K94,материалы!$A$5:$G$34,7, FALSE)</f>
        <v>116.67</v>
      </c>
      <c r="N94" s="583">
        <v>1.4999999999999999E-2</v>
      </c>
      <c r="O94" s="583">
        <f t="shared" si="42"/>
        <v>1.75</v>
      </c>
      <c r="P94" s="583"/>
      <c r="Q94" s="583"/>
      <c r="R94" s="584" t="s">
        <v>702</v>
      </c>
      <c r="S94" s="584"/>
      <c r="T94" s="584"/>
      <c r="U94" s="121"/>
      <c r="V94" s="125"/>
      <c r="W94" s="392"/>
      <c r="X94" s="396"/>
      <c r="Y94" s="474"/>
      <c r="Z94" s="464"/>
      <c r="AC94" s="434"/>
      <c r="AD94" s="482"/>
      <c r="AE94" s="394"/>
      <c r="AG94" s="237"/>
      <c r="AH94" s="236"/>
      <c r="AI94" s="235"/>
      <c r="AK94" s="152"/>
      <c r="AM94" s="239"/>
      <c r="AN94" s="243"/>
      <c r="AO94" s="240"/>
      <c r="AQ94" s="241"/>
      <c r="AR94" s="382"/>
      <c r="AT94" s="411"/>
    </row>
    <row r="95" spans="1:49" ht="29.25" customHeight="1" outlineLevel="1" x14ac:dyDescent="0.3">
      <c r="A95" s="587"/>
      <c r="B95" s="587"/>
      <c r="C95" s="585"/>
      <c r="D95" s="588"/>
      <c r="E95" s="583"/>
      <c r="F95" s="539"/>
      <c r="G95" s="539"/>
      <c r="H95" s="583"/>
      <c r="I95" s="583"/>
      <c r="J95" s="583"/>
      <c r="K95" s="545" t="s">
        <v>348</v>
      </c>
      <c r="L95" s="591" t="str">
        <f>VLOOKUP(K95,материалы!$A$5:$G$31,5, FALSE)</f>
        <v>шт.</v>
      </c>
      <c r="M95" s="583">
        <f>VLOOKUP(K95,материалы!$A$5:$G$34,7, FALSE)</f>
        <v>45</v>
      </c>
      <c r="N95" s="583">
        <v>0.25</v>
      </c>
      <c r="O95" s="583">
        <f t="shared" si="42"/>
        <v>11.25</v>
      </c>
      <c r="P95" s="583"/>
      <c r="Q95" s="583"/>
      <c r="R95" s="584"/>
      <c r="S95" s="584"/>
      <c r="T95" s="584"/>
      <c r="U95" s="121"/>
      <c r="V95" s="125"/>
      <c r="W95" s="392"/>
      <c r="X95" s="396"/>
      <c r="Y95" s="474"/>
      <c r="Z95" s="464"/>
      <c r="AC95" s="434"/>
      <c r="AD95" s="482"/>
      <c r="AE95" s="394"/>
      <c r="AG95" s="237"/>
      <c r="AH95" s="236"/>
      <c r="AI95" s="235"/>
      <c r="AK95" s="152"/>
      <c r="AM95" s="239"/>
      <c r="AN95" s="243"/>
      <c r="AO95" s="240"/>
      <c r="AQ95" s="241"/>
      <c r="AR95" s="382"/>
      <c r="AT95" s="411"/>
    </row>
    <row r="96" spans="1:49" ht="25.5" outlineLevel="1" x14ac:dyDescent="0.3">
      <c r="A96" s="587"/>
      <c r="B96" s="587"/>
      <c r="C96" s="585"/>
      <c r="D96" s="588"/>
      <c r="E96" s="583"/>
      <c r="F96" s="539"/>
      <c r="G96" s="539"/>
      <c r="H96" s="583"/>
      <c r="I96" s="583"/>
      <c r="J96" s="583"/>
      <c r="K96" s="545" t="s">
        <v>341</v>
      </c>
      <c r="L96" s="591" t="str">
        <f>VLOOKUP(K96,материалы!$A$5:$G$31,5, FALSE)</f>
        <v>кг</v>
      </c>
      <c r="M96" s="583">
        <f>VLOOKUP(K96,материалы!$A$5:$G$34,7, FALSE)</f>
        <v>950</v>
      </c>
      <c r="N96" s="583">
        <v>0.01</v>
      </c>
      <c r="O96" s="583">
        <f t="shared" si="42"/>
        <v>9.5</v>
      </c>
      <c r="P96" s="583"/>
      <c r="Q96" s="583"/>
      <c r="R96" s="584"/>
      <c r="S96" s="584"/>
      <c r="T96" s="584"/>
      <c r="U96" s="121"/>
      <c r="V96" s="125"/>
      <c r="W96" s="392"/>
      <c r="X96" s="396"/>
      <c r="Y96" s="474"/>
      <c r="Z96" s="464"/>
      <c r="AC96" s="434"/>
      <c r="AD96" s="482"/>
      <c r="AE96" s="394"/>
      <c r="AG96" s="237"/>
      <c r="AH96" s="236"/>
      <c r="AI96" s="235"/>
      <c r="AK96" s="152"/>
      <c r="AM96" s="239"/>
      <c r="AN96" s="243"/>
      <c r="AO96" s="240"/>
      <c r="AQ96" s="241"/>
      <c r="AR96" s="382"/>
      <c r="AT96" s="411"/>
    </row>
    <row r="97" spans="1:49" ht="38.25" outlineLevel="1" x14ac:dyDescent="0.3">
      <c r="A97" s="587"/>
      <c r="B97" s="587"/>
      <c r="C97" s="585"/>
      <c r="D97" s="588"/>
      <c r="E97" s="583"/>
      <c r="F97" s="539"/>
      <c r="G97" s="539"/>
      <c r="H97" s="583"/>
      <c r="I97" s="583"/>
      <c r="J97" s="583"/>
      <c r="K97" s="545" t="s">
        <v>390</v>
      </c>
      <c r="L97" s="591" t="str">
        <f>VLOOKUP(K97,материалы!$A$5:$G$31,5, FALSE)</f>
        <v>шт.</v>
      </c>
      <c r="M97" s="583">
        <f>VLOOKUP(K97,материалы!$A$5:$G$34,7, FALSE)</f>
        <v>0.57999999999999996</v>
      </c>
      <c r="N97" s="583">
        <v>2</v>
      </c>
      <c r="O97" s="583">
        <f t="shared" si="42"/>
        <v>1.1599999999999999</v>
      </c>
      <c r="P97" s="583"/>
      <c r="Q97" s="583"/>
      <c r="R97" s="584"/>
      <c r="S97" s="584"/>
      <c r="T97" s="584"/>
      <c r="U97" s="121"/>
      <c r="V97" s="125"/>
      <c r="W97" s="392"/>
      <c r="X97" s="396"/>
      <c r="Y97" s="474"/>
      <c r="Z97" s="464"/>
      <c r="AC97" s="434"/>
      <c r="AD97" s="482"/>
      <c r="AE97" s="394"/>
      <c r="AG97" s="237"/>
      <c r="AH97" s="236"/>
      <c r="AI97" s="235"/>
      <c r="AK97" s="152"/>
      <c r="AM97" s="239"/>
      <c r="AN97" s="243"/>
      <c r="AO97" s="240"/>
      <c r="AQ97" s="241"/>
      <c r="AR97" s="382"/>
      <c r="AT97" s="411"/>
    </row>
    <row r="98" spans="1:49" ht="51" outlineLevel="1" x14ac:dyDescent="0.3">
      <c r="A98" s="587"/>
      <c r="B98" s="587"/>
      <c r="C98" s="585"/>
      <c r="D98" s="588"/>
      <c r="E98" s="583"/>
      <c r="F98" s="539"/>
      <c r="G98" s="539"/>
      <c r="H98" s="583"/>
      <c r="I98" s="583"/>
      <c r="J98" s="583"/>
      <c r="K98" s="545" t="s">
        <v>345</v>
      </c>
      <c r="L98" s="591" t="str">
        <f>VLOOKUP(K98,материалы!$A$5:$G$31,5, FALSE)</f>
        <v>шт.</v>
      </c>
      <c r="M98" s="583">
        <f>VLOOKUP(K98,материалы!$A$5:$G$34,7, FALSE)</f>
        <v>30</v>
      </c>
      <c r="N98" s="583">
        <v>2</v>
      </c>
      <c r="O98" s="583">
        <f t="shared" si="42"/>
        <v>60</v>
      </c>
      <c r="P98" s="583"/>
      <c r="Q98" s="583"/>
      <c r="R98" s="584"/>
      <c r="S98" s="584"/>
      <c r="T98" s="584"/>
      <c r="U98" s="121"/>
      <c r="V98" s="125"/>
      <c r="W98" s="392"/>
      <c r="X98" s="396"/>
      <c r="Y98" s="474"/>
      <c r="Z98" s="464"/>
      <c r="AC98" s="434"/>
      <c r="AD98" s="482"/>
      <c r="AE98" s="394"/>
      <c r="AG98" s="237"/>
      <c r="AH98" s="236"/>
      <c r="AI98" s="235"/>
      <c r="AK98" s="152"/>
      <c r="AM98" s="239"/>
      <c r="AN98" s="243"/>
      <c r="AO98" s="240"/>
      <c r="AQ98" s="241"/>
      <c r="AR98" s="382"/>
      <c r="AT98" s="411"/>
    </row>
    <row r="99" spans="1:49" ht="44.25" customHeight="1" x14ac:dyDescent="0.3">
      <c r="A99" s="587" t="s">
        <v>471</v>
      </c>
      <c r="B99" s="587" t="s">
        <v>354</v>
      </c>
      <c r="C99" s="585" t="s">
        <v>355</v>
      </c>
      <c r="D99" s="588" t="s">
        <v>20</v>
      </c>
      <c r="E99" s="583" t="s">
        <v>169</v>
      </c>
      <c r="F99" s="583">
        <f>VLOOKUP(E99,'условия, ФОТ'!$A$14:$I$28,9, FALSE)</f>
        <v>326.24</v>
      </c>
      <c r="G99" s="583">
        <v>1.44</v>
      </c>
      <c r="H99" s="583">
        <f t="shared" ref="H99" si="43">ROUND(F99*G99,2)</f>
        <v>469.79</v>
      </c>
      <c r="I99" s="583">
        <f t="shared" ref="I99" si="44">ROUND(H99*$I$5,2)</f>
        <v>141.88</v>
      </c>
      <c r="J99" s="583">
        <f t="shared" ref="J99" si="45">H99+I99</f>
        <v>611.67000000000007</v>
      </c>
      <c r="K99" s="589"/>
      <c r="L99" s="583"/>
      <c r="M99" s="583"/>
      <c r="N99" s="583"/>
      <c r="O99" s="583"/>
      <c r="P99" s="583">
        <f t="shared" ref="P99" si="46">J99+O99</f>
        <v>611.67000000000007</v>
      </c>
      <c r="Q99" s="583">
        <f t="shared" ref="Q99" si="47">ROUND(P99*$Q$5,2)</f>
        <v>474.04</v>
      </c>
      <c r="R99" s="584">
        <f>ROUND(T99/1.2,2)</f>
        <v>1169.17</v>
      </c>
      <c r="S99" s="584">
        <f t="shared" ref="S99" si="48">ROUND(R99*$S$5,2)</f>
        <v>233.83</v>
      </c>
      <c r="T99" s="584">
        <f>ROUND((P99+Q99)*(1+Y99)*1.2,0)</f>
        <v>1403</v>
      </c>
      <c r="U99" s="121">
        <v>863</v>
      </c>
      <c r="V99" s="122">
        <f t="shared" ref="V99:V101" si="49">T99/U99*100-100</f>
        <v>62.572421784472766</v>
      </c>
      <c r="W99" s="470"/>
      <c r="X99" s="396"/>
      <c r="Y99" s="514">
        <v>7.7200000000000005E-2</v>
      </c>
      <c r="Z99" s="464" t="e">
        <f>#REF!*Y99</f>
        <v>#REF!</v>
      </c>
      <c r="AB99" s="404">
        <v>646.25</v>
      </c>
      <c r="AC99" s="434"/>
      <c r="AD99" s="478">
        <f>T99-U99</f>
        <v>540</v>
      </c>
      <c r="AE99" s="394"/>
      <c r="AG99" s="237">
        <v>-2.93E-2</v>
      </c>
      <c r="AH99" s="236">
        <f t="shared" si="34"/>
        <v>1.0293000000000001</v>
      </c>
      <c r="AI99" s="235">
        <v>1.0640000000000001</v>
      </c>
      <c r="AK99" s="152">
        <f>ROUND(W99*AI99,2)</f>
        <v>0</v>
      </c>
      <c r="AM99" s="239">
        <v>1.034</v>
      </c>
      <c r="AN99" s="243">
        <v>-2.93E-2</v>
      </c>
      <c r="AO99" s="240" t="e">
        <f>#REF!-AM99</f>
        <v>#REF!</v>
      </c>
      <c r="AQ99" s="241">
        <f>Y99-AN99</f>
        <v>0.10650000000000001</v>
      </c>
      <c r="AR99" s="382">
        <v>699</v>
      </c>
      <c r="AS99" s="388" t="b">
        <f>W99=AR99</f>
        <v>0</v>
      </c>
      <c r="AT99" s="411" t="e">
        <f>ROUND(W99/T99*100-100,2)+#REF!</f>
        <v>#REF!</v>
      </c>
      <c r="AW99" t="e">
        <f>ROUND(T99/W99,3)</f>
        <v>#DIV/0!</v>
      </c>
    </row>
    <row r="100" spans="1:49" s="83" customFormat="1" ht="24" customHeight="1" x14ac:dyDescent="0.3">
      <c r="A100" s="806" t="s">
        <v>615</v>
      </c>
      <c r="B100" s="807"/>
      <c r="C100" s="807"/>
      <c r="D100" s="807"/>
      <c r="E100" s="807"/>
      <c r="F100" s="807"/>
      <c r="G100" s="807"/>
      <c r="H100" s="807"/>
      <c r="I100" s="807"/>
      <c r="J100" s="807"/>
      <c r="K100" s="807"/>
      <c r="L100" s="807"/>
      <c r="M100" s="807"/>
      <c r="N100" s="807"/>
      <c r="O100" s="807"/>
      <c r="P100" s="807"/>
      <c r="Q100" s="807"/>
      <c r="R100" s="807"/>
      <c r="S100" s="807"/>
      <c r="T100" s="808"/>
      <c r="U100" s="129"/>
      <c r="V100" s="125"/>
      <c r="W100" s="392"/>
      <c r="X100" s="396"/>
      <c r="Y100" s="474"/>
      <c r="Z100" s="464"/>
      <c r="AA100" s="445"/>
      <c r="AB100" s="404"/>
      <c r="AC100" s="391"/>
      <c r="AD100" s="482"/>
      <c r="AE100" s="394"/>
      <c r="AG100" s="162"/>
      <c r="AH100" s="236"/>
      <c r="AI100" s="235"/>
      <c r="AK100" s="152"/>
      <c r="AL100" s="150"/>
      <c r="AM100" s="162"/>
      <c r="AN100" s="242"/>
      <c r="AO100" s="240"/>
      <c r="AQ100" s="241"/>
      <c r="AR100" s="391"/>
      <c r="AS100" s="388"/>
      <c r="AT100" s="411"/>
      <c r="AU100"/>
      <c r="AV100"/>
      <c r="AW100"/>
    </row>
    <row r="101" spans="1:49" ht="39" customHeight="1" x14ac:dyDescent="0.3">
      <c r="A101" s="587" t="s">
        <v>472</v>
      </c>
      <c r="B101" s="592" t="s">
        <v>352</v>
      </c>
      <c r="C101" s="585" t="s">
        <v>379</v>
      </c>
      <c r="D101" s="588" t="s">
        <v>176</v>
      </c>
      <c r="E101" s="588" t="s">
        <v>169</v>
      </c>
      <c r="F101" s="583">
        <f>VLOOKUP(E101,'условия, ФОТ'!$A$14:$I$28,9, FALSE)</f>
        <v>326.24</v>
      </c>
      <c r="G101" s="583">
        <v>0.4</v>
      </c>
      <c r="H101" s="583">
        <f>ROUND(F101*G101,2)</f>
        <v>130.5</v>
      </c>
      <c r="I101" s="583">
        <f>ROUND(H101*$I$5,2)</f>
        <v>39.409999999999997</v>
      </c>
      <c r="J101" s="583">
        <f>H101+I101</f>
        <v>169.91</v>
      </c>
      <c r="K101" s="567"/>
      <c r="L101" s="568"/>
      <c r="M101" s="568"/>
      <c r="N101" s="568"/>
      <c r="O101" s="568"/>
      <c r="P101" s="583">
        <f>J101+O101</f>
        <v>169.91</v>
      </c>
      <c r="Q101" s="583">
        <f>ROUND(P101*$Q$5,2)</f>
        <v>131.68</v>
      </c>
      <c r="R101" s="584">
        <f>ROUND(T101/1.2,2)</f>
        <v>333.33</v>
      </c>
      <c r="S101" s="584">
        <f>ROUND(R101*$S$5,2)</f>
        <v>66.67</v>
      </c>
      <c r="T101" s="584">
        <f>ROUND((P101+Q101)*(1+Y101)*1.2,0)</f>
        <v>400</v>
      </c>
      <c r="U101" s="121">
        <v>231</v>
      </c>
      <c r="V101" s="122">
        <f t="shared" si="49"/>
        <v>73.160173160173144</v>
      </c>
      <c r="W101" s="470">
        <v>400</v>
      </c>
      <c r="X101" s="396">
        <f t="shared" ref="X101" si="50">ROUND((P101+Q101)*1.2,2)</f>
        <v>361.91</v>
      </c>
      <c r="Y101" s="474">
        <f>ROUND((W101/X101)*100%-100%,4)</f>
        <v>0.1052</v>
      </c>
      <c r="Z101" s="464" t="e">
        <f>#REF!*Y101</f>
        <v>#REF!</v>
      </c>
      <c r="AB101" s="404">
        <v>158.202</v>
      </c>
      <c r="AC101" s="434"/>
      <c r="AD101" s="478">
        <f>T101-U101</f>
        <v>169</v>
      </c>
      <c r="AE101" s="394"/>
      <c r="AG101" s="237">
        <v>-0.1447</v>
      </c>
      <c r="AH101" s="236">
        <f t="shared" si="34"/>
        <v>1.1447000000000001</v>
      </c>
      <c r="AI101" s="235">
        <v>1.1839999999999999</v>
      </c>
      <c r="AK101" s="152">
        <f>ROUND(W101*AI101,2)</f>
        <v>473.6</v>
      </c>
      <c r="AM101" s="239">
        <v>1.034</v>
      </c>
      <c r="AN101" s="243">
        <v>-0.1447</v>
      </c>
      <c r="AO101" s="240" t="e">
        <f>#REF!-AM101</f>
        <v>#REF!</v>
      </c>
      <c r="AQ101" s="241">
        <f>Y101-AN101</f>
        <v>0.24990000000000001</v>
      </c>
      <c r="AR101" s="382">
        <v>194</v>
      </c>
      <c r="AS101" s="388" t="b">
        <f>W101=AR101</f>
        <v>0</v>
      </c>
      <c r="AT101" s="411" t="e">
        <f>ROUND(W101/T101*100-100,2)+#REF!</f>
        <v>#REF!</v>
      </c>
      <c r="AW101">
        <f>ROUND(T101/W101,3)</f>
        <v>1</v>
      </c>
    </row>
    <row r="102" spans="1:49" ht="31.7" customHeight="1" x14ac:dyDescent="0.3">
      <c r="A102" s="862" t="s">
        <v>231</v>
      </c>
      <c r="B102" s="863"/>
      <c r="C102" s="863"/>
      <c r="D102" s="863"/>
      <c r="E102" s="863"/>
      <c r="F102" s="863"/>
      <c r="G102" s="863"/>
      <c r="H102" s="863"/>
      <c r="I102" s="863"/>
      <c r="J102" s="863"/>
      <c r="K102" s="863"/>
      <c r="L102" s="863"/>
      <c r="M102" s="863"/>
      <c r="N102" s="863"/>
      <c r="O102" s="863"/>
      <c r="P102" s="863"/>
      <c r="Q102" s="863"/>
      <c r="R102" s="546"/>
      <c r="S102" s="546"/>
      <c r="T102" s="546"/>
      <c r="U102" s="130"/>
      <c r="V102" s="125"/>
      <c r="W102" s="392"/>
      <c r="X102" s="396"/>
      <c r="Y102" s="474"/>
      <c r="Z102" s="464"/>
      <c r="AC102" s="391"/>
      <c r="AD102" s="482"/>
      <c r="AE102" s="394"/>
      <c r="AG102" s="237"/>
      <c r="AH102" s="236"/>
      <c r="AI102" s="235"/>
      <c r="AK102" s="152"/>
      <c r="AM102" s="239"/>
      <c r="AN102" s="243"/>
      <c r="AO102" s="240"/>
      <c r="AQ102" s="241"/>
      <c r="AR102" s="391"/>
      <c r="AT102" s="411"/>
    </row>
    <row r="103" spans="1:49" ht="37.5" customHeight="1" x14ac:dyDescent="0.3">
      <c r="A103" s="587" t="s">
        <v>473</v>
      </c>
      <c r="B103" s="587" t="s">
        <v>184</v>
      </c>
      <c r="C103" s="585" t="s">
        <v>394</v>
      </c>
      <c r="D103" s="588" t="s">
        <v>40</v>
      </c>
      <c r="E103" s="588" t="s">
        <v>169</v>
      </c>
      <c r="F103" s="583">
        <f>VLOOKUP(E103,'условия, ФОТ'!$A$14:$I$28,9, FALSE)</f>
        <v>326.24</v>
      </c>
      <c r="G103" s="591">
        <v>1</v>
      </c>
      <c r="H103" s="583">
        <f>ROUND(F103*G103,2)</f>
        <v>326.24</v>
      </c>
      <c r="I103" s="583">
        <f>ROUND(H103*$I$5,2)</f>
        <v>98.52</v>
      </c>
      <c r="J103" s="583">
        <f>H103+I103</f>
        <v>424.76</v>
      </c>
      <c r="K103" s="589"/>
      <c r="L103" s="583"/>
      <c r="M103" s="583"/>
      <c r="N103" s="583"/>
      <c r="O103" s="583">
        <f>SUM(O104:O106)</f>
        <v>5.6499999999999995</v>
      </c>
      <c r="P103" s="583">
        <f>J103+O103</f>
        <v>430.40999999999997</v>
      </c>
      <c r="Q103" s="583">
        <f>ROUND(P103*$Q$5,2)</f>
        <v>333.57</v>
      </c>
      <c r="R103" s="584">
        <f>ROUND(T103/1.2,2)</f>
        <v>822.5</v>
      </c>
      <c r="S103" s="584">
        <f>ROUND(R103*$S$5,2)</f>
        <v>164.5</v>
      </c>
      <c r="T103" s="584">
        <f>ROUND((P103+Q103)*(1+Y103)*1.2,0)</f>
        <v>987</v>
      </c>
      <c r="U103" s="121">
        <v>608</v>
      </c>
      <c r="V103" s="122">
        <f>T103/U103*100-100</f>
        <v>62.33552631578948</v>
      </c>
      <c r="W103" s="470"/>
      <c r="X103" s="396"/>
      <c r="Y103" s="514">
        <v>7.6300000000000007E-2</v>
      </c>
      <c r="Z103" s="464" t="e">
        <f>#REF!*Y103</f>
        <v>#REF!</v>
      </c>
      <c r="AB103" s="404">
        <v>459.096</v>
      </c>
      <c r="AC103" s="434"/>
      <c r="AD103" s="478">
        <f>T103-U103</f>
        <v>379</v>
      </c>
      <c r="AE103" s="394"/>
      <c r="AG103" s="237">
        <v>-2.5100000000000001E-2</v>
      </c>
      <c r="AH103" s="236">
        <f t="shared" si="34"/>
        <v>1.0250999999999999</v>
      </c>
      <c r="AI103" s="235">
        <v>1.06</v>
      </c>
      <c r="AK103" s="152">
        <f>ROUND(W103*AI103,2)</f>
        <v>0</v>
      </c>
      <c r="AM103" s="239">
        <v>1.034</v>
      </c>
      <c r="AN103" s="243">
        <v>-2.5100000000000001E-2</v>
      </c>
      <c r="AO103" s="240" t="e">
        <f>#REF!-AM103</f>
        <v>#REF!</v>
      </c>
      <c r="AQ103" s="241">
        <f>Y103-AN103</f>
        <v>0.1014</v>
      </c>
      <c r="AR103" s="382">
        <v>494</v>
      </c>
      <c r="AS103" s="388" t="b">
        <f>W103=AR103</f>
        <v>0</v>
      </c>
      <c r="AT103" s="411" t="e">
        <f>ROUND(W103/T103*100-100,2)+#REF!</f>
        <v>#REF!</v>
      </c>
      <c r="AW103" t="e">
        <f>ROUND(T103/W103,3)</f>
        <v>#DIV/0!</v>
      </c>
    </row>
    <row r="104" spans="1:49" ht="26.25" customHeight="1" outlineLevel="1" x14ac:dyDescent="0.3">
      <c r="A104" s="587"/>
      <c r="B104" s="587"/>
      <c r="C104" s="585"/>
      <c r="D104" s="588"/>
      <c r="E104" s="588"/>
      <c r="F104" s="583"/>
      <c r="G104" s="591"/>
      <c r="H104" s="583"/>
      <c r="I104" s="583"/>
      <c r="J104" s="540" t="s">
        <v>385</v>
      </c>
      <c r="K104" s="545" t="s">
        <v>341</v>
      </c>
      <c r="L104" s="591" t="str">
        <f>VLOOKUP(K104,материалы!$A$5:$G$31,5, FALSE)</f>
        <v>кг</v>
      </c>
      <c r="M104" s="583">
        <f>VLOOKUP(K104,материалы!$A$5:$G$34,7, FALSE)</f>
        <v>950</v>
      </c>
      <c r="N104" s="583">
        <v>5.0000000000000001E-3</v>
      </c>
      <c r="O104" s="583">
        <f>ROUND(M104*N104,2)</f>
        <v>4.75</v>
      </c>
      <c r="P104" s="583"/>
      <c r="Q104" s="583"/>
      <c r="R104" s="584"/>
      <c r="S104" s="584"/>
      <c r="T104" s="584"/>
      <c r="U104" s="121"/>
      <c r="V104" s="122"/>
      <c r="W104" s="392"/>
      <c r="X104" s="396"/>
      <c r="Y104" s="474"/>
      <c r="Z104" s="464"/>
      <c r="AC104" s="434"/>
      <c r="AD104" s="482"/>
      <c r="AE104" s="394"/>
      <c r="AG104" s="237"/>
      <c r="AH104" s="236"/>
      <c r="AI104" s="235"/>
      <c r="AK104" s="152"/>
      <c r="AM104" s="239"/>
      <c r="AN104" s="243"/>
      <c r="AO104" s="240"/>
      <c r="AQ104" s="241"/>
      <c r="AR104" s="382"/>
      <c r="AT104" s="411"/>
    </row>
    <row r="105" spans="1:49" ht="18.95" customHeight="1" outlineLevel="1" x14ac:dyDescent="0.3">
      <c r="A105" s="587"/>
      <c r="B105" s="587"/>
      <c r="C105" s="585"/>
      <c r="D105" s="588"/>
      <c r="E105" s="588"/>
      <c r="F105" s="583"/>
      <c r="G105" s="591"/>
      <c r="H105" s="583"/>
      <c r="I105" s="583"/>
      <c r="J105" s="583"/>
      <c r="K105" s="541" t="s">
        <v>335</v>
      </c>
      <c r="L105" s="591" t="str">
        <f>VLOOKUP(K105,материалы!$A$5:$G$31,5, FALSE)</f>
        <v>кг</v>
      </c>
      <c r="M105" s="583">
        <f>VLOOKUP(K105,материалы!$A$5:$G$34,7, FALSE)</f>
        <v>95</v>
      </c>
      <c r="N105" s="544">
        <v>1E-3</v>
      </c>
      <c r="O105" s="583">
        <f>ROUND(M105*N105,2)</f>
        <v>0.1</v>
      </c>
      <c r="P105" s="583"/>
      <c r="Q105" s="583"/>
      <c r="R105" s="584"/>
      <c r="S105" s="584"/>
      <c r="T105" s="584"/>
      <c r="U105" s="121"/>
      <c r="V105" s="122"/>
      <c r="W105" s="392"/>
      <c r="X105" s="396"/>
      <c r="Y105" s="474"/>
      <c r="Z105" s="464"/>
      <c r="AC105" s="434"/>
      <c r="AD105" s="482"/>
      <c r="AE105" s="394"/>
      <c r="AG105" s="237"/>
      <c r="AH105" s="236"/>
      <c r="AI105" s="235"/>
      <c r="AK105" s="152"/>
      <c r="AM105" s="239"/>
      <c r="AN105" s="243"/>
      <c r="AO105" s="240"/>
      <c r="AQ105" s="241"/>
      <c r="AR105" s="382"/>
      <c r="AT105" s="411"/>
    </row>
    <row r="106" spans="1:49" ht="21" customHeight="1" outlineLevel="1" x14ac:dyDescent="0.3">
      <c r="A106" s="587"/>
      <c r="B106" s="587"/>
      <c r="C106" s="585"/>
      <c r="D106" s="588"/>
      <c r="E106" s="588"/>
      <c r="F106" s="583"/>
      <c r="G106" s="591"/>
      <c r="H106" s="583"/>
      <c r="I106" s="583"/>
      <c r="J106" s="583"/>
      <c r="K106" s="541" t="s">
        <v>336</v>
      </c>
      <c r="L106" s="591" t="str">
        <f>VLOOKUP(K106,материалы!$A$5:$G$31,5, FALSE)</f>
        <v>кг</v>
      </c>
      <c r="M106" s="583">
        <f>VLOOKUP(K106,материалы!$A$5:$G$34,7, FALSE)</f>
        <v>80</v>
      </c>
      <c r="N106" s="591">
        <v>0.01</v>
      </c>
      <c r="O106" s="583">
        <f>ROUND(M106*N106,2)</f>
        <v>0.8</v>
      </c>
      <c r="P106" s="583"/>
      <c r="Q106" s="583"/>
      <c r="R106" s="584"/>
      <c r="S106" s="584"/>
      <c r="T106" s="584"/>
      <c r="U106" s="121"/>
      <c r="V106" s="122"/>
      <c r="W106" s="392"/>
      <c r="X106" s="396"/>
      <c r="Y106" s="474"/>
      <c r="Z106" s="464"/>
      <c r="AC106" s="434"/>
      <c r="AD106" s="482"/>
      <c r="AE106" s="394"/>
      <c r="AG106" s="237"/>
      <c r="AH106" s="236"/>
      <c r="AI106" s="235"/>
      <c r="AK106" s="152"/>
      <c r="AM106" s="239"/>
      <c r="AN106" s="243"/>
      <c r="AO106" s="240"/>
      <c r="AQ106" s="241"/>
      <c r="AR106" s="382"/>
      <c r="AT106" s="411"/>
    </row>
    <row r="107" spans="1:49" ht="39.75" customHeight="1" x14ac:dyDescent="0.3">
      <c r="A107" s="587" t="s">
        <v>474</v>
      </c>
      <c r="B107" s="800" t="s">
        <v>709</v>
      </c>
      <c r="C107" s="800"/>
      <c r="D107" s="588" t="s">
        <v>40</v>
      </c>
      <c r="E107" s="539"/>
      <c r="F107" s="583"/>
      <c r="G107" s="591"/>
      <c r="H107" s="583"/>
      <c r="I107" s="583"/>
      <c r="J107" s="583"/>
      <c r="K107" s="589"/>
      <c r="L107" s="583"/>
      <c r="M107" s="583"/>
      <c r="N107" s="583"/>
      <c r="O107" s="583"/>
      <c r="P107" s="583"/>
      <c r="Q107" s="583"/>
      <c r="R107" s="584"/>
      <c r="S107" s="584"/>
      <c r="T107" s="584"/>
      <c r="U107" s="121"/>
      <c r="V107" s="122"/>
      <c r="W107" s="392"/>
      <c r="X107" s="396"/>
      <c r="Y107" s="474"/>
      <c r="Z107" s="464"/>
      <c r="AC107" s="434"/>
      <c r="AD107" s="482"/>
      <c r="AE107" s="394"/>
      <c r="AG107" s="237"/>
      <c r="AH107" s="236"/>
      <c r="AI107" s="235"/>
      <c r="AK107" s="152"/>
      <c r="AM107" s="239"/>
      <c r="AN107" s="243"/>
      <c r="AO107" s="240"/>
      <c r="AQ107" s="241"/>
      <c r="AR107" s="382"/>
      <c r="AT107" s="411"/>
    </row>
    <row r="108" spans="1:49" ht="23.25" customHeight="1" x14ac:dyDescent="0.25">
      <c r="A108" s="804" t="s">
        <v>363</v>
      </c>
      <c r="B108" s="804" t="s">
        <v>180</v>
      </c>
      <c r="C108" s="800" t="s">
        <v>23</v>
      </c>
      <c r="D108" s="805" t="s">
        <v>24</v>
      </c>
      <c r="E108" s="588" t="s">
        <v>174</v>
      </c>
      <c r="F108" s="583">
        <f>VLOOKUP(E108,'условия, ФОТ'!$A$14:$I$28,9, FALSE)</f>
        <v>456.01</v>
      </c>
      <c r="G108" s="591">
        <v>0.68</v>
      </c>
      <c r="H108" s="797">
        <f>ROUND(F108*G108+F109*G109,2)</f>
        <v>531.92999999999995</v>
      </c>
      <c r="I108" s="797">
        <f t="shared" ref="I108:I109" si="51">ROUND(H108*$I$5,2)</f>
        <v>160.63999999999999</v>
      </c>
      <c r="J108" s="797">
        <f t="shared" ref="J108:J109" si="52">H108+I108</f>
        <v>692.56999999999994</v>
      </c>
      <c r="K108" s="814"/>
      <c r="L108" s="797"/>
      <c r="M108" s="797"/>
      <c r="N108" s="797"/>
      <c r="O108" s="797">
        <f>SUM(O110:O116)</f>
        <v>185.07000000000002</v>
      </c>
      <c r="P108" s="797">
        <f>J108+O108</f>
        <v>877.64</v>
      </c>
      <c r="Q108" s="797">
        <f t="shared" ref="Q108:Q109" si="53">ROUND(P108*$Q$5,2)</f>
        <v>680.17</v>
      </c>
      <c r="R108" s="798">
        <f>ROUND(T108/1.2,2)</f>
        <v>1753.33</v>
      </c>
      <c r="S108" s="798">
        <f t="shared" ref="S108:S109" si="54">ROUND(R108*$S$5,2)</f>
        <v>350.67</v>
      </c>
      <c r="T108" s="798">
        <f>ROUND((P108+Q108)*(1+Y108)*1.2,0)</f>
        <v>2104</v>
      </c>
      <c r="U108" s="794">
        <v>1190</v>
      </c>
      <c r="V108" s="122">
        <f t="shared" ref="V108:V258" si="55">T108/U108*100-100</f>
        <v>76.806722689075627</v>
      </c>
      <c r="W108" s="782"/>
      <c r="X108" s="837"/>
      <c r="Y108" s="859">
        <v>0.12559999999999999</v>
      </c>
      <c r="Z108" s="776" t="e">
        <f>#REF!*Y108</f>
        <v>#REF!</v>
      </c>
      <c r="AB108" s="404">
        <v>967.82400000000007</v>
      </c>
      <c r="AC108" s="741"/>
      <c r="AD108" s="763">
        <f>T108-U108</f>
        <v>914</v>
      </c>
      <c r="AE108" s="394"/>
      <c r="AG108" s="759">
        <v>0.1414</v>
      </c>
      <c r="AH108" s="751">
        <f t="shared" si="34"/>
        <v>0.1414</v>
      </c>
      <c r="AI108" s="751">
        <v>0</v>
      </c>
      <c r="AK108" s="152"/>
      <c r="AM108" s="759">
        <v>1.034</v>
      </c>
      <c r="AN108" s="877">
        <v>0.1414</v>
      </c>
      <c r="AO108" s="751" t="e">
        <f>#REF!-AM108</f>
        <v>#REF!</v>
      </c>
      <c r="AQ108" s="747">
        <f>Y108-AN108</f>
        <v>-1.5800000000000008E-2</v>
      </c>
      <c r="AR108" s="741">
        <v>968</v>
      </c>
      <c r="AS108" s="884" t="b">
        <f>W108=AR108</f>
        <v>0</v>
      </c>
      <c r="AT108" s="411" t="e">
        <f>ROUND(W108/T108*100-100,2)+#REF!</f>
        <v>#REF!</v>
      </c>
      <c r="AW108" t="e">
        <f>ROUND(T108/W108,3)</f>
        <v>#DIV/0!</v>
      </c>
    </row>
    <row r="109" spans="1:49" ht="24" customHeight="1" x14ac:dyDescent="0.25">
      <c r="A109" s="804"/>
      <c r="B109" s="804"/>
      <c r="C109" s="800"/>
      <c r="D109" s="805"/>
      <c r="E109" s="588" t="s">
        <v>169</v>
      </c>
      <c r="F109" s="583">
        <f>VLOOKUP(E109,'условия, ФОТ'!$A$14:$I$28,9, FALSE)</f>
        <v>326.24</v>
      </c>
      <c r="G109" s="591">
        <v>0.68</v>
      </c>
      <c r="H109" s="797"/>
      <c r="I109" s="797">
        <f t="shared" si="51"/>
        <v>0</v>
      </c>
      <c r="J109" s="797">
        <f t="shared" si="52"/>
        <v>0</v>
      </c>
      <c r="K109" s="814"/>
      <c r="L109" s="797"/>
      <c r="M109" s="797"/>
      <c r="N109" s="797"/>
      <c r="O109" s="797"/>
      <c r="P109" s="797"/>
      <c r="Q109" s="797">
        <f t="shared" si="53"/>
        <v>0</v>
      </c>
      <c r="R109" s="798">
        <f t="shared" ref="R109" si="56">ROUND(T109/1.18,2)</f>
        <v>0</v>
      </c>
      <c r="S109" s="798">
        <f t="shared" si="54"/>
        <v>0</v>
      </c>
      <c r="T109" s="798">
        <f>ROUND((P109+Q109)*(1+$R$5)*1.18,0)</f>
        <v>0</v>
      </c>
      <c r="U109" s="795"/>
      <c r="V109" s="122"/>
      <c r="W109" s="782"/>
      <c r="X109" s="837"/>
      <c r="Y109" s="859"/>
      <c r="Z109" s="777"/>
      <c r="AC109" s="741"/>
      <c r="AD109" s="764"/>
      <c r="AE109" s="394"/>
      <c r="AG109" s="760"/>
      <c r="AH109" s="752"/>
      <c r="AI109" s="752"/>
      <c r="AK109" s="152"/>
      <c r="AM109" s="760"/>
      <c r="AN109" s="878"/>
      <c r="AO109" s="752"/>
      <c r="AQ109" s="748"/>
      <c r="AR109" s="741"/>
      <c r="AS109" s="884"/>
      <c r="AT109" s="411"/>
    </row>
    <row r="110" spans="1:49" ht="17.25" customHeight="1" outlineLevel="1" x14ac:dyDescent="0.3">
      <c r="A110" s="804"/>
      <c r="B110" s="587"/>
      <c r="C110" s="585"/>
      <c r="D110" s="588"/>
      <c r="E110" s="588"/>
      <c r="F110" s="583"/>
      <c r="G110" s="591"/>
      <c r="H110" s="583"/>
      <c r="I110" s="583"/>
      <c r="J110" s="540" t="s">
        <v>385</v>
      </c>
      <c r="K110" s="541" t="s">
        <v>329</v>
      </c>
      <c r="L110" s="591" t="str">
        <f>VLOOKUP(K110,материалы!$A$5:$G$31,5, FALSE)</f>
        <v>м3</v>
      </c>
      <c r="M110" s="583">
        <f>VLOOKUP(K110,материалы!$A$5:$G$34,7, FALSE)</f>
        <v>1033.33</v>
      </c>
      <c r="N110" s="591">
        <v>8.7499999999999994E-2</v>
      </c>
      <c r="O110" s="583">
        <f>ROUND(M110*N110,2)</f>
        <v>90.42</v>
      </c>
      <c r="P110" s="583"/>
      <c r="Q110" s="583"/>
      <c r="R110" s="584"/>
      <c r="S110" s="584"/>
      <c r="T110" s="584"/>
      <c r="U110" s="121"/>
      <c r="V110" s="122"/>
      <c r="W110" s="392"/>
      <c r="X110" s="396"/>
      <c r="Y110" s="474"/>
      <c r="Z110" s="464"/>
      <c r="AC110" s="434"/>
      <c r="AD110" s="482"/>
      <c r="AE110" s="394"/>
      <c r="AG110" s="237"/>
      <c r="AH110" s="236"/>
      <c r="AI110" s="235"/>
      <c r="AK110" s="152"/>
      <c r="AM110" s="239"/>
      <c r="AN110" s="243"/>
      <c r="AO110" s="240"/>
      <c r="AQ110" s="241"/>
      <c r="AR110" s="382"/>
      <c r="AT110" s="411"/>
    </row>
    <row r="111" spans="1:49" ht="17.25" customHeight="1" outlineLevel="1" x14ac:dyDescent="0.3">
      <c r="A111" s="804"/>
      <c r="B111" s="587"/>
      <c r="C111" s="585"/>
      <c r="D111" s="588"/>
      <c r="E111" s="588"/>
      <c r="F111" s="583"/>
      <c r="G111" s="591"/>
      <c r="H111" s="583"/>
      <c r="I111" s="583"/>
      <c r="J111" s="583"/>
      <c r="K111" s="541" t="s">
        <v>330</v>
      </c>
      <c r="L111" s="591" t="str">
        <f>VLOOKUP(K111,материалы!$A$5:$G$31,5, FALSE)</f>
        <v>м3</v>
      </c>
      <c r="M111" s="583">
        <f>VLOOKUP(K111,материалы!$A$5:$G$34,7, FALSE)</f>
        <v>116.67</v>
      </c>
      <c r="N111" s="583">
        <v>0.15</v>
      </c>
      <c r="O111" s="583">
        <f t="shared" ref="O111:O116" si="57">ROUND(M111*N111,2)</f>
        <v>17.5</v>
      </c>
      <c r="P111" s="583"/>
      <c r="Q111" s="583"/>
      <c r="R111" s="584"/>
      <c r="S111" s="584"/>
      <c r="T111" s="584"/>
      <c r="U111" s="121"/>
      <c r="V111" s="122"/>
      <c r="W111" s="392"/>
      <c r="X111" s="396"/>
      <c r="Y111" s="474"/>
      <c r="Z111" s="464"/>
      <c r="AC111" s="434"/>
      <c r="AD111" s="482"/>
      <c r="AE111" s="394"/>
      <c r="AG111" s="237"/>
      <c r="AH111" s="236"/>
      <c r="AI111" s="235"/>
      <c r="AK111" s="152"/>
      <c r="AM111" s="239"/>
      <c r="AN111" s="243"/>
      <c r="AO111" s="240"/>
      <c r="AQ111" s="241"/>
      <c r="AR111" s="382"/>
      <c r="AT111" s="411"/>
    </row>
    <row r="112" spans="1:49" ht="42.75" customHeight="1" outlineLevel="1" x14ac:dyDescent="0.3">
      <c r="A112" s="804"/>
      <c r="B112" s="587"/>
      <c r="C112" s="585"/>
      <c r="D112" s="588"/>
      <c r="E112" s="588"/>
      <c r="F112" s="583"/>
      <c r="G112" s="591"/>
      <c r="H112" s="583"/>
      <c r="I112" s="583"/>
      <c r="J112" s="583"/>
      <c r="K112" s="541" t="s">
        <v>347</v>
      </c>
      <c r="L112" s="591" t="str">
        <f>VLOOKUP(K112,материалы!$A$5:$G$31,5, FALSE)</f>
        <v>кг</v>
      </c>
      <c r="M112" s="583">
        <f>VLOOKUP(K112,материалы!$A$5:$G$34,7, FALSE)</f>
        <v>300</v>
      </c>
      <c r="N112" s="583">
        <v>0.1</v>
      </c>
      <c r="O112" s="583">
        <f t="shared" si="57"/>
        <v>30</v>
      </c>
      <c r="P112" s="583"/>
      <c r="Q112" s="583"/>
      <c r="R112" s="584"/>
      <c r="S112" s="584"/>
      <c r="T112" s="584"/>
      <c r="U112" s="121"/>
      <c r="V112" s="122"/>
      <c r="W112" s="392"/>
      <c r="X112" s="396"/>
      <c r="Y112" s="474"/>
      <c r="Z112" s="464"/>
      <c r="AC112" s="434"/>
      <c r="AD112" s="482"/>
      <c r="AE112" s="394"/>
      <c r="AG112" s="237"/>
      <c r="AH112" s="236"/>
      <c r="AI112" s="235"/>
      <c r="AK112" s="152"/>
      <c r="AM112" s="239"/>
      <c r="AN112" s="243"/>
      <c r="AO112" s="240"/>
      <c r="AQ112" s="241"/>
      <c r="AR112" s="382"/>
      <c r="AT112" s="411"/>
    </row>
    <row r="113" spans="1:49" ht="24" customHeight="1" outlineLevel="1" x14ac:dyDescent="0.3">
      <c r="A113" s="804"/>
      <c r="B113" s="587"/>
      <c r="C113" s="585"/>
      <c r="D113" s="588"/>
      <c r="E113" s="588"/>
      <c r="F113" s="583"/>
      <c r="G113" s="591"/>
      <c r="H113" s="583"/>
      <c r="I113" s="583"/>
      <c r="J113" s="583"/>
      <c r="K113" s="541" t="s">
        <v>358</v>
      </c>
      <c r="L113" s="591" t="str">
        <f>VLOOKUP(K113,материалы!$A$5:$G$31,5, FALSE)</f>
        <v>шт.</v>
      </c>
      <c r="M113" s="583">
        <f>VLOOKUP(K113,материалы!$A$5:$G$34,7, FALSE)</f>
        <v>35</v>
      </c>
      <c r="N113" s="583">
        <v>1</v>
      </c>
      <c r="O113" s="583">
        <f t="shared" si="57"/>
        <v>35</v>
      </c>
      <c r="P113" s="583"/>
      <c r="Q113" s="583"/>
      <c r="R113" s="584"/>
      <c r="S113" s="584"/>
      <c r="T113" s="584"/>
      <c r="U113" s="121"/>
      <c r="V113" s="122"/>
      <c r="W113" s="392"/>
      <c r="X113" s="396"/>
      <c r="Y113" s="474"/>
      <c r="Z113" s="464"/>
      <c r="AC113" s="434"/>
      <c r="AD113" s="482"/>
      <c r="AE113" s="394"/>
      <c r="AG113" s="237"/>
      <c r="AH113" s="236"/>
      <c r="AI113" s="235"/>
      <c r="AK113" s="152"/>
      <c r="AM113" s="239"/>
      <c r="AN113" s="243"/>
      <c r="AO113" s="240"/>
      <c r="AQ113" s="241"/>
      <c r="AR113" s="382"/>
      <c r="AT113" s="411"/>
    </row>
    <row r="114" spans="1:49" ht="32.25" customHeight="1" outlineLevel="1" x14ac:dyDescent="0.3">
      <c r="A114" s="804"/>
      <c r="B114" s="587"/>
      <c r="C114" s="585"/>
      <c r="D114" s="588"/>
      <c r="E114" s="588"/>
      <c r="F114" s="583"/>
      <c r="G114" s="591"/>
      <c r="H114" s="583"/>
      <c r="I114" s="583"/>
      <c r="J114" s="583"/>
      <c r="K114" s="541" t="s">
        <v>348</v>
      </c>
      <c r="L114" s="591" t="str">
        <f>VLOOKUP(K114,материалы!$A$5:$G$31,5, FALSE)</f>
        <v>шт.</v>
      </c>
      <c r="M114" s="583">
        <f>VLOOKUP(K114,материалы!$A$5:$G$34,7, FALSE)</f>
        <v>45</v>
      </c>
      <c r="N114" s="583">
        <v>0.25</v>
      </c>
      <c r="O114" s="583">
        <f t="shared" si="57"/>
        <v>11.25</v>
      </c>
      <c r="P114" s="583"/>
      <c r="Q114" s="583"/>
      <c r="R114" s="584"/>
      <c r="S114" s="584"/>
      <c r="T114" s="584"/>
      <c r="U114" s="121"/>
      <c r="V114" s="122"/>
      <c r="W114" s="392"/>
      <c r="X114" s="396"/>
      <c r="Y114" s="474"/>
      <c r="Z114" s="464"/>
      <c r="AC114" s="434"/>
      <c r="AD114" s="482"/>
      <c r="AE114" s="394"/>
      <c r="AG114" s="237"/>
      <c r="AH114" s="236"/>
      <c r="AI114" s="235"/>
      <c r="AK114" s="152"/>
      <c r="AM114" s="239"/>
      <c r="AN114" s="243"/>
      <c r="AO114" s="240"/>
      <c r="AQ114" s="241"/>
      <c r="AR114" s="382"/>
      <c r="AT114" s="411"/>
    </row>
    <row r="115" spans="1:49" ht="20.25" customHeight="1" outlineLevel="1" x14ac:dyDescent="0.3">
      <c r="A115" s="804"/>
      <c r="B115" s="587"/>
      <c r="C115" s="585"/>
      <c r="D115" s="588"/>
      <c r="E115" s="588"/>
      <c r="F115" s="583"/>
      <c r="G115" s="591"/>
      <c r="H115" s="583"/>
      <c r="I115" s="583"/>
      <c r="J115" s="583"/>
      <c r="K115" s="541" t="s">
        <v>336</v>
      </c>
      <c r="L115" s="591" t="str">
        <f>VLOOKUP(K115,материалы!$A$5:$G$31,5, FALSE)</f>
        <v>кг</v>
      </c>
      <c r="M115" s="583">
        <f>VLOOKUP(K115,материалы!$A$5:$G$34,7, FALSE)</f>
        <v>80</v>
      </c>
      <c r="N115" s="591">
        <f>0.01</f>
        <v>0.01</v>
      </c>
      <c r="O115" s="583">
        <f t="shared" si="57"/>
        <v>0.8</v>
      </c>
      <c r="P115" s="583"/>
      <c r="Q115" s="583"/>
      <c r="R115" s="584"/>
      <c r="S115" s="584"/>
      <c r="T115" s="584"/>
      <c r="U115" s="121"/>
      <c r="V115" s="122"/>
      <c r="W115" s="392"/>
      <c r="X115" s="396"/>
      <c r="Y115" s="474"/>
      <c r="Z115" s="464"/>
      <c r="AC115" s="434"/>
      <c r="AD115" s="482"/>
      <c r="AE115" s="394"/>
      <c r="AG115" s="237"/>
      <c r="AH115" s="236"/>
      <c r="AI115" s="235"/>
      <c r="AK115" s="152"/>
      <c r="AM115" s="239"/>
      <c r="AN115" s="243"/>
      <c r="AO115" s="240"/>
      <c r="AQ115" s="241"/>
      <c r="AR115" s="382"/>
      <c r="AT115" s="411"/>
    </row>
    <row r="116" spans="1:49" ht="16.5" customHeight="1" outlineLevel="1" x14ac:dyDescent="0.3">
      <c r="A116" s="804"/>
      <c r="B116" s="587"/>
      <c r="C116" s="585"/>
      <c r="D116" s="588"/>
      <c r="E116" s="588"/>
      <c r="F116" s="583"/>
      <c r="G116" s="591"/>
      <c r="H116" s="583"/>
      <c r="I116" s="583"/>
      <c r="J116" s="583"/>
      <c r="K116" s="541" t="s">
        <v>335</v>
      </c>
      <c r="L116" s="591" t="str">
        <f>VLOOKUP(K116,материалы!$A$5:$G$31,5, FALSE)</f>
        <v>кг</v>
      </c>
      <c r="M116" s="583">
        <f>VLOOKUP(K116,материалы!$A$5:$G$34,7, FALSE)</f>
        <v>95</v>
      </c>
      <c r="N116" s="544">
        <f>0.001</f>
        <v>1E-3</v>
      </c>
      <c r="O116" s="583">
        <f t="shared" si="57"/>
        <v>0.1</v>
      </c>
      <c r="P116" s="583"/>
      <c r="Q116" s="583"/>
      <c r="R116" s="584"/>
      <c r="S116" s="584"/>
      <c r="T116" s="584"/>
      <c r="U116" s="121"/>
      <c r="V116" s="122"/>
      <c r="W116" s="392"/>
      <c r="X116" s="396"/>
      <c r="Y116" s="474"/>
      <c r="Z116" s="464"/>
      <c r="AC116" s="434"/>
      <c r="AD116" s="482"/>
      <c r="AE116" s="394"/>
      <c r="AG116" s="237"/>
      <c r="AH116" s="236"/>
      <c r="AI116" s="235"/>
      <c r="AK116" s="152"/>
      <c r="AM116" s="239"/>
      <c r="AN116" s="243"/>
      <c r="AO116" s="240"/>
      <c r="AQ116" s="241"/>
      <c r="AR116" s="382"/>
      <c r="AT116" s="411"/>
    </row>
    <row r="117" spans="1:49" s="419" customFormat="1" ht="18" customHeight="1" x14ac:dyDescent="0.25">
      <c r="A117" s="804"/>
      <c r="B117" s="804" t="s">
        <v>356</v>
      </c>
      <c r="C117" s="800" t="s">
        <v>357</v>
      </c>
      <c r="D117" s="805" t="s">
        <v>36</v>
      </c>
      <c r="E117" s="588" t="s">
        <v>174</v>
      </c>
      <c r="F117" s="583">
        <f>VLOOKUP(E117,'условия, ФОТ'!$A$14:$I$28,9, FALSE)</f>
        <v>456.01</v>
      </c>
      <c r="G117" s="591">
        <v>0.2</v>
      </c>
      <c r="H117" s="797">
        <f>ROUND(F117*G117+F118*G118,2)</f>
        <v>156.44999999999999</v>
      </c>
      <c r="I117" s="797">
        <f t="shared" ref="I117:I120" si="58">ROUND(H117*$I$5,2)</f>
        <v>47.25</v>
      </c>
      <c r="J117" s="797">
        <f t="shared" ref="J117:J120" si="59">H117+I117</f>
        <v>203.7</v>
      </c>
      <c r="K117" s="814"/>
      <c r="L117" s="797"/>
      <c r="M117" s="797"/>
      <c r="N117" s="797"/>
      <c r="O117" s="797">
        <f>O119</f>
        <v>132.99</v>
      </c>
      <c r="P117" s="797">
        <f>J117+O117</f>
        <v>336.69</v>
      </c>
      <c r="Q117" s="797">
        <f>ROUND(P117*$Q$5,2)</f>
        <v>260.93</v>
      </c>
      <c r="R117" s="798">
        <f>ROUND(T117/1.2,2)</f>
        <v>622.5</v>
      </c>
      <c r="S117" s="798">
        <f>ROUND(R117*$S$5,2)</f>
        <v>124.5</v>
      </c>
      <c r="T117" s="798">
        <f>ROUND((P117+Q117)*(1+Y117)*1.2,0)</f>
        <v>747</v>
      </c>
      <c r="U117" s="794">
        <v>483</v>
      </c>
      <c r="V117" s="420">
        <f t="shared" ref="V117" si="60">T117/U117*100-100</f>
        <v>54.658385093167681</v>
      </c>
      <c r="W117" s="784"/>
      <c r="X117" s="839"/>
      <c r="Y117" s="775">
        <v>4.2200000000000001E-2</v>
      </c>
      <c r="Z117" s="778" t="e">
        <f>#REF!*Y117</f>
        <v>#REF!</v>
      </c>
      <c r="AA117" s="887"/>
      <c r="AB117" s="414">
        <v>342.25400000000002</v>
      </c>
      <c r="AC117" s="742"/>
      <c r="AD117" s="763">
        <f>T117-U117</f>
        <v>264</v>
      </c>
      <c r="AE117" s="415"/>
      <c r="AG117" s="757">
        <v>0.1615</v>
      </c>
      <c r="AH117" s="753">
        <f t="shared" si="34"/>
        <v>0.1615</v>
      </c>
      <c r="AI117" s="753">
        <v>0</v>
      </c>
      <c r="AK117" s="426"/>
      <c r="AL117" s="430"/>
      <c r="AM117" s="757">
        <v>1.034</v>
      </c>
      <c r="AN117" s="875">
        <v>0.1615</v>
      </c>
      <c r="AO117" s="753" t="e">
        <f>#REF!-AM117</f>
        <v>#REF!</v>
      </c>
      <c r="AQ117" s="749">
        <f>Y117-AN117</f>
        <v>-0.1193</v>
      </c>
      <c r="AR117" s="742">
        <v>342</v>
      </c>
      <c r="AS117" s="883" t="b">
        <f>W117=AR117</f>
        <v>0</v>
      </c>
      <c r="AT117" s="418" t="e">
        <f>ROUND(W117/T117*100-100,2)+#REF!</f>
        <v>#REF!</v>
      </c>
      <c r="AW117" s="419" t="e">
        <f>ROUND(T117/W117,3)</f>
        <v>#DIV/0!</v>
      </c>
    </row>
    <row r="118" spans="1:49" s="419" customFormat="1" ht="27.95" customHeight="1" x14ac:dyDescent="0.25">
      <c r="A118" s="804"/>
      <c r="B118" s="804"/>
      <c r="C118" s="800"/>
      <c r="D118" s="805"/>
      <c r="E118" s="588" t="s">
        <v>169</v>
      </c>
      <c r="F118" s="583">
        <f>VLOOKUP(E118,'условия, ФОТ'!$A$14:$I$28,9, FALSE)</f>
        <v>326.24</v>
      </c>
      <c r="G118" s="591">
        <v>0.2</v>
      </c>
      <c r="H118" s="797"/>
      <c r="I118" s="797">
        <f t="shared" si="58"/>
        <v>0</v>
      </c>
      <c r="J118" s="797">
        <f t="shared" si="59"/>
        <v>0</v>
      </c>
      <c r="K118" s="814"/>
      <c r="L118" s="797"/>
      <c r="M118" s="797"/>
      <c r="N118" s="797"/>
      <c r="O118" s="797"/>
      <c r="P118" s="797">
        <f t="shared" ref="P118:P120" si="61">J118+O118</f>
        <v>0</v>
      </c>
      <c r="Q118" s="797">
        <f t="shared" ref="Q118:Q120" si="62">ROUND(P118*$Q$5,2)</f>
        <v>0</v>
      </c>
      <c r="R118" s="798">
        <f t="shared" ref="R118" si="63">ROUND(T118/1.18,2)</f>
        <v>0</v>
      </c>
      <c r="S118" s="798">
        <f t="shared" ref="S118" si="64">ROUND(R118*$S$5,2)</f>
        <v>0</v>
      </c>
      <c r="T118" s="798">
        <f>ROUND((P118+Q118)*(1+$R$5)*1.18,0)</f>
        <v>0</v>
      </c>
      <c r="U118" s="795"/>
      <c r="V118" s="420"/>
      <c r="W118" s="784"/>
      <c r="X118" s="839"/>
      <c r="Y118" s="775"/>
      <c r="Z118" s="779"/>
      <c r="AA118" s="888"/>
      <c r="AB118" s="414"/>
      <c r="AC118" s="742"/>
      <c r="AD118" s="764"/>
      <c r="AE118" s="415"/>
      <c r="AG118" s="758"/>
      <c r="AH118" s="754"/>
      <c r="AI118" s="754"/>
      <c r="AK118" s="426"/>
      <c r="AL118" s="430"/>
      <c r="AM118" s="758"/>
      <c r="AN118" s="876"/>
      <c r="AO118" s="754"/>
      <c r="AQ118" s="750"/>
      <c r="AR118" s="742"/>
      <c r="AS118" s="883"/>
      <c r="AT118" s="418"/>
    </row>
    <row r="119" spans="1:49" s="419" customFormat="1" ht="31.7" customHeight="1" outlineLevel="1" x14ac:dyDescent="0.3">
      <c r="A119" s="804"/>
      <c r="B119" s="587"/>
      <c r="C119" s="585"/>
      <c r="D119" s="588"/>
      <c r="E119" s="588"/>
      <c r="F119" s="583"/>
      <c r="G119" s="591"/>
      <c r="H119" s="583"/>
      <c r="I119" s="583"/>
      <c r="J119" s="540" t="s">
        <v>385</v>
      </c>
      <c r="K119" s="541" t="s">
        <v>388</v>
      </c>
      <c r="L119" s="591" t="str">
        <f>VLOOKUP(K119,материалы!$A$5:$G$31,5, FALSE)</f>
        <v>м</v>
      </c>
      <c r="M119" s="583">
        <f>VLOOKUP(K119,материалы!$A$5:$G$34,7, FALSE)</f>
        <v>132.99</v>
      </c>
      <c r="N119" s="591">
        <v>1</v>
      </c>
      <c r="O119" s="583">
        <f t="shared" ref="O119" si="65">ROUND(M119*N119,2)</f>
        <v>132.99</v>
      </c>
      <c r="P119" s="583"/>
      <c r="Q119" s="583"/>
      <c r="R119" s="584"/>
      <c r="S119" s="584"/>
      <c r="T119" s="584"/>
      <c r="U119" s="437"/>
      <c r="V119" s="420"/>
      <c r="W119" s="436"/>
      <c r="X119" s="438"/>
      <c r="Y119" s="475"/>
      <c r="Z119" s="465"/>
      <c r="AA119" s="446"/>
      <c r="AB119" s="414"/>
      <c r="AC119" s="435"/>
      <c r="AD119" s="483"/>
      <c r="AE119" s="415"/>
      <c r="AG119" s="431"/>
      <c r="AH119" s="425"/>
      <c r="AI119" s="425"/>
      <c r="AK119" s="426"/>
      <c r="AL119" s="430"/>
      <c r="AM119" s="431"/>
      <c r="AN119" s="432"/>
      <c r="AO119" s="425"/>
      <c r="AQ119" s="427"/>
      <c r="AR119" s="435"/>
      <c r="AS119" s="429"/>
      <c r="AT119" s="418"/>
    </row>
    <row r="120" spans="1:49" ht="35.25" customHeight="1" x14ac:dyDescent="0.3">
      <c r="A120" s="804"/>
      <c r="B120" s="587" t="s">
        <v>184</v>
      </c>
      <c r="C120" s="547" t="s">
        <v>366</v>
      </c>
      <c r="D120" s="588" t="s">
        <v>40</v>
      </c>
      <c r="E120" s="588" t="s">
        <v>169</v>
      </c>
      <c r="F120" s="583">
        <f>VLOOKUP(E120,'условия, ФОТ'!$A$14:$I$28,9, FALSE)</f>
        <v>326.24</v>
      </c>
      <c r="G120" s="591">
        <v>1</v>
      </c>
      <c r="H120" s="583">
        <f t="shared" ref="H120" si="66">ROUND(F120*G120,2)</f>
        <v>326.24</v>
      </c>
      <c r="I120" s="583">
        <f t="shared" si="58"/>
        <v>98.52</v>
      </c>
      <c r="J120" s="583">
        <f t="shared" si="59"/>
        <v>424.76</v>
      </c>
      <c r="K120" s="589"/>
      <c r="L120" s="583"/>
      <c r="M120" s="583"/>
      <c r="N120" s="583"/>
      <c r="O120" s="583">
        <f>SUM(O121:O123)</f>
        <v>5.6499999999999995</v>
      </c>
      <c r="P120" s="583">
        <f t="shared" si="61"/>
        <v>430.40999999999997</v>
      </c>
      <c r="Q120" s="583">
        <f t="shared" si="62"/>
        <v>333.57</v>
      </c>
      <c r="R120" s="584">
        <f>ROUND(T120/1.2,2)</f>
        <v>822.5</v>
      </c>
      <c r="S120" s="584">
        <f>ROUND(R120*$S$5,2)</f>
        <v>164.5</v>
      </c>
      <c r="T120" s="584">
        <f>ROUND((P120+Q120)*(1+Y120)*1.2,0)</f>
        <v>987</v>
      </c>
      <c r="U120" s="121">
        <v>608</v>
      </c>
      <c r="V120" s="122">
        <f t="shared" ref="V120" si="67">T120/U120*100-100</f>
        <v>62.33552631578948</v>
      </c>
      <c r="W120" s="479"/>
      <c r="X120" s="396"/>
      <c r="Y120" s="514">
        <v>7.6300000000000007E-2</v>
      </c>
      <c r="Z120" s="464" t="e">
        <f>#REF!*Y120</f>
        <v>#REF!</v>
      </c>
      <c r="AB120" s="404">
        <v>459.096</v>
      </c>
      <c r="AC120" s="434"/>
      <c r="AD120" s="478">
        <f>T120-U120</f>
        <v>379</v>
      </c>
      <c r="AE120" s="394"/>
      <c r="AG120" s="237">
        <v>-2.5100000000000001E-2</v>
      </c>
      <c r="AH120" s="236">
        <f t="shared" si="34"/>
        <v>1.0250999999999999</v>
      </c>
      <c r="AI120" s="235">
        <v>1.06</v>
      </c>
      <c r="AK120" s="152">
        <f>ROUND(W120*AI120,2)</f>
        <v>0</v>
      </c>
      <c r="AM120" s="239">
        <v>1.034</v>
      </c>
      <c r="AN120" s="243">
        <v>-2.5100000000000001E-2</v>
      </c>
      <c r="AO120" s="240" t="e">
        <f>#REF!-AM120</f>
        <v>#REF!</v>
      </c>
      <c r="AQ120" s="241">
        <f>Y120-AN120</f>
        <v>0.1014</v>
      </c>
      <c r="AR120" s="382">
        <v>494</v>
      </c>
      <c r="AS120" s="388" t="b">
        <f>W120=AR120</f>
        <v>0</v>
      </c>
      <c r="AT120" s="411" t="e">
        <f>ROUND(W120/T120*100-100,2)+#REF!</f>
        <v>#REF!</v>
      </c>
      <c r="AW120" t="e">
        <f>ROUND(T120/W120,3)</f>
        <v>#DIV/0!</v>
      </c>
    </row>
    <row r="121" spans="1:49" ht="24.75" customHeight="1" outlineLevel="1" x14ac:dyDescent="0.3">
      <c r="A121" s="804"/>
      <c r="B121" s="587"/>
      <c r="C121" s="547"/>
      <c r="D121" s="588"/>
      <c r="E121" s="588"/>
      <c r="F121" s="583"/>
      <c r="G121" s="591"/>
      <c r="H121" s="583"/>
      <c r="I121" s="583"/>
      <c r="J121" s="540" t="s">
        <v>385</v>
      </c>
      <c r="K121" s="545" t="s">
        <v>341</v>
      </c>
      <c r="L121" s="591" t="str">
        <f>VLOOKUP(K121,материалы!$A$5:$G$31,5, FALSE)</f>
        <v>кг</v>
      </c>
      <c r="M121" s="583">
        <f>VLOOKUP(K121,материалы!$A$5:$G$34,7, FALSE)</f>
        <v>950</v>
      </c>
      <c r="N121" s="583">
        <v>5.0000000000000001E-3</v>
      </c>
      <c r="O121" s="583">
        <f>ROUND(M121*N121,2)</f>
        <v>4.75</v>
      </c>
      <c r="P121" s="583"/>
      <c r="Q121" s="583"/>
      <c r="R121" s="584"/>
      <c r="S121" s="584"/>
      <c r="T121" s="584"/>
      <c r="U121" s="121"/>
      <c r="V121" s="122"/>
      <c r="W121" s="392"/>
      <c r="X121" s="396"/>
      <c r="Y121" s="474"/>
      <c r="Z121" s="464"/>
      <c r="AC121" s="434"/>
      <c r="AD121" s="482"/>
      <c r="AE121" s="394"/>
      <c r="AG121" s="237"/>
      <c r="AH121" s="236"/>
      <c r="AI121" s="235"/>
      <c r="AK121" s="152"/>
      <c r="AM121" s="239"/>
      <c r="AN121" s="243"/>
      <c r="AO121" s="240"/>
      <c r="AQ121" s="241"/>
      <c r="AR121" s="382"/>
      <c r="AT121" s="411"/>
    </row>
    <row r="122" spans="1:49" ht="19.5" customHeight="1" outlineLevel="1" x14ac:dyDescent="0.3">
      <c r="A122" s="804"/>
      <c r="B122" s="587"/>
      <c r="C122" s="547"/>
      <c r="D122" s="588"/>
      <c r="E122" s="588"/>
      <c r="F122" s="583"/>
      <c r="G122" s="591"/>
      <c r="H122" s="583"/>
      <c r="I122" s="583"/>
      <c r="J122" s="583"/>
      <c r="K122" s="541" t="s">
        <v>335</v>
      </c>
      <c r="L122" s="591" t="str">
        <f>VLOOKUP(K122,материалы!$A$5:$G$31,5, FALSE)</f>
        <v>кг</v>
      </c>
      <c r="M122" s="583">
        <f>VLOOKUP(K122,материалы!$A$5:$G$34,7, FALSE)</f>
        <v>95</v>
      </c>
      <c r="N122" s="544">
        <v>1E-3</v>
      </c>
      <c r="O122" s="583">
        <f>ROUND(M122*N122,2)</f>
        <v>0.1</v>
      </c>
      <c r="P122" s="583"/>
      <c r="Q122" s="583"/>
      <c r="R122" s="584"/>
      <c r="S122" s="584"/>
      <c r="T122" s="584"/>
      <c r="U122" s="121"/>
      <c r="V122" s="122"/>
      <c r="W122" s="392"/>
      <c r="X122" s="396"/>
      <c r="Y122" s="474"/>
      <c r="Z122" s="464"/>
      <c r="AC122" s="434"/>
      <c r="AD122" s="482"/>
      <c r="AE122" s="394"/>
      <c r="AG122" s="237"/>
      <c r="AH122" s="236"/>
      <c r="AI122" s="235"/>
      <c r="AK122" s="152"/>
      <c r="AM122" s="239"/>
      <c r="AN122" s="243"/>
      <c r="AO122" s="240"/>
      <c r="AQ122" s="241"/>
      <c r="AR122" s="382"/>
      <c r="AT122" s="411"/>
    </row>
    <row r="123" spans="1:49" ht="16.5" customHeight="1" outlineLevel="1" x14ac:dyDescent="0.3">
      <c r="A123" s="804"/>
      <c r="B123" s="587"/>
      <c r="C123" s="547"/>
      <c r="D123" s="588"/>
      <c r="E123" s="588"/>
      <c r="F123" s="583"/>
      <c r="G123" s="591"/>
      <c r="H123" s="583"/>
      <c r="I123" s="583"/>
      <c r="J123" s="583"/>
      <c r="K123" s="541" t="s">
        <v>336</v>
      </c>
      <c r="L123" s="591" t="str">
        <f>VLOOKUP(K123,материалы!$A$5:$G$31,5, FALSE)</f>
        <v>кг</v>
      </c>
      <c r="M123" s="583">
        <f>VLOOKUP(K123,материалы!$A$5:$G$34,7, FALSE)</f>
        <v>80</v>
      </c>
      <c r="N123" s="591">
        <v>0.01</v>
      </c>
      <c r="O123" s="583">
        <f>ROUND(M123*N123,2)</f>
        <v>0.8</v>
      </c>
      <c r="P123" s="583"/>
      <c r="Q123" s="583"/>
      <c r="R123" s="584"/>
      <c r="S123" s="584"/>
      <c r="T123" s="584"/>
      <c r="U123" s="121"/>
      <c r="V123" s="122"/>
      <c r="W123" s="392"/>
      <c r="X123" s="396"/>
      <c r="Y123" s="474"/>
      <c r="Z123" s="464"/>
      <c r="AC123" s="434"/>
      <c r="AD123" s="482"/>
      <c r="AE123" s="394"/>
      <c r="AG123" s="237"/>
      <c r="AH123" s="236"/>
      <c r="AI123" s="235"/>
      <c r="AK123" s="152"/>
      <c r="AM123" s="239"/>
      <c r="AN123" s="243"/>
      <c r="AO123" s="240"/>
      <c r="AQ123" s="241"/>
      <c r="AR123" s="382"/>
      <c r="AT123" s="411"/>
    </row>
    <row r="124" spans="1:49" ht="46.5" customHeight="1" x14ac:dyDescent="0.3">
      <c r="A124" s="804"/>
      <c r="B124" s="587" t="s">
        <v>182</v>
      </c>
      <c r="C124" s="585" t="s">
        <v>705</v>
      </c>
      <c r="D124" s="588" t="s">
        <v>34</v>
      </c>
      <c r="E124" s="588" t="s">
        <v>169</v>
      </c>
      <c r="F124" s="583">
        <f>VLOOKUP(E124,'условия, ФОТ'!$A$14:$I$28,9, FALSE)</f>
        <v>326.24</v>
      </c>
      <c r="G124" s="591">
        <v>0.25</v>
      </c>
      <c r="H124" s="583">
        <f t="shared" ref="H124" si="68">ROUND(F124*G124,2)</f>
        <v>81.56</v>
      </c>
      <c r="I124" s="583">
        <f t="shared" ref="I124" si="69">ROUND(H124*$I$5,2)</f>
        <v>24.63</v>
      </c>
      <c r="J124" s="583">
        <f t="shared" ref="J124" si="70">H124+I124</f>
        <v>106.19</v>
      </c>
      <c r="K124" s="589"/>
      <c r="L124" s="583"/>
      <c r="M124" s="583"/>
      <c r="N124" s="583"/>
      <c r="O124" s="583">
        <f>SUM(O125:O127)</f>
        <v>5.6499999999999995</v>
      </c>
      <c r="P124" s="583">
        <f t="shared" ref="P124" si="71">J124+O124</f>
        <v>111.84</v>
      </c>
      <c r="Q124" s="583">
        <f t="shared" ref="Q124" si="72">ROUND(P124*$Q$5,2)</f>
        <v>86.68</v>
      </c>
      <c r="R124" s="584">
        <f>ROUND(T124/1.2,2)</f>
        <v>213.33</v>
      </c>
      <c r="S124" s="584">
        <f>ROUND(R124*$S$5,2)</f>
        <v>42.67</v>
      </c>
      <c r="T124" s="584">
        <f>ROUND((P124+Q124)*(1+Y124)*1.2,0)</f>
        <v>256</v>
      </c>
      <c r="U124" s="121">
        <v>159</v>
      </c>
      <c r="V124" s="122">
        <f t="shared" ref="V124" si="73">T124/U124*100-100</f>
        <v>61.006289308176122</v>
      </c>
      <c r="W124" s="479"/>
      <c r="X124" s="396"/>
      <c r="Y124" s="514">
        <v>7.4200000000000002E-2</v>
      </c>
      <c r="Z124" s="464" t="e">
        <f>#REF!*Y124</f>
        <v>#REF!</v>
      </c>
      <c r="AB124" s="404">
        <v>123.04600000000001</v>
      </c>
      <c r="AC124" s="434"/>
      <c r="AD124" s="478">
        <f>T124-U124</f>
        <v>97</v>
      </c>
      <c r="AE124" s="394"/>
      <c r="AG124" s="237">
        <v>-9.2999999999999992E-3</v>
      </c>
      <c r="AH124" s="236">
        <f t="shared" si="34"/>
        <v>1.0093000000000001</v>
      </c>
      <c r="AI124" s="235">
        <v>1.044</v>
      </c>
      <c r="AK124" s="152">
        <f>ROUND(W124*AI124,2)</f>
        <v>0</v>
      </c>
      <c r="AM124" s="239">
        <v>1.034</v>
      </c>
      <c r="AN124" s="243">
        <v>-9.2999999999999992E-3</v>
      </c>
      <c r="AO124" s="240" t="e">
        <f>#REF!-AM124</f>
        <v>#REF!</v>
      </c>
      <c r="AQ124" s="241">
        <f>Y124-AN124</f>
        <v>8.3500000000000005E-2</v>
      </c>
      <c r="AR124" s="382">
        <v>130</v>
      </c>
      <c r="AS124" s="388" t="b">
        <f>W124=AR124</f>
        <v>0</v>
      </c>
      <c r="AT124" s="411" t="e">
        <f>ROUND(W124/T124*100-100,2)+#REF!</f>
        <v>#REF!</v>
      </c>
      <c r="AW124" t="e">
        <f>ROUND(T124/W124,3)</f>
        <v>#DIV/0!</v>
      </c>
    </row>
    <row r="125" spans="1:49" ht="30.75" customHeight="1" x14ac:dyDescent="0.3">
      <c r="A125" s="848" t="s">
        <v>613</v>
      </c>
      <c r="B125" s="848"/>
      <c r="C125" s="848"/>
      <c r="D125" s="848"/>
      <c r="E125" s="848"/>
      <c r="F125" s="848"/>
      <c r="G125" s="848"/>
      <c r="H125" s="848"/>
      <c r="I125" s="848"/>
      <c r="J125" s="540" t="s">
        <v>385</v>
      </c>
      <c r="K125" s="545" t="s">
        <v>341</v>
      </c>
      <c r="L125" s="591" t="str">
        <f>VLOOKUP(K125,материалы!$A$5:$G$31,5, FALSE)</f>
        <v>кг</v>
      </c>
      <c r="M125" s="583">
        <f>VLOOKUP(K125,материалы!$A$5:$G$34,7, FALSE)</f>
        <v>950</v>
      </c>
      <c r="N125" s="583">
        <v>5.0000000000000001E-3</v>
      </c>
      <c r="O125" s="583">
        <f t="shared" ref="O125:O127" si="74">ROUND(M125*N125,2)</f>
        <v>4.75</v>
      </c>
      <c r="P125" s="583"/>
      <c r="Q125" s="583"/>
      <c r="R125" s="584"/>
      <c r="S125" s="584"/>
      <c r="T125" s="584"/>
      <c r="U125" s="121"/>
      <c r="V125" s="122"/>
      <c r="W125" s="392"/>
      <c r="X125" s="396"/>
      <c r="Y125" s="474"/>
      <c r="Z125" s="464"/>
      <c r="AC125" s="434"/>
      <c r="AD125" s="482"/>
      <c r="AE125" s="394"/>
      <c r="AG125" s="237"/>
      <c r="AH125" s="236"/>
      <c r="AI125" s="235"/>
      <c r="AK125" s="152"/>
      <c r="AM125" s="239"/>
      <c r="AN125" s="243"/>
      <c r="AO125" s="240"/>
      <c r="AQ125" s="241"/>
      <c r="AR125" s="382"/>
      <c r="AT125" s="411"/>
    </row>
    <row r="126" spans="1:49" ht="24.75" customHeight="1" x14ac:dyDescent="0.3">
      <c r="A126" s="848"/>
      <c r="B126" s="848"/>
      <c r="C126" s="848"/>
      <c r="D126" s="848"/>
      <c r="E126" s="848"/>
      <c r="F126" s="848"/>
      <c r="G126" s="848"/>
      <c r="H126" s="848"/>
      <c r="I126" s="848"/>
      <c r="J126" s="583"/>
      <c r="K126" s="541" t="s">
        <v>335</v>
      </c>
      <c r="L126" s="591" t="str">
        <f>VLOOKUP(K126,материалы!$A$5:$G$31,5, FALSE)</f>
        <v>кг</v>
      </c>
      <c r="M126" s="583">
        <f>VLOOKUP(K126,материалы!$A$5:$G$34,7, FALSE)</f>
        <v>95</v>
      </c>
      <c r="N126" s="544">
        <f>0.001</f>
        <v>1E-3</v>
      </c>
      <c r="O126" s="583">
        <f t="shared" si="74"/>
        <v>0.1</v>
      </c>
      <c r="P126" s="583"/>
      <c r="Q126" s="583"/>
      <c r="R126" s="584"/>
      <c r="S126" s="584"/>
      <c r="T126" s="584"/>
      <c r="U126" s="121"/>
      <c r="V126" s="122"/>
      <c r="W126" s="392"/>
      <c r="X126" s="396"/>
      <c r="Y126" s="474"/>
      <c r="Z126" s="464"/>
      <c r="AC126" s="434"/>
      <c r="AD126" s="482"/>
      <c r="AE126" s="394"/>
      <c r="AG126" s="237"/>
      <c r="AH126" s="236"/>
      <c r="AI126" s="235"/>
      <c r="AK126" s="152"/>
      <c r="AM126" s="239"/>
      <c r="AN126" s="243"/>
      <c r="AO126" s="240"/>
      <c r="AQ126" s="241"/>
      <c r="AR126" s="382"/>
      <c r="AT126" s="411"/>
    </row>
    <row r="127" spans="1:49" ht="27" customHeight="1" x14ac:dyDescent="0.3">
      <c r="A127" s="848"/>
      <c r="B127" s="848"/>
      <c r="C127" s="848"/>
      <c r="D127" s="848"/>
      <c r="E127" s="848"/>
      <c r="F127" s="848"/>
      <c r="G127" s="848"/>
      <c r="H127" s="848"/>
      <c r="I127" s="848"/>
      <c r="J127" s="583"/>
      <c r="K127" s="541" t="s">
        <v>336</v>
      </c>
      <c r="L127" s="591" t="str">
        <f>VLOOKUP(K127,материалы!$A$5:$G$31,5, FALSE)</f>
        <v>кг</v>
      </c>
      <c r="M127" s="583">
        <f>VLOOKUP(K127,материалы!$A$5:$G$34,7, FALSE)</f>
        <v>80</v>
      </c>
      <c r="N127" s="591">
        <f>0.01</f>
        <v>0.01</v>
      </c>
      <c r="O127" s="583">
        <f t="shared" si="74"/>
        <v>0.8</v>
      </c>
      <c r="P127" s="583"/>
      <c r="Q127" s="583"/>
      <c r="R127" s="584"/>
      <c r="S127" s="584"/>
      <c r="T127" s="584"/>
      <c r="U127" s="121"/>
      <c r="V127" s="122"/>
      <c r="W127" s="392"/>
      <c r="X127" s="396"/>
      <c r="Y127" s="474"/>
      <c r="Z127" s="464"/>
      <c r="AC127" s="434"/>
      <c r="AD127" s="482"/>
      <c r="AE127" s="394"/>
      <c r="AG127" s="237"/>
      <c r="AH127" s="236"/>
      <c r="AI127" s="235"/>
      <c r="AK127" s="152"/>
      <c r="AM127" s="239"/>
      <c r="AN127" s="243"/>
      <c r="AO127" s="240"/>
      <c r="AQ127" s="241"/>
      <c r="AR127" s="382"/>
      <c r="AT127" s="411"/>
    </row>
    <row r="128" spans="1:49" ht="44.25" customHeight="1" x14ac:dyDescent="0.3">
      <c r="A128" s="587" t="s">
        <v>475</v>
      </c>
      <c r="B128" s="800" t="s">
        <v>710</v>
      </c>
      <c r="C128" s="800"/>
      <c r="D128" s="588" t="s">
        <v>40</v>
      </c>
      <c r="E128" s="588"/>
      <c r="F128" s="583"/>
      <c r="G128" s="591"/>
      <c r="H128" s="583"/>
      <c r="I128" s="583"/>
      <c r="J128" s="583"/>
      <c r="K128" s="589"/>
      <c r="L128" s="583"/>
      <c r="M128" s="583"/>
      <c r="N128" s="583"/>
      <c r="O128" s="583"/>
      <c r="P128" s="583"/>
      <c r="Q128" s="583"/>
      <c r="R128" s="584"/>
      <c r="S128" s="584"/>
      <c r="T128" s="584"/>
      <c r="U128" s="121"/>
      <c r="V128" s="122"/>
      <c r="W128" s="392"/>
      <c r="X128" s="396"/>
      <c r="Y128" s="474"/>
      <c r="Z128" s="464"/>
      <c r="AC128" s="434"/>
      <c r="AD128" s="482"/>
      <c r="AE128" s="394"/>
      <c r="AG128" s="237"/>
      <c r="AH128" s="236"/>
      <c r="AI128" s="235"/>
      <c r="AK128" s="152"/>
      <c r="AM128" s="239"/>
      <c r="AN128" s="243"/>
      <c r="AO128" s="240"/>
      <c r="AQ128" s="241"/>
      <c r="AR128" s="382"/>
      <c r="AT128" s="411"/>
    </row>
    <row r="129" spans="1:49" s="117" customFormat="1" ht="29.25" customHeight="1" x14ac:dyDescent="0.3">
      <c r="A129" s="849" t="s">
        <v>363</v>
      </c>
      <c r="B129" s="587" t="s">
        <v>368</v>
      </c>
      <c r="C129" s="547" t="s">
        <v>367</v>
      </c>
      <c r="D129" s="588" t="s">
        <v>369</v>
      </c>
      <c r="E129" s="583" t="s">
        <v>169</v>
      </c>
      <c r="F129" s="583">
        <f>VLOOKUP(E129,'условия, ФОТ'!$A$14:$I$28,9, FALSE)</f>
        <v>326.24</v>
      </c>
      <c r="G129" s="591">
        <v>3</v>
      </c>
      <c r="H129" s="583">
        <f t="shared" ref="H129" si="75">ROUND(F129*G129,2)</f>
        <v>978.72</v>
      </c>
      <c r="I129" s="583">
        <f t="shared" ref="I129" si="76">ROUND(H129*$I$5,2)</f>
        <v>295.57</v>
      </c>
      <c r="J129" s="583">
        <f t="shared" ref="J129" si="77">H129+I129</f>
        <v>1274.29</v>
      </c>
      <c r="K129" s="589"/>
      <c r="L129" s="583"/>
      <c r="M129" s="583"/>
      <c r="N129" s="583"/>
      <c r="O129" s="583"/>
      <c r="P129" s="583">
        <f t="shared" ref="P129" si="78">J129+O129</f>
        <v>1274.29</v>
      </c>
      <c r="Q129" s="583">
        <f t="shared" ref="Q129" si="79">ROUND(P129*$Q$5,2)</f>
        <v>987.57</v>
      </c>
      <c r="R129" s="584">
        <f>ROUND(T129/1.2,2)</f>
        <v>2510</v>
      </c>
      <c r="S129" s="584">
        <f>ROUND(R129*$S$5,2)</f>
        <v>502</v>
      </c>
      <c r="T129" s="584">
        <f>ROUND((P129+Q129)*(1+Y129)*1.2,0)</f>
        <v>3012</v>
      </c>
      <c r="U129" s="121">
        <v>1786</v>
      </c>
      <c r="V129" s="122">
        <f t="shared" ref="V129:V130" si="80">T129/U129*100-100</f>
        <v>68.645016797312422</v>
      </c>
      <c r="W129" s="481"/>
      <c r="X129" s="397"/>
      <c r="Y129" s="514">
        <v>0.1096</v>
      </c>
      <c r="Z129" s="466" t="e">
        <f>#REF!*Y129</f>
        <v>#REF!</v>
      </c>
      <c r="AA129" s="447"/>
      <c r="AB129" s="408">
        <v>198.52800000000002</v>
      </c>
      <c r="AC129" s="387"/>
      <c r="AD129" s="478">
        <f>T129-U129</f>
        <v>1226</v>
      </c>
      <c r="AE129" s="395"/>
      <c r="AG129" s="164">
        <v>-0.14119999999999999</v>
      </c>
      <c r="AH129" s="384">
        <f t="shared" si="34"/>
        <v>1.1412</v>
      </c>
      <c r="AI129" s="384">
        <v>1.18</v>
      </c>
      <c r="AK129" s="383">
        <f>ROUND(W129*AI129,2)</f>
        <v>0</v>
      </c>
      <c r="AL129" s="380"/>
      <c r="AM129" s="164">
        <v>1.034</v>
      </c>
      <c r="AN129" s="19">
        <v>-0.14119999999999999</v>
      </c>
      <c r="AO129" s="384" t="e">
        <f>#REF!-AM129</f>
        <v>#REF!</v>
      </c>
      <c r="AQ129" s="385">
        <f>Y129-AN129</f>
        <v>0.25080000000000002</v>
      </c>
      <c r="AR129" s="387">
        <v>1500</v>
      </c>
      <c r="AS129" s="388" t="b">
        <f>W129=AR129</f>
        <v>0</v>
      </c>
      <c r="AT129" s="411" t="e">
        <f>ROUND(W129/T129*100-100,2)+#REF!</f>
        <v>#REF!</v>
      </c>
      <c r="AU129"/>
      <c r="AV129"/>
      <c r="AW129" t="e">
        <f>ROUND(T129/W129,3)</f>
        <v>#DIV/0!</v>
      </c>
    </row>
    <row r="130" spans="1:49" s="419" customFormat="1" ht="24.75" customHeight="1" x14ac:dyDescent="0.25">
      <c r="A130" s="850"/>
      <c r="B130" s="804" t="s">
        <v>356</v>
      </c>
      <c r="C130" s="800" t="s">
        <v>357</v>
      </c>
      <c r="D130" s="805" t="s">
        <v>36</v>
      </c>
      <c r="E130" s="588" t="s">
        <v>174</v>
      </c>
      <c r="F130" s="583">
        <f>VLOOKUP(E130,'условия, ФОТ'!$A$14:$I$28,9, FALSE)</f>
        <v>456.01</v>
      </c>
      <c r="G130" s="591">
        <v>0.2</v>
      </c>
      <c r="H130" s="797">
        <f>ROUND(F130*G130+F131*G131,2)</f>
        <v>156.44999999999999</v>
      </c>
      <c r="I130" s="797">
        <f t="shared" ref="I130:I141" si="81">ROUND(H130*$I$5,2)</f>
        <v>47.25</v>
      </c>
      <c r="J130" s="797">
        <f t="shared" ref="J130:J141" si="82">H130+I130</f>
        <v>203.7</v>
      </c>
      <c r="K130" s="814"/>
      <c r="L130" s="797"/>
      <c r="M130" s="797"/>
      <c r="N130" s="797"/>
      <c r="O130" s="797">
        <f>O132</f>
        <v>132.99</v>
      </c>
      <c r="P130" s="797">
        <f>J130+O130</f>
        <v>336.69</v>
      </c>
      <c r="Q130" s="797">
        <f t="shared" ref="Q130:Q141" si="83">ROUND(P130*$Q$5,2)</f>
        <v>260.93</v>
      </c>
      <c r="R130" s="798">
        <f>ROUND(T130/1.2,2)</f>
        <v>622.5</v>
      </c>
      <c r="S130" s="798">
        <f t="shared" ref="S130:S133" si="84">ROUND(R130*$S$5,2)</f>
        <v>124.5</v>
      </c>
      <c r="T130" s="798">
        <f>ROUND((P130+Q130)*(1+Y130)*1.2,0)</f>
        <v>747</v>
      </c>
      <c r="U130" s="825">
        <v>483</v>
      </c>
      <c r="V130" s="420">
        <f t="shared" si="80"/>
        <v>54.658385093167681</v>
      </c>
      <c r="W130" s="784"/>
      <c r="X130" s="839"/>
      <c r="Y130" s="775">
        <v>4.2200000000000001E-2</v>
      </c>
      <c r="Z130" s="778" t="e">
        <f>#REF!*Y130</f>
        <v>#REF!</v>
      </c>
      <c r="AA130" s="887"/>
      <c r="AB130" s="414">
        <v>342.25400000000002</v>
      </c>
      <c r="AC130" s="742"/>
      <c r="AD130" s="763">
        <f>T130-U130</f>
        <v>264</v>
      </c>
      <c r="AE130" s="415"/>
      <c r="AG130" s="757">
        <v>0.1615</v>
      </c>
      <c r="AH130" s="753">
        <f t="shared" si="34"/>
        <v>0.1615</v>
      </c>
      <c r="AI130" s="753">
        <v>0</v>
      </c>
      <c r="AK130" s="426"/>
      <c r="AL130" s="430"/>
      <c r="AM130" s="431">
        <v>1.034</v>
      </c>
      <c r="AN130" s="432">
        <v>0.1615</v>
      </c>
      <c r="AO130" s="425" t="e">
        <f>#REF!-AM130</f>
        <v>#REF!</v>
      </c>
      <c r="AQ130" s="427">
        <f>Y130-AN130</f>
        <v>-0.1193</v>
      </c>
      <c r="AR130" s="742">
        <v>342</v>
      </c>
      <c r="AS130" s="883" t="b">
        <f>W130=AR130</f>
        <v>0</v>
      </c>
      <c r="AT130" s="418" t="e">
        <f>ROUND(W130/T130*100-100,2)+#REF!</f>
        <v>#REF!</v>
      </c>
      <c r="AW130" s="419" t="e">
        <f>ROUND(T130/W130,3)</f>
        <v>#DIV/0!</v>
      </c>
    </row>
    <row r="131" spans="1:49" s="419" customFormat="1" ht="22.7" customHeight="1" x14ac:dyDescent="0.25">
      <c r="A131" s="850"/>
      <c r="B131" s="804"/>
      <c r="C131" s="800"/>
      <c r="D131" s="805"/>
      <c r="E131" s="588" t="s">
        <v>169</v>
      </c>
      <c r="F131" s="583">
        <f>VLOOKUP(E131,'условия, ФОТ'!$A$14:$I$28,9, FALSE)</f>
        <v>326.24</v>
      </c>
      <c r="G131" s="591">
        <v>0.2</v>
      </c>
      <c r="H131" s="797"/>
      <c r="I131" s="797"/>
      <c r="J131" s="797"/>
      <c r="K131" s="814"/>
      <c r="L131" s="797"/>
      <c r="M131" s="797"/>
      <c r="N131" s="797"/>
      <c r="O131" s="797"/>
      <c r="P131" s="797"/>
      <c r="Q131" s="797">
        <f t="shared" si="83"/>
        <v>0</v>
      </c>
      <c r="R131" s="798">
        <f t="shared" ref="R131" si="85">ROUND(T131/1.18,2)</f>
        <v>0</v>
      </c>
      <c r="S131" s="798">
        <f t="shared" si="84"/>
        <v>0</v>
      </c>
      <c r="T131" s="798">
        <f>ROUND((P131+Q131)*(1+$R$5)*1.18,0)</f>
        <v>0</v>
      </c>
      <c r="U131" s="826">
        <v>0</v>
      </c>
      <c r="V131" s="420"/>
      <c r="W131" s="784"/>
      <c r="X131" s="839"/>
      <c r="Y131" s="775"/>
      <c r="Z131" s="779"/>
      <c r="AA131" s="888"/>
      <c r="AB131" s="414"/>
      <c r="AC131" s="742"/>
      <c r="AD131" s="764"/>
      <c r="AE131" s="415"/>
      <c r="AG131" s="758"/>
      <c r="AH131" s="754"/>
      <c r="AI131" s="754"/>
      <c r="AK131" s="426"/>
      <c r="AL131" s="430"/>
      <c r="AM131" s="431"/>
      <c r="AN131" s="432"/>
      <c r="AO131" s="425"/>
      <c r="AQ131" s="427"/>
      <c r="AR131" s="742"/>
      <c r="AS131" s="883"/>
      <c r="AT131" s="418"/>
    </row>
    <row r="132" spans="1:49" s="419" customFormat="1" ht="27" customHeight="1" outlineLevel="1" x14ac:dyDescent="0.3">
      <c r="A132" s="850"/>
      <c r="B132" s="587"/>
      <c r="C132" s="585"/>
      <c r="D132" s="588"/>
      <c r="E132" s="588"/>
      <c r="F132" s="583"/>
      <c r="G132" s="591"/>
      <c r="H132" s="583"/>
      <c r="I132" s="583"/>
      <c r="J132" s="540" t="s">
        <v>385</v>
      </c>
      <c r="K132" s="541" t="s">
        <v>388</v>
      </c>
      <c r="L132" s="591" t="str">
        <f>VLOOKUP(K132,материалы!$A$5:$G$31,5, FALSE)</f>
        <v>м</v>
      </c>
      <c r="M132" s="583">
        <f>VLOOKUP(K132,материалы!$A$5:$G$34,7, FALSE)</f>
        <v>132.99</v>
      </c>
      <c r="N132" s="591">
        <v>1</v>
      </c>
      <c r="O132" s="583">
        <f t="shared" ref="O132" si="86">ROUND(M132*N132,2)</f>
        <v>132.99</v>
      </c>
      <c r="P132" s="583"/>
      <c r="Q132" s="583"/>
      <c r="R132" s="584"/>
      <c r="S132" s="584"/>
      <c r="T132" s="584"/>
      <c r="U132" s="437"/>
      <c r="V132" s="420"/>
      <c r="W132" s="436"/>
      <c r="X132" s="438"/>
      <c r="Y132" s="475"/>
      <c r="Z132" s="465"/>
      <c r="AA132" s="446"/>
      <c r="AB132" s="414"/>
      <c r="AC132" s="435"/>
      <c r="AD132" s="483"/>
      <c r="AE132" s="415"/>
      <c r="AG132" s="431"/>
      <c r="AH132" s="425"/>
      <c r="AI132" s="425"/>
      <c r="AK132" s="426"/>
      <c r="AL132" s="430"/>
      <c r="AM132" s="431"/>
      <c r="AN132" s="432"/>
      <c r="AO132" s="425"/>
      <c r="AQ132" s="427"/>
      <c r="AR132" s="435"/>
      <c r="AS132" s="429"/>
      <c r="AT132" s="418"/>
    </row>
    <row r="133" spans="1:49" ht="46.5" customHeight="1" x14ac:dyDescent="0.3">
      <c r="A133" s="850"/>
      <c r="B133" s="587" t="s">
        <v>180</v>
      </c>
      <c r="C133" s="547" t="s">
        <v>384</v>
      </c>
      <c r="D133" s="588" t="s">
        <v>24</v>
      </c>
      <c r="E133" s="588" t="s">
        <v>169</v>
      </c>
      <c r="F133" s="583">
        <f>VLOOKUP(E133,'условия, ФОТ'!$A$14:$I$28,9, FALSE)</f>
        <v>326.24</v>
      </c>
      <c r="G133" s="544">
        <f>G20</f>
        <v>0.47599999999999998</v>
      </c>
      <c r="H133" s="583">
        <f t="shared" ref="H133" si="87">ROUND(F133*G133,2)</f>
        <v>155.29</v>
      </c>
      <c r="I133" s="583">
        <f t="shared" ref="I133" si="88">ROUND(H133*$I$5,2)</f>
        <v>46.9</v>
      </c>
      <c r="J133" s="583">
        <f t="shared" ref="J133" si="89">H133+I133</f>
        <v>202.19</v>
      </c>
      <c r="K133" s="589"/>
      <c r="L133" s="583"/>
      <c r="M133" s="583"/>
      <c r="N133" s="583"/>
      <c r="O133" s="583">
        <f>SUM(O134:O139)</f>
        <v>150.07000000000002</v>
      </c>
      <c r="P133" s="583">
        <f t="shared" ref="P133:P141" si="90">J133+O133</f>
        <v>352.26</v>
      </c>
      <c r="Q133" s="583">
        <f t="shared" si="83"/>
        <v>273</v>
      </c>
      <c r="R133" s="584">
        <f>ROUND(T133/1.2,2)</f>
        <v>651.66999999999996</v>
      </c>
      <c r="S133" s="584">
        <f t="shared" si="84"/>
        <v>130.33000000000001</v>
      </c>
      <c r="T133" s="584">
        <f>ROUND((P133+Q133)*(1+Y133)*1.2,0)</f>
        <v>782</v>
      </c>
      <c r="U133" s="121">
        <v>459</v>
      </c>
      <c r="V133" s="122">
        <f t="shared" ref="V133" si="91">T133/U133*100-100</f>
        <v>70.370370370370381</v>
      </c>
      <c r="W133" s="470"/>
      <c r="X133" s="396"/>
      <c r="Y133" s="514">
        <v>4.19E-2</v>
      </c>
      <c r="Z133" s="464" t="e">
        <f>#REF!*Y133</f>
        <v>#REF!</v>
      </c>
      <c r="AA133" s="452"/>
      <c r="AB133" s="404">
        <v>360.86599999999999</v>
      </c>
      <c r="AC133" s="434"/>
      <c r="AD133" s="478">
        <f>T133-U133</f>
        <v>323</v>
      </c>
      <c r="AE133" s="394"/>
      <c r="AG133" s="237">
        <v>7.5600000000000001E-2</v>
      </c>
      <c r="AH133" s="236">
        <f t="shared" si="34"/>
        <v>7.5600000000000001E-2</v>
      </c>
      <c r="AI133" s="235">
        <v>0</v>
      </c>
      <c r="AK133" s="152"/>
      <c r="AM133" s="239">
        <v>1.034</v>
      </c>
      <c r="AN133" s="243">
        <v>7.5600000000000001E-2</v>
      </c>
      <c r="AO133" s="240" t="e">
        <f>#REF!-AM133</f>
        <v>#REF!</v>
      </c>
      <c r="AQ133" s="241">
        <f>Y133-AN133</f>
        <v>-3.3700000000000001E-2</v>
      </c>
      <c r="AR133" s="382">
        <v>361</v>
      </c>
      <c r="AS133" s="388" t="b">
        <f>W133=AR133</f>
        <v>0</v>
      </c>
      <c r="AT133" s="411" t="e">
        <f>ROUND(W133/T133*100-100,2)+#REF!</f>
        <v>#REF!</v>
      </c>
      <c r="AW133" t="e">
        <f>ROUND(T133/W133,3)</f>
        <v>#DIV/0!</v>
      </c>
    </row>
    <row r="134" spans="1:49" ht="25.5" customHeight="1" outlineLevel="1" x14ac:dyDescent="0.3">
      <c r="A134" s="850"/>
      <c r="B134" s="587"/>
      <c r="C134" s="547"/>
      <c r="D134" s="588"/>
      <c r="E134" s="588"/>
      <c r="F134" s="583"/>
      <c r="G134" s="544"/>
      <c r="H134" s="583"/>
      <c r="I134" s="583"/>
      <c r="J134" s="540" t="s">
        <v>385</v>
      </c>
      <c r="K134" s="541" t="s">
        <v>329</v>
      </c>
      <c r="L134" s="591" t="str">
        <f>VLOOKUP(K134,материалы!$A$5:$G$31,5, FALSE)</f>
        <v>м3</v>
      </c>
      <c r="M134" s="583">
        <f>VLOOKUP(K134,материалы!$A$5:$G$34,7, FALSE)</f>
        <v>1033.33</v>
      </c>
      <c r="N134" s="591">
        <v>8.7499999999999994E-2</v>
      </c>
      <c r="O134" s="583">
        <f>ROUND(M134*N134,2)</f>
        <v>90.42</v>
      </c>
      <c r="P134" s="583"/>
      <c r="Q134" s="583"/>
      <c r="R134" s="584"/>
      <c r="S134" s="584"/>
      <c r="T134" s="584"/>
      <c r="U134" s="121"/>
      <c r="V134" s="122"/>
      <c r="W134" s="470"/>
      <c r="X134" s="396"/>
      <c r="Y134" s="474"/>
      <c r="Z134" s="464"/>
      <c r="AC134" s="434"/>
      <c r="AD134" s="482"/>
      <c r="AE134" s="394"/>
      <c r="AG134" s="237"/>
      <c r="AH134" s="236"/>
      <c r="AI134" s="235"/>
      <c r="AK134" s="152"/>
      <c r="AM134" s="239"/>
      <c r="AN134" s="243"/>
      <c r="AO134" s="240"/>
      <c r="AQ134" s="241"/>
      <c r="AR134" s="382"/>
      <c r="AT134" s="411"/>
    </row>
    <row r="135" spans="1:49" ht="17.25" customHeight="1" outlineLevel="1" x14ac:dyDescent="0.3">
      <c r="A135" s="850"/>
      <c r="B135" s="587"/>
      <c r="C135" s="547"/>
      <c r="D135" s="588"/>
      <c r="E135" s="588"/>
      <c r="F135" s="583"/>
      <c r="G135" s="544"/>
      <c r="H135" s="583"/>
      <c r="I135" s="583"/>
      <c r="J135" s="583"/>
      <c r="K135" s="541" t="s">
        <v>330</v>
      </c>
      <c r="L135" s="591" t="str">
        <f>VLOOKUP(K135,материалы!$A$5:$G$31,5, FALSE)</f>
        <v>м3</v>
      </c>
      <c r="M135" s="583">
        <f>VLOOKUP(K135,материалы!$A$5:$G$34,7, FALSE)</f>
        <v>116.67</v>
      </c>
      <c r="N135" s="583">
        <v>0.15</v>
      </c>
      <c r="O135" s="583">
        <f t="shared" ref="O135:O139" si="92">ROUND(M135*N135,2)</f>
        <v>17.5</v>
      </c>
      <c r="P135" s="583"/>
      <c r="Q135" s="583"/>
      <c r="R135" s="584"/>
      <c r="S135" s="584"/>
      <c r="T135" s="584"/>
      <c r="U135" s="121"/>
      <c r="V135" s="122"/>
      <c r="W135" s="470"/>
      <c r="X135" s="396"/>
      <c r="Y135" s="474"/>
      <c r="Z135" s="464"/>
      <c r="AC135" s="434"/>
      <c r="AD135" s="482"/>
      <c r="AE135" s="394"/>
      <c r="AG135" s="237"/>
      <c r="AH135" s="236"/>
      <c r="AI135" s="235"/>
      <c r="AK135" s="152"/>
      <c r="AM135" s="239"/>
      <c r="AN135" s="243"/>
      <c r="AO135" s="240"/>
      <c r="AQ135" s="241"/>
      <c r="AR135" s="382"/>
      <c r="AT135" s="411"/>
    </row>
    <row r="136" spans="1:49" ht="41.25" customHeight="1" outlineLevel="1" x14ac:dyDescent="0.3">
      <c r="A136" s="850"/>
      <c r="B136" s="587"/>
      <c r="C136" s="547"/>
      <c r="D136" s="588"/>
      <c r="E136" s="588"/>
      <c r="F136" s="583"/>
      <c r="G136" s="544"/>
      <c r="H136" s="583"/>
      <c r="I136" s="583"/>
      <c r="J136" s="583"/>
      <c r="K136" s="541" t="s">
        <v>347</v>
      </c>
      <c r="L136" s="591" t="str">
        <f>VLOOKUP(K136,материалы!$A$5:$G$31,5, FALSE)</f>
        <v>кг</v>
      </c>
      <c r="M136" s="583">
        <f>VLOOKUP(K136,материалы!$A$5:$G$34,7, FALSE)</f>
        <v>300</v>
      </c>
      <c r="N136" s="583">
        <v>0.1</v>
      </c>
      <c r="O136" s="583">
        <f t="shared" si="92"/>
        <v>30</v>
      </c>
      <c r="P136" s="583"/>
      <c r="Q136" s="583"/>
      <c r="R136" s="584"/>
      <c r="S136" s="584"/>
      <c r="T136" s="584"/>
      <c r="U136" s="121"/>
      <c r="V136" s="122"/>
      <c r="W136" s="470"/>
      <c r="X136" s="396"/>
      <c r="Y136" s="474"/>
      <c r="Z136" s="464"/>
      <c r="AC136" s="434"/>
      <c r="AD136" s="482"/>
      <c r="AE136" s="394"/>
      <c r="AG136" s="237"/>
      <c r="AH136" s="236"/>
      <c r="AI136" s="235"/>
      <c r="AK136" s="152"/>
      <c r="AM136" s="239"/>
      <c r="AN136" s="243"/>
      <c r="AO136" s="240"/>
      <c r="AQ136" s="241"/>
      <c r="AR136" s="382"/>
      <c r="AT136" s="411"/>
    </row>
    <row r="137" spans="1:49" ht="38.25" customHeight="1" outlineLevel="1" x14ac:dyDescent="0.3">
      <c r="A137" s="850"/>
      <c r="B137" s="587"/>
      <c r="C137" s="547"/>
      <c r="D137" s="588"/>
      <c r="E137" s="588"/>
      <c r="F137" s="583"/>
      <c r="G137" s="544"/>
      <c r="H137" s="583"/>
      <c r="I137" s="583"/>
      <c r="J137" s="583"/>
      <c r="K137" s="541" t="s">
        <v>348</v>
      </c>
      <c r="L137" s="591" t="str">
        <f>VLOOKUP(K137,материалы!$A$5:$G$31,5, FALSE)</f>
        <v>шт.</v>
      </c>
      <c r="M137" s="583">
        <f>VLOOKUP(K137,материалы!$A$5:$G$34,7, FALSE)</f>
        <v>45</v>
      </c>
      <c r="N137" s="583">
        <v>0.25</v>
      </c>
      <c r="O137" s="583">
        <f t="shared" si="92"/>
        <v>11.25</v>
      </c>
      <c r="P137" s="583"/>
      <c r="Q137" s="583"/>
      <c r="R137" s="584"/>
      <c r="S137" s="584"/>
      <c r="T137" s="584"/>
      <c r="U137" s="121"/>
      <c r="V137" s="122"/>
      <c r="W137" s="470"/>
      <c r="X137" s="396"/>
      <c r="Y137" s="474"/>
      <c r="Z137" s="464"/>
      <c r="AC137" s="434"/>
      <c r="AD137" s="482"/>
      <c r="AE137" s="394"/>
      <c r="AG137" s="237"/>
      <c r="AH137" s="236"/>
      <c r="AI137" s="235"/>
      <c r="AK137" s="152"/>
      <c r="AM137" s="239"/>
      <c r="AN137" s="243"/>
      <c r="AO137" s="240"/>
      <c r="AQ137" s="241"/>
      <c r="AR137" s="382"/>
      <c r="AT137" s="411"/>
    </row>
    <row r="138" spans="1:49" ht="15.75" customHeight="1" outlineLevel="1" x14ac:dyDescent="0.3">
      <c r="A138" s="850"/>
      <c r="B138" s="587"/>
      <c r="C138" s="547"/>
      <c r="D138" s="588"/>
      <c r="E138" s="588"/>
      <c r="F138" s="583"/>
      <c r="G138" s="544"/>
      <c r="H138" s="583"/>
      <c r="I138" s="583"/>
      <c r="J138" s="583"/>
      <c r="K138" s="541" t="s">
        <v>335</v>
      </c>
      <c r="L138" s="591" t="str">
        <f>VLOOKUP(K138,материалы!$A$5:$G$31,5, FALSE)</f>
        <v>кг</v>
      </c>
      <c r="M138" s="583">
        <f>VLOOKUP(K138,материалы!$A$5:$G$34,7, FALSE)</f>
        <v>95</v>
      </c>
      <c r="N138" s="544">
        <f>0.001</f>
        <v>1E-3</v>
      </c>
      <c r="O138" s="583">
        <f t="shared" si="92"/>
        <v>0.1</v>
      </c>
      <c r="P138" s="583"/>
      <c r="Q138" s="583"/>
      <c r="R138" s="584"/>
      <c r="S138" s="584"/>
      <c r="T138" s="584"/>
      <c r="U138" s="121"/>
      <c r="V138" s="122"/>
      <c r="W138" s="470"/>
      <c r="X138" s="396"/>
      <c r="Y138" s="474"/>
      <c r="Z138" s="464"/>
      <c r="AC138" s="434"/>
      <c r="AD138" s="482"/>
      <c r="AE138" s="394"/>
      <c r="AG138" s="237"/>
      <c r="AH138" s="236"/>
      <c r="AI138" s="235"/>
      <c r="AK138" s="152"/>
      <c r="AM138" s="239"/>
      <c r="AN138" s="243"/>
      <c r="AO138" s="240"/>
      <c r="AQ138" s="241"/>
      <c r="AR138" s="382"/>
      <c r="AT138" s="411"/>
    </row>
    <row r="139" spans="1:49" ht="21" customHeight="1" outlineLevel="1" x14ac:dyDescent="0.3">
      <c r="A139" s="850"/>
      <c r="B139" s="587"/>
      <c r="C139" s="547"/>
      <c r="D139" s="588"/>
      <c r="E139" s="588"/>
      <c r="F139" s="583"/>
      <c r="G139" s="544"/>
      <c r="H139" s="583"/>
      <c r="I139" s="583"/>
      <c r="J139" s="583"/>
      <c r="K139" s="541" t="s">
        <v>336</v>
      </c>
      <c r="L139" s="591" t="str">
        <f>VLOOKUP(K139,материалы!$A$5:$G$31,5, FALSE)</f>
        <v>кг</v>
      </c>
      <c r="M139" s="583">
        <f>VLOOKUP(K139,материалы!$A$5:$G$34,7, FALSE)</f>
        <v>80</v>
      </c>
      <c r="N139" s="591">
        <f>0.01</f>
        <v>0.01</v>
      </c>
      <c r="O139" s="583">
        <f t="shared" si="92"/>
        <v>0.8</v>
      </c>
      <c r="P139" s="583"/>
      <c r="Q139" s="583"/>
      <c r="R139" s="584"/>
      <c r="S139" s="584"/>
      <c r="T139" s="584"/>
      <c r="U139" s="121"/>
      <c r="V139" s="122"/>
      <c r="W139" s="470"/>
      <c r="X139" s="396"/>
      <c r="Y139" s="474"/>
      <c r="Z139" s="464"/>
      <c r="AC139" s="434"/>
      <c r="AD139" s="482"/>
      <c r="AE139" s="394"/>
      <c r="AG139" s="237"/>
      <c r="AH139" s="236"/>
      <c r="AI139" s="235"/>
      <c r="AK139" s="152"/>
      <c r="AM139" s="239"/>
      <c r="AN139" s="243"/>
      <c r="AO139" s="240"/>
      <c r="AQ139" s="241"/>
      <c r="AR139" s="382"/>
      <c r="AT139" s="411"/>
    </row>
    <row r="140" spans="1:49" ht="33" customHeight="1" x14ac:dyDescent="0.3">
      <c r="A140" s="850"/>
      <c r="B140" s="587" t="s">
        <v>184</v>
      </c>
      <c r="C140" s="547" t="s">
        <v>366</v>
      </c>
      <c r="D140" s="588" t="s">
        <v>40</v>
      </c>
      <c r="E140" s="588" t="s">
        <v>169</v>
      </c>
      <c r="F140" s="583">
        <f>VLOOKUP(E140,'условия, ФОТ'!$A$14:$I$28,9, FALSE)</f>
        <v>326.24</v>
      </c>
      <c r="G140" s="591">
        <v>1</v>
      </c>
      <c r="H140" s="583">
        <f t="shared" ref="H140" si="93">ROUND(F140*G140,2)</f>
        <v>326.24</v>
      </c>
      <c r="I140" s="583">
        <f t="shared" ref="I140" si="94">ROUND(H140*$I$5,2)</f>
        <v>98.52</v>
      </c>
      <c r="J140" s="583">
        <f t="shared" ref="J140" si="95">H140+I140</f>
        <v>424.76</v>
      </c>
      <c r="K140" s="589"/>
      <c r="L140" s="583"/>
      <c r="M140" s="583"/>
      <c r="N140" s="583"/>
      <c r="O140" s="583"/>
      <c r="P140" s="583">
        <f t="shared" ref="P140" si="96">J140+O140</f>
        <v>424.76</v>
      </c>
      <c r="Q140" s="583">
        <f t="shared" ref="Q140" si="97">ROUND(P140*$Q$5,2)</f>
        <v>329.19</v>
      </c>
      <c r="R140" s="584">
        <f>ROUND(T140/1.2,2)</f>
        <v>811.67</v>
      </c>
      <c r="S140" s="584">
        <f t="shared" ref="S140" si="98">ROUND(R140*$S$5,2)</f>
        <v>162.33000000000001</v>
      </c>
      <c r="T140" s="584">
        <f>ROUND((P140+Q140)*(1+Y140)*1.2,0)</f>
        <v>974</v>
      </c>
      <c r="U140" s="121">
        <v>577</v>
      </c>
      <c r="V140" s="122">
        <f t="shared" ref="V140:V141" si="99">T140/U140*100-100</f>
        <v>68.804159445407265</v>
      </c>
      <c r="W140" s="470"/>
      <c r="X140" s="396"/>
      <c r="Y140" s="514">
        <v>7.6300000000000007E-2</v>
      </c>
      <c r="Z140" s="464" t="e">
        <f>#REF!*Y140</f>
        <v>#REF!</v>
      </c>
      <c r="AB140" s="404">
        <v>396.02199999999999</v>
      </c>
      <c r="AC140" s="434"/>
      <c r="AD140" s="478">
        <f>T140-U140</f>
        <v>397</v>
      </c>
      <c r="AE140" s="394"/>
      <c r="AG140" s="237">
        <v>-0.1434</v>
      </c>
      <c r="AH140" s="236">
        <f t="shared" ref="AH140:AH199" si="100">IF(AG140&lt;0,-AG140+1,AG140)</f>
        <v>1.1434</v>
      </c>
      <c r="AI140" s="235">
        <v>1.1819999999999999</v>
      </c>
      <c r="AK140" s="152">
        <f>ROUND(W140*AI140,2)</f>
        <v>0</v>
      </c>
      <c r="AM140" s="239">
        <v>1.034</v>
      </c>
      <c r="AN140" s="243">
        <v>-0.1434</v>
      </c>
      <c r="AO140" s="240" t="e">
        <f>#REF!-AM140</f>
        <v>#REF!</v>
      </c>
      <c r="AQ140" s="241">
        <f>Y140-AN140</f>
        <v>0.21970000000000001</v>
      </c>
      <c r="AR140" s="382">
        <v>485</v>
      </c>
      <c r="AS140" s="388" t="b">
        <f>W140=AR140</f>
        <v>0</v>
      </c>
      <c r="AT140" s="411" t="e">
        <f>ROUND(W140/T140*100-100,2)+#REF!</f>
        <v>#REF!</v>
      </c>
      <c r="AW140" t="e">
        <f>ROUND(T140/W140,3)</f>
        <v>#DIV/0!</v>
      </c>
    </row>
    <row r="141" spans="1:49" ht="48.75" customHeight="1" x14ac:dyDescent="0.3">
      <c r="A141" s="851"/>
      <c r="B141" s="587" t="s">
        <v>182</v>
      </c>
      <c r="C141" s="585" t="s">
        <v>705</v>
      </c>
      <c r="D141" s="588" t="s">
        <v>34</v>
      </c>
      <c r="E141" s="588" t="s">
        <v>169</v>
      </c>
      <c r="F141" s="583">
        <f>VLOOKUP(E141,'условия, ФОТ'!$A$14:$I$28,9, FALSE)</f>
        <v>326.24</v>
      </c>
      <c r="G141" s="591">
        <v>0.25</v>
      </c>
      <c r="H141" s="583">
        <f t="shared" ref="H141" si="101">ROUND(F141*G141,2)</f>
        <v>81.56</v>
      </c>
      <c r="I141" s="583">
        <f t="shared" si="81"/>
        <v>24.63</v>
      </c>
      <c r="J141" s="583">
        <f t="shared" si="82"/>
        <v>106.19</v>
      </c>
      <c r="K141" s="589"/>
      <c r="L141" s="583"/>
      <c r="M141" s="583"/>
      <c r="N141" s="583"/>
      <c r="O141" s="583">
        <f>SUM(O142:O144)</f>
        <v>5.6499999999999995</v>
      </c>
      <c r="P141" s="583">
        <f t="shared" si="90"/>
        <v>111.84</v>
      </c>
      <c r="Q141" s="583">
        <f t="shared" si="83"/>
        <v>86.68</v>
      </c>
      <c r="R141" s="584">
        <f>ROUND(T141/1.2,2)</f>
        <v>213.33</v>
      </c>
      <c r="S141" s="584">
        <f>ROUND(R141*$S$5,2)</f>
        <v>42.67</v>
      </c>
      <c r="T141" s="584">
        <f>ROUND((P141+Q141)*(1+Y141)*1.2,0)</f>
        <v>256</v>
      </c>
      <c r="U141" s="121">
        <v>159</v>
      </c>
      <c r="V141" s="122">
        <f t="shared" si="99"/>
        <v>61.006289308176122</v>
      </c>
      <c r="W141" s="470"/>
      <c r="X141" s="396"/>
      <c r="Y141" s="514">
        <v>7.4200000000000002E-2</v>
      </c>
      <c r="Z141" s="464" t="e">
        <f>#REF!*Y141</f>
        <v>#REF!</v>
      </c>
      <c r="AB141" s="404">
        <v>123.04600000000001</v>
      </c>
      <c r="AC141" s="434"/>
      <c r="AD141" s="478">
        <f>T141-U141</f>
        <v>97</v>
      </c>
      <c r="AE141" s="394"/>
      <c r="AG141" s="237">
        <v>-9.2999999999999992E-3</v>
      </c>
      <c r="AH141" s="236">
        <f t="shared" si="100"/>
        <v>1.0093000000000001</v>
      </c>
      <c r="AI141" s="235">
        <v>1.044</v>
      </c>
      <c r="AK141" s="152">
        <f>ROUND(W141*AI141,2)</f>
        <v>0</v>
      </c>
      <c r="AM141" s="239">
        <v>1.034</v>
      </c>
      <c r="AN141" s="243">
        <v>-9.2999999999999992E-3</v>
      </c>
      <c r="AO141" s="240" t="e">
        <f>#REF!-AM141</f>
        <v>#REF!</v>
      </c>
      <c r="AQ141" s="241">
        <f>Y141-AN141</f>
        <v>8.3500000000000005E-2</v>
      </c>
      <c r="AR141" s="382">
        <v>130</v>
      </c>
      <c r="AS141" s="388" t="b">
        <f>W141=AR141</f>
        <v>0</v>
      </c>
      <c r="AT141" s="411" t="e">
        <f>ROUND(W141/T141*100-100,2)+#REF!</f>
        <v>#REF!</v>
      </c>
      <c r="AW141" t="e">
        <f>ROUND(T141/W141,3)</f>
        <v>#DIV/0!</v>
      </c>
    </row>
    <row r="142" spans="1:49" ht="31.7" customHeight="1" x14ac:dyDescent="0.3">
      <c r="A142" s="848" t="s">
        <v>614</v>
      </c>
      <c r="B142" s="848"/>
      <c r="C142" s="848"/>
      <c r="D142" s="848"/>
      <c r="E142" s="848"/>
      <c r="F142" s="848"/>
      <c r="G142" s="848"/>
      <c r="H142" s="848"/>
      <c r="I142" s="848"/>
      <c r="J142" s="540" t="s">
        <v>385</v>
      </c>
      <c r="K142" s="545" t="s">
        <v>341</v>
      </c>
      <c r="L142" s="591" t="str">
        <f>VLOOKUP(K142,материалы!$A$5:$G$31,5, FALSE)</f>
        <v>кг</v>
      </c>
      <c r="M142" s="583">
        <f>VLOOKUP(K142,материалы!$A$5:$G$34,7, FALSE)</f>
        <v>950</v>
      </c>
      <c r="N142" s="583">
        <v>5.0000000000000001E-3</v>
      </c>
      <c r="O142" s="583">
        <f t="shared" ref="O142:O144" si="102">ROUND(M142*N142,2)</f>
        <v>4.75</v>
      </c>
      <c r="P142" s="583"/>
      <c r="Q142" s="583"/>
      <c r="R142" s="584"/>
      <c r="S142" s="584"/>
      <c r="T142" s="584"/>
      <c r="U142" s="121"/>
      <c r="V142" s="122"/>
      <c r="W142" s="392"/>
      <c r="X142" s="396"/>
      <c r="Y142" s="474"/>
      <c r="Z142" s="464"/>
      <c r="AC142" s="434"/>
      <c r="AD142" s="482"/>
      <c r="AE142" s="394"/>
      <c r="AG142" s="237"/>
      <c r="AH142" s="236"/>
      <c r="AI142" s="235"/>
      <c r="AK142" s="152"/>
      <c r="AM142" s="239"/>
      <c r="AN142" s="243"/>
      <c r="AO142" s="240"/>
      <c r="AQ142" s="241"/>
      <c r="AR142" s="382"/>
      <c r="AT142" s="411"/>
    </row>
    <row r="143" spans="1:49" ht="14.25" customHeight="1" x14ac:dyDescent="0.3">
      <c r="A143" s="848"/>
      <c r="B143" s="848"/>
      <c r="C143" s="848"/>
      <c r="D143" s="848"/>
      <c r="E143" s="848"/>
      <c r="F143" s="848"/>
      <c r="G143" s="848"/>
      <c r="H143" s="848"/>
      <c r="I143" s="848"/>
      <c r="J143" s="583"/>
      <c r="K143" s="541" t="s">
        <v>335</v>
      </c>
      <c r="L143" s="591" t="str">
        <f>VLOOKUP(K143,материалы!$A$5:$G$31,5, FALSE)</f>
        <v>кг</v>
      </c>
      <c r="M143" s="583">
        <f>VLOOKUP(K143,материалы!$A$5:$G$34,7, FALSE)</f>
        <v>95</v>
      </c>
      <c r="N143" s="544">
        <f>0.001</f>
        <v>1E-3</v>
      </c>
      <c r="O143" s="583">
        <f t="shared" si="102"/>
        <v>0.1</v>
      </c>
      <c r="P143" s="583"/>
      <c r="Q143" s="583"/>
      <c r="R143" s="584"/>
      <c r="S143" s="584"/>
      <c r="T143" s="584"/>
      <c r="U143" s="121"/>
      <c r="V143" s="122"/>
      <c r="W143" s="392"/>
      <c r="X143" s="396"/>
      <c r="Y143" s="474"/>
      <c r="Z143" s="464"/>
      <c r="AC143" s="434"/>
      <c r="AD143" s="482"/>
      <c r="AE143" s="394"/>
      <c r="AG143" s="237"/>
      <c r="AH143" s="236"/>
      <c r="AI143" s="235"/>
      <c r="AK143" s="152"/>
      <c r="AM143" s="239"/>
      <c r="AN143" s="243"/>
      <c r="AO143" s="240"/>
      <c r="AQ143" s="241"/>
      <c r="AR143" s="382"/>
      <c r="AT143" s="411"/>
    </row>
    <row r="144" spans="1:49" ht="18.95" customHeight="1" x14ac:dyDescent="0.3">
      <c r="A144" s="848"/>
      <c r="B144" s="848"/>
      <c r="C144" s="848"/>
      <c r="D144" s="848"/>
      <c r="E144" s="848"/>
      <c r="F144" s="848"/>
      <c r="G144" s="848"/>
      <c r="H144" s="848"/>
      <c r="I144" s="848"/>
      <c r="J144" s="583"/>
      <c r="K144" s="541" t="s">
        <v>336</v>
      </c>
      <c r="L144" s="591" t="str">
        <f>VLOOKUP(K144,материалы!$A$5:$G$31,5, FALSE)</f>
        <v>кг</v>
      </c>
      <c r="M144" s="583">
        <f>VLOOKUP(K144,материалы!$A$5:$G$34,7, FALSE)</f>
        <v>80</v>
      </c>
      <c r="N144" s="591">
        <f>0.01</f>
        <v>0.01</v>
      </c>
      <c r="O144" s="583">
        <f t="shared" si="102"/>
        <v>0.8</v>
      </c>
      <c r="P144" s="583"/>
      <c r="Q144" s="583"/>
      <c r="R144" s="584"/>
      <c r="S144" s="584"/>
      <c r="T144" s="584"/>
      <c r="U144" s="121"/>
      <c r="V144" s="122"/>
      <c r="W144" s="392"/>
      <c r="X144" s="396"/>
      <c r="Y144" s="474"/>
      <c r="Z144" s="464"/>
      <c r="AC144" s="434"/>
      <c r="AD144" s="482"/>
      <c r="AE144" s="394"/>
      <c r="AG144" s="237"/>
      <c r="AH144" s="236"/>
      <c r="AI144" s="235"/>
      <c r="AK144" s="152"/>
      <c r="AM144" s="239"/>
      <c r="AN144" s="243"/>
      <c r="AO144" s="240"/>
      <c r="AQ144" s="241"/>
      <c r="AR144" s="382"/>
      <c r="AT144" s="411"/>
    </row>
    <row r="145" spans="1:49" ht="15" customHeight="1" x14ac:dyDescent="0.25">
      <c r="A145" s="852" t="s">
        <v>476</v>
      </c>
      <c r="B145" s="596" t="s">
        <v>185</v>
      </c>
      <c r="C145" s="803" t="s">
        <v>41</v>
      </c>
      <c r="D145" s="819" t="s">
        <v>40</v>
      </c>
      <c r="E145" s="568" t="s">
        <v>169</v>
      </c>
      <c r="F145" s="568">
        <f>VLOOKUP(E145,'условия, ФОТ'!$A$14:$I$28,9, FALSE)</f>
        <v>326.24</v>
      </c>
      <c r="G145" s="599">
        <f>0.72+0.68</f>
        <v>1.4</v>
      </c>
      <c r="H145" s="822">
        <f>ROUND(F145*G145+F146*G146,2)</f>
        <v>766.82</v>
      </c>
      <c r="I145" s="822">
        <f t="shared" si="30"/>
        <v>231.58</v>
      </c>
      <c r="J145" s="822">
        <f t="shared" ref="J145:J258" si="103">H145+I145</f>
        <v>998.40000000000009</v>
      </c>
      <c r="K145" s="832"/>
      <c r="L145" s="822"/>
      <c r="M145" s="822"/>
      <c r="N145" s="822"/>
      <c r="O145" s="822">
        <f>SUM(O147:O153)</f>
        <v>185.07000000000002</v>
      </c>
      <c r="P145" s="822">
        <f>J145+O145</f>
        <v>1183.47</v>
      </c>
      <c r="Q145" s="822">
        <f t="shared" si="10"/>
        <v>917.19</v>
      </c>
      <c r="R145" s="829">
        <f>ROUND(T145/1.2,2)</f>
        <v>1683.33</v>
      </c>
      <c r="S145" s="829">
        <f>ROUND(R145*$S$5,2)</f>
        <v>336.67</v>
      </c>
      <c r="T145" s="829">
        <f>ROUND((P145+Q145)*(1+Y145)*1.2,0)</f>
        <v>2020</v>
      </c>
      <c r="U145" s="827">
        <v>1588</v>
      </c>
      <c r="V145" s="577">
        <f t="shared" si="55"/>
        <v>27.204030226700255</v>
      </c>
      <c r="W145" s="785">
        <v>2020</v>
      </c>
      <c r="X145" s="840">
        <f t="shared" ref="X145" si="104">ROUND((P145+Q145)*1.2,2)</f>
        <v>2520.79</v>
      </c>
      <c r="Y145" s="771">
        <f>ROUND((W145/X145)*100%-100%,4)</f>
        <v>-0.19869999999999999</v>
      </c>
      <c r="Z145" s="776" t="e">
        <f>#REF!*Y145</f>
        <v>#REF!</v>
      </c>
      <c r="AB145" s="404">
        <v>1290.432</v>
      </c>
      <c r="AC145" s="741"/>
      <c r="AD145" s="763">
        <f>T145-U145</f>
        <v>432</v>
      </c>
      <c r="AE145" s="394"/>
      <c r="AG145" s="759">
        <v>9.2799999999999994E-2</v>
      </c>
      <c r="AH145" s="751">
        <f t="shared" si="100"/>
        <v>9.2799999999999994E-2</v>
      </c>
      <c r="AI145" s="751">
        <v>0</v>
      </c>
      <c r="AK145" s="152"/>
      <c r="AM145" s="759">
        <v>1.034</v>
      </c>
      <c r="AN145" s="877">
        <v>9.2799999999999994E-2</v>
      </c>
      <c r="AO145" s="751" t="e">
        <f>#REF!-AM145</f>
        <v>#REF!</v>
      </c>
      <c r="AQ145" s="747">
        <f>Y145-AN145</f>
        <v>-0.29149999999999998</v>
      </c>
      <c r="AR145" s="741">
        <v>1290</v>
      </c>
      <c r="AS145" s="884" t="b">
        <f>W145=AR145</f>
        <v>0</v>
      </c>
      <c r="AT145" s="411" t="e">
        <f>ROUND(W145/T145*100-100,2)+#REF!</f>
        <v>#REF!</v>
      </c>
      <c r="AW145">
        <f>ROUND(T145/W145,3)</f>
        <v>1</v>
      </c>
    </row>
    <row r="146" spans="1:49" ht="14.25" customHeight="1" x14ac:dyDescent="0.25">
      <c r="A146" s="852"/>
      <c r="B146" s="596" t="s">
        <v>180</v>
      </c>
      <c r="C146" s="803"/>
      <c r="D146" s="819"/>
      <c r="E146" s="598" t="s">
        <v>174</v>
      </c>
      <c r="F146" s="568">
        <f>VLOOKUP(E146,'условия, ФОТ'!$A$14:$I$28,9, FALSE)</f>
        <v>456.01</v>
      </c>
      <c r="G146" s="599">
        <v>0.68</v>
      </c>
      <c r="H146" s="822"/>
      <c r="I146" s="822"/>
      <c r="J146" s="822"/>
      <c r="K146" s="832"/>
      <c r="L146" s="822"/>
      <c r="M146" s="822"/>
      <c r="N146" s="822"/>
      <c r="O146" s="822"/>
      <c r="P146" s="822"/>
      <c r="Q146" s="822"/>
      <c r="R146" s="829"/>
      <c r="S146" s="829"/>
      <c r="T146" s="829">
        <f>ROUND((P146+Q146)*(1+$R$5)*1.18,0)</f>
        <v>0</v>
      </c>
      <c r="U146" s="828"/>
      <c r="V146" s="577"/>
      <c r="W146" s="786"/>
      <c r="X146" s="841"/>
      <c r="Y146" s="772"/>
      <c r="Z146" s="777"/>
      <c r="AC146" s="741"/>
      <c r="AD146" s="764"/>
      <c r="AE146" s="394"/>
      <c r="AG146" s="760"/>
      <c r="AH146" s="752"/>
      <c r="AI146" s="752"/>
      <c r="AK146" s="152"/>
      <c r="AM146" s="760"/>
      <c r="AN146" s="878"/>
      <c r="AO146" s="752"/>
      <c r="AQ146" s="748"/>
      <c r="AR146" s="741"/>
      <c r="AS146" s="884"/>
      <c r="AT146" s="411"/>
    </row>
    <row r="147" spans="1:49" ht="18.95" customHeight="1" outlineLevel="1" x14ac:dyDescent="0.3">
      <c r="A147" s="587"/>
      <c r="B147" s="587"/>
      <c r="C147" s="585"/>
      <c r="D147" s="588"/>
      <c r="E147" s="588"/>
      <c r="F147" s="583"/>
      <c r="G147" s="591"/>
      <c r="H147" s="583"/>
      <c r="I147" s="583"/>
      <c r="J147" s="540" t="s">
        <v>385</v>
      </c>
      <c r="K147" s="545" t="s">
        <v>330</v>
      </c>
      <c r="L147" s="591" t="str">
        <f>VLOOKUP(K147,материалы!$A$5:$G$31,5, FALSE)</f>
        <v>м3</v>
      </c>
      <c r="M147" s="583">
        <f>VLOOKUP(K147,материалы!$A$5:$G$34,7, FALSE)</f>
        <v>116.67</v>
      </c>
      <c r="N147" s="583">
        <v>0.15</v>
      </c>
      <c r="O147" s="583">
        <f t="shared" ref="O147:O150" si="105">ROUND(M147*N147,2)</f>
        <v>17.5</v>
      </c>
      <c r="P147" s="583"/>
      <c r="Q147" s="583"/>
      <c r="R147" s="584"/>
      <c r="S147" s="584"/>
      <c r="T147" s="584"/>
      <c r="U147" s="121"/>
      <c r="V147" s="122"/>
      <c r="W147" s="393"/>
      <c r="X147" s="396"/>
      <c r="Y147" s="474"/>
      <c r="Z147" s="464"/>
      <c r="AC147" s="434"/>
      <c r="AD147" s="482"/>
      <c r="AE147" s="394"/>
      <c r="AG147" s="237"/>
      <c r="AH147" s="236"/>
      <c r="AI147" s="235"/>
      <c r="AK147" s="152"/>
      <c r="AM147" s="239"/>
      <c r="AN147" s="243"/>
      <c r="AO147" s="240"/>
      <c r="AQ147" s="241"/>
      <c r="AR147" s="382"/>
      <c r="AT147" s="411"/>
    </row>
    <row r="148" spans="1:49" ht="18.95" customHeight="1" outlineLevel="1" x14ac:dyDescent="0.3">
      <c r="A148" s="587"/>
      <c r="B148" s="587"/>
      <c r="C148" s="585"/>
      <c r="D148" s="588"/>
      <c r="E148" s="588"/>
      <c r="F148" s="583"/>
      <c r="G148" s="591"/>
      <c r="H148" s="583"/>
      <c r="I148" s="583"/>
      <c r="J148" s="583"/>
      <c r="K148" s="545" t="s">
        <v>329</v>
      </c>
      <c r="L148" s="591" t="str">
        <f>VLOOKUP(K148,материалы!$A$5:$G$31,5, FALSE)</f>
        <v>м3</v>
      </c>
      <c r="M148" s="583">
        <f>VLOOKUP(K148,материалы!$A$5:$G$34,7, FALSE)</f>
        <v>1033.33</v>
      </c>
      <c r="N148" s="591">
        <v>8.7499999999999994E-2</v>
      </c>
      <c r="O148" s="583">
        <f t="shared" si="105"/>
        <v>90.42</v>
      </c>
      <c r="P148" s="583"/>
      <c r="Q148" s="583"/>
      <c r="R148" s="584"/>
      <c r="S148" s="584"/>
      <c r="T148" s="584"/>
      <c r="U148" s="121"/>
      <c r="V148" s="122"/>
      <c r="W148" s="393"/>
      <c r="X148" s="396"/>
      <c r="Y148" s="474"/>
      <c r="Z148" s="464"/>
      <c r="AC148" s="434"/>
      <c r="AD148" s="482"/>
      <c r="AE148" s="394"/>
      <c r="AG148" s="237"/>
      <c r="AH148" s="236"/>
      <c r="AI148" s="235"/>
      <c r="AK148" s="152"/>
      <c r="AM148" s="239"/>
      <c r="AN148" s="243"/>
      <c r="AO148" s="240"/>
      <c r="AQ148" s="241"/>
      <c r="AR148" s="382"/>
      <c r="AT148" s="411"/>
    </row>
    <row r="149" spans="1:49" ht="41.25" customHeight="1" outlineLevel="1" x14ac:dyDescent="0.3">
      <c r="A149" s="587"/>
      <c r="B149" s="587"/>
      <c r="C149" s="585"/>
      <c r="D149" s="588"/>
      <c r="E149" s="588"/>
      <c r="F149" s="583"/>
      <c r="G149" s="591"/>
      <c r="H149" s="583"/>
      <c r="I149" s="583"/>
      <c r="J149" s="583"/>
      <c r="K149" s="545" t="s">
        <v>347</v>
      </c>
      <c r="L149" s="591" t="str">
        <f>VLOOKUP(K149,материалы!$A$5:$G$31,5, FALSE)</f>
        <v>кг</v>
      </c>
      <c r="M149" s="583">
        <f>VLOOKUP(K149,материалы!$A$5:$G$34,7, FALSE)</f>
        <v>300</v>
      </c>
      <c r="N149" s="583">
        <v>0.1</v>
      </c>
      <c r="O149" s="583">
        <f t="shared" si="105"/>
        <v>30</v>
      </c>
      <c r="P149" s="583"/>
      <c r="Q149" s="583"/>
      <c r="R149" s="584"/>
      <c r="S149" s="584"/>
      <c r="T149" s="584"/>
      <c r="U149" s="121"/>
      <c r="V149" s="122"/>
      <c r="W149" s="393"/>
      <c r="X149" s="396"/>
      <c r="Y149" s="474"/>
      <c r="Z149" s="464"/>
      <c r="AC149" s="434"/>
      <c r="AD149" s="482"/>
      <c r="AE149" s="394"/>
      <c r="AG149" s="237"/>
      <c r="AH149" s="236"/>
      <c r="AI149" s="235"/>
      <c r="AK149" s="152"/>
      <c r="AM149" s="239"/>
      <c r="AN149" s="243"/>
      <c r="AO149" s="240"/>
      <c r="AQ149" s="241"/>
      <c r="AR149" s="382"/>
      <c r="AT149" s="411"/>
    </row>
    <row r="150" spans="1:49" ht="29.25" customHeight="1" outlineLevel="1" x14ac:dyDescent="0.3">
      <c r="A150" s="587"/>
      <c r="B150" s="587"/>
      <c r="C150" s="585"/>
      <c r="D150" s="588"/>
      <c r="E150" s="588"/>
      <c r="F150" s="583"/>
      <c r="G150" s="591"/>
      <c r="H150" s="583"/>
      <c r="I150" s="583"/>
      <c r="J150" s="583"/>
      <c r="K150" s="545" t="s">
        <v>348</v>
      </c>
      <c r="L150" s="591" t="str">
        <f>VLOOKUP(K150,материалы!$A$5:$G$31,5, FALSE)</f>
        <v>шт.</v>
      </c>
      <c r="M150" s="583">
        <f>VLOOKUP(K150,материалы!$A$5:$G$34,7, FALSE)</f>
        <v>45</v>
      </c>
      <c r="N150" s="583">
        <v>0.25</v>
      </c>
      <c r="O150" s="583">
        <f t="shared" si="105"/>
        <v>11.25</v>
      </c>
      <c r="P150" s="583"/>
      <c r="Q150" s="583"/>
      <c r="R150" s="584"/>
      <c r="S150" s="584"/>
      <c r="T150" s="584"/>
      <c r="U150" s="121"/>
      <c r="V150" s="122"/>
      <c r="W150" s="393"/>
      <c r="X150" s="396"/>
      <c r="Y150" s="474"/>
      <c r="Z150" s="464"/>
      <c r="AC150" s="434"/>
      <c r="AD150" s="482"/>
      <c r="AE150" s="394"/>
      <c r="AG150" s="237"/>
      <c r="AH150" s="236"/>
      <c r="AI150" s="235"/>
      <c r="AK150" s="152"/>
      <c r="AM150" s="239"/>
      <c r="AN150" s="243"/>
      <c r="AO150" s="240"/>
      <c r="AQ150" s="241"/>
      <c r="AR150" s="382"/>
      <c r="AT150" s="411"/>
    </row>
    <row r="151" spans="1:49" ht="29.25" customHeight="1" outlineLevel="1" x14ac:dyDescent="0.3">
      <c r="A151" s="587"/>
      <c r="B151" s="587"/>
      <c r="C151" s="585"/>
      <c r="D151" s="588"/>
      <c r="E151" s="588"/>
      <c r="F151" s="583"/>
      <c r="G151" s="591"/>
      <c r="H151" s="583"/>
      <c r="I151" s="583"/>
      <c r="J151" s="583"/>
      <c r="K151" s="545" t="s">
        <v>358</v>
      </c>
      <c r="L151" s="591" t="str">
        <f>VLOOKUP(K151,материалы!$A$5:$G$31,5, FALSE)</f>
        <v>шт.</v>
      </c>
      <c r="M151" s="583">
        <f>VLOOKUP(K151,материалы!$A$5:$G$34,7, FALSE)</f>
        <v>35</v>
      </c>
      <c r="N151" s="583">
        <v>1</v>
      </c>
      <c r="O151" s="583">
        <f t="shared" ref="O151:O153" si="106">ROUND(M151*N151,2)</f>
        <v>35</v>
      </c>
      <c r="P151" s="583"/>
      <c r="Q151" s="583"/>
      <c r="R151" s="584"/>
      <c r="S151" s="584"/>
      <c r="T151" s="584"/>
      <c r="U151" s="121"/>
      <c r="V151" s="122"/>
      <c r="W151" s="393"/>
      <c r="X151" s="396"/>
      <c r="Y151" s="474"/>
      <c r="Z151" s="464"/>
      <c r="AC151" s="434"/>
      <c r="AD151" s="482"/>
      <c r="AE151" s="394"/>
      <c r="AG151" s="237"/>
      <c r="AH151" s="236"/>
      <c r="AI151" s="235"/>
      <c r="AK151" s="152"/>
      <c r="AM151" s="239"/>
      <c r="AN151" s="243"/>
      <c r="AO151" s="240"/>
      <c r="AQ151" s="241"/>
      <c r="AR151" s="382"/>
      <c r="AT151" s="411"/>
    </row>
    <row r="152" spans="1:49" ht="18" customHeight="1" outlineLevel="1" x14ac:dyDescent="0.3">
      <c r="A152" s="587"/>
      <c r="B152" s="587"/>
      <c r="C152" s="585"/>
      <c r="D152" s="588"/>
      <c r="E152" s="588"/>
      <c r="F152" s="583"/>
      <c r="G152" s="591"/>
      <c r="H152" s="583"/>
      <c r="I152" s="583"/>
      <c r="J152" s="583"/>
      <c r="K152" s="541" t="s">
        <v>335</v>
      </c>
      <c r="L152" s="591" t="str">
        <f>VLOOKUP(K152,материалы!$A$5:$G$31,5, FALSE)</f>
        <v>кг</v>
      </c>
      <c r="M152" s="583">
        <f>VLOOKUP(K152,материалы!$A$5:$G$34,7, FALSE)</f>
        <v>95</v>
      </c>
      <c r="N152" s="583">
        <v>1E-3</v>
      </c>
      <c r="O152" s="583">
        <f t="shared" si="106"/>
        <v>0.1</v>
      </c>
      <c r="P152" s="583"/>
      <c r="Q152" s="583"/>
      <c r="R152" s="584"/>
      <c r="S152" s="584"/>
      <c r="T152" s="584"/>
      <c r="U152" s="121"/>
      <c r="V152" s="122"/>
      <c r="W152" s="393"/>
      <c r="X152" s="396"/>
      <c r="Y152" s="474"/>
      <c r="Z152" s="464"/>
      <c r="AC152" s="434"/>
      <c r="AD152" s="482"/>
      <c r="AE152" s="394"/>
      <c r="AG152" s="237"/>
      <c r="AH152" s="236"/>
      <c r="AI152" s="235"/>
      <c r="AK152" s="152"/>
      <c r="AM152" s="239"/>
      <c r="AN152" s="243"/>
      <c r="AO152" s="240"/>
      <c r="AQ152" s="241"/>
      <c r="AR152" s="382"/>
      <c r="AT152" s="411"/>
    </row>
    <row r="153" spans="1:49" ht="20.25" customHeight="1" outlineLevel="1" x14ac:dyDescent="0.3">
      <c r="A153" s="587"/>
      <c r="B153" s="587"/>
      <c r="C153" s="585"/>
      <c r="D153" s="588"/>
      <c r="E153" s="588"/>
      <c r="F153" s="583"/>
      <c r="G153" s="591"/>
      <c r="H153" s="583"/>
      <c r="I153" s="583"/>
      <c r="J153" s="583"/>
      <c r="K153" s="541" t="s">
        <v>336</v>
      </c>
      <c r="L153" s="591" t="str">
        <f>VLOOKUP(K153,материалы!$A$5:$G$31,5, FALSE)</f>
        <v>кг</v>
      </c>
      <c r="M153" s="583">
        <f>VLOOKUP(K153,материалы!$A$5:$G$34,7, FALSE)</f>
        <v>80</v>
      </c>
      <c r="N153" s="583">
        <v>0.01</v>
      </c>
      <c r="O153" s="583">
        <f t="shared" si="106"/>
        <v>0.8</v>
      </c>
      <c r="P153" s="583"/>
      <c r="Q153" s="583"/>
      <c r="R153" s="584"/>
      <c r="S153" s="584"/>
      <c r="T153" s="584"/>
      <c r="U153" s="121"/>
      <c r="V153" s="122"/>
      <c r="W153" s="393"/>
      <c r="X153" s="396"/>
      <c r="Y153" s="474"/>
      <c r="Z153" s="464"/>
      <c r="AC153" s="434"/>
      <c r="AD153" s="482"/>
      <c r="AE153" s="394"/>
      <c r="AG153" s="237"/>
      <c r="AH153" s="236"/>
      <c r="AI153" s="235"/>
      <c r="AK153" s="152"/>
      <c r="AM153" s="239"/>
      <c r="AN153" s="243"/>
      <c r="AO153" s="240"/>
      <c r="AQ153" s="241"/>
      <c r="AR153" s="382"/>
      <c r="AT153" s="411"/>
    </row>
    <row r="154" spans="1:49" ht="51" x14ac:dyDescent="0.3">
      <c r="A154" s="587" t="s">
        <v>477</v>
      </c>
      <c r="B154" s="587" t="s">
        <v>186</v>
      </c>
      <c r="C154" s="585" t="s">
        <v>431</v>
      </c>
      <c r="D154" s="588" t="s">
        <v>40</v>
      </c>
      <c r="E154" s="588" t="s">
        <v>169</v>
      </c>
      <c r="F154" s="583">
        <f>VLOOKUP(E154,'условия, ФОТ'!$A$14:$I$28,9, FALSE)</f>
        <v>326.24</v>
      </c>
      <c r="G154" s="591">
        <v>1.3</v>
      </c>
      <c r="H154" s="583">
        <f t="shared" ref="H154:H258" si="107">ROUND(F154*G154,2)</f>
        <v>424.11</v>
      </c>
      <c r="I154" s="583">
        <f t="shared" si="30"/>
        <v>128.08000000000001</v>
      </c>
      <c r="J154" s="583">
        <f t="shared" si="103"/>
        <v>552.19000000000005</v>
      </c>
      <c r="K154" s="589"/>
      <c r="L154" s="583"/>
      <c r="M154" s="583"/>
      <c r="N154" s="583"/>
      <c r="O154" s="583">
        <f>SUM(O155:O157)</f>
        <v>5.6499999999999995</v>
      </c>
      <c r="P154" s="583">
        <f>J154+O154</f>
        <v>557.84</v>
      </c>
      <c r="Q154" s="583">
        <f t="shared" si="10"/>
        <v>432.33</v>
      </c>
      <c r="R154" s="584">
        <f>ROUND(T154/1.2,2)</f>
        <v>1666.67</v>
      </c>
      <c r="S154" s="584">
        <f t="shared" si="11"/>
        <v>333.33</v>
      </c>
      <c r="T154" s="584">
        <f>ROUND((P154+Q154)*(1+Y154)*1.2,0)</f>
        <v>2000</v>
      </c>
      <c r="U154" s="517">
        <v>760</v>
      </c>
      <c r="V154" s="535">
        <f t="shared" si="55"/>
        <v>163.15789473684214</v>
      </c>
      <c r="W154" s="576">
        <v>2000</v>
      </c>
      <c r="X154" s="530">
        <f>ROUND((P154+Q154)*1.2,2)</f>
        <v>1188.2</v>
      </c>
      <c r="Y154" s="531">
        <f>ROUND((W154/X154)*100%-100%,4)</f>
        <v>0.68320000000000003</v>
      </c>
      <c r="Z154" s="464" t="e">
        <f>#REF!*Y154</f>
        <v>#REF!</v>
      </c>
      <c r="AB154" s="404">
        <v>526.30600000000004</v>
      </c>
      <c r="AC154" s="434"/>
      <c r="AD154" s="478">
        <f>T154-U154</f>
        <v>1240</v>
      </c>
      <c r="AE154" s="394"/>
      <c r="AG154" s="237">
        <v>-0.13669999999999999</v>
      </c>
      <c r="AH154" s="236">
        <f t="shared" si="100"/>
        <v>1.1367</v>
      </c>
      <c r="AI154" s="235">
        <v>1.175</v>
      </c>
      <c r="AK154" s="152">
        <f>ROUND(W154*AI154,2)</f>
        <v>2350</v>
      </c>
      <c r="AM154" s="239">
        <v>1.034</v>
      </c>
      <c r="AN154" s="243">
        <v>-0.13669999999999999</v>
      </c>
      <c r="AO154" s="240" t="e">
        <f>#REF!-AM154</f>
        <v>#REF!</v>
      </c>
      <c r="AQ154" s="241">
        <f>Y154-AN154</f>
        <v>0.81990000000000007</v>
      </c>
      <c r="AR154" s="382">
        <v>640</v>
      </c>
      <c r="AS154" s="388" t="b">
        <f>W154=AR154</f>
        <v>0</v>
      </c>
      <c r="AT154" s="411" t="e">
        <f>ROUND(W154/T154*100-100,2)+#REF!</f>
        <v>#REF!</v>
      </c>
      <c r="AW154">
        <f>ROUND(T154/W154,3)</f>
        <v>1</v>
      </c>
    </row>
    <row r="155" spans="1:49" ht="25.5" outlineLevel="1" x14ac:dyDescent="0.3">
      <c r="A155" s="587"/>
      <c r="B155" s="587"/>
      <c r="C155" s="585"/>
      <c r="D155" s="588"/>
      <c r="E155" s="588"/>
      <c r="F155" s="583"/>
      <c r="G155" s="591"/>
      <c r="H155" s="583"/>
      <c r="I155" s="583"/>
      <c r="J155" s="540" t="s">
        <v>385</v>
      </c>
      <c r="K155" s="545" t="s">
        <v>341</v>
      </c>
      <c r="L155" s="591" t="str">
        <f>VLOOKUP(K155,материалы!$A$5:$G$31,5, FALSE)</f>
        <v>кг</v>
      </c>
      <c r="M155" s="583">
        <f>VLOOKUP(K155,материалы!$A$5:$G$34,7, FALSE)</f>
        <v>950</v>
      </c>
      <c r="N155" s="583">
        <v>5.0000000000000001E-3</v>
      </c>
      <c r="O155" s="583">
        <f t="shared" ref="O155" si="108">ROUND(M155*N155,2)</f>
        <v>4.75</v>
      </c>
      <c r="P155" s="583"/>
      <c r="Q155" s="583"/>
      <c r="R155" s="584"/>
      <c r="S155" s="584"/>
      <c r="T155" s="584"/>
      <c r="U155" s="121"/>
      <c r="V155" s="122"/>
      <c r="W155" s="470"/>
      <c r="X155" s="396"/>
      <c r="Y155" s="474"/>
      <c r="Z155" s="464"/>
      <c r="AC155" s="434"/>
      <c r="AD155" s="482"/>
      <c r="AE155" s="394"/>
      <c r="AG155" s="237"/>
      <c r="AH155" s="236"/>
      <c r="AI155" s="235"/>
      <c r="AK155" s="152"/>
      <c r="AM155" s="239"/>
      <c r="AN155" s="243"/>
      <c r="AO155" s="240"/>
      <c r="AQ155" s="241"/>
      <c r="AR155" s="382"/>
      <c r="AT155" s="411"/>
    </row>
    <row r="156" spans="1:49" outlineLevel="1" x14ac:dyDescent="0.3">
      <c r="A156" s="587"/>
      <c r="B156" s="587"/>
      <c r="C156" s="585"/>
      <c r="D156" s="588"/>
      <c r="E156" s="588"/>
      <c r="F156" s="583"/>
      <c r="G156" s="591"/>
      <c r="H156" s="583"/>
      <c r="I156" s="583"/>
      <c r="J156" s="583"/>
      <c r="K156" s="541" t="s">
        <v>335</v>
      </c>
      <c r="L156" s="591" t="str">
        <f>VLOOKUP(K156,материалы!$A$5:$G$31,5, FALSE)</f>
        <v>кг</v>
      </c>
      <c r="M156" s="583">
        <f>VLOOKUP(K156,материалы!$A$5:$G$34,7, FALSE)</f>
        <v>95</v>
      </c>
      <c r="N156" s="583">
        <v>1E-3</v>
      </c>
      <c r="O156" s="583">
        <f t="shared" ref="O156:O157" si="109">ROUND(M156*N156,2)</f>
        <v>0.1</v>
      </c>
      <c r="P156" s="583"/>
      <c r="Q156" s="583"/>
      <c r="R156" s="584"/>
      <c r="S156" s="584"/>
      <c r="T156" s="584"/>
      <c r="U156" s="121"/>
      <c r="V156" s="122"/>
      <c r="W156" s="470"/>
      <c r="X156" s="396"/>
      <c r="Y156" s="474"/>
      <c r="Z156" s="464"/>
      <c r="AC156" s="434"/>
      <c r="AD156" s="482"/>
      <c r="AE156" s="394"/>
      <c r="AG156" s="237"/>
      <c r="AH156" s="236"/>
      <c r="AI156" s="235"/>
      <c r="AK156" s="152"/>
      <c r="AM156" s="239"/>
      <c r="AN156" s="243"/>
      <c r="AO156" s="240"/>
      <c r="AQ156" s="241"/>
      <c r="AR156" s="382"/>
      <c r="AT156" s="411"/>
    </row>
    <row r="157" spans="1:49" outlineLevel="1" x14ac:dyDescent="0.3">
      <c r="A157" s="587"/>
      <c r="B157" s="587"/>
      <c r="C157" s="585"/>
      <c r="D157" s="588"/>
      <c r="E157" s="588"/>
      <c r="F157" s="583"/>
      <c r="G157" s="591"/>
      <c r="H157" s="583"/>
      <c r="I157" s="583"/>
      <c r="J157" s="583"/>
      <c r="K157" s="541" t="s">
        <v>336</v>
      </c>
      <c r="L157" s="591" t="str">
        <f>VLOOKUP(K157,материалы!$A$5:$G$31,5, FALSE)</f>
        <v>кг</v>
      </c>
      <c r="M157" s="583">
        <f>VLOOKUP(K157,материалы!$A$5:$G$34,7, FALSE)</f>
        <v>80</v>
      </c>
      <c r="N157" s="583">
        <v>0.01</v>
      </c>
      <c r="O157" s="583">
        <f t="shared" si="109"/>
        <v>0.8</v>
      </c>
      <c r="P157" s="583"/>
      <c r="Q157" s="583"/>
      <c r="R157" s="584"/>
      <c r="S157" s="584"/>
      <c r="T157" s="584"/>
      <c r="U157" s="121"/>
      <c r="V157" s="122"/>
      <c r="W157" s="470"/>
      <c r="X157" s="396"/>
      <c r="Y157" s="474"/>
      <c r="Z157" s="464"/>
      <c r="AC157" s="434"/>
      <c r="AD157" s="482"/>
      <c r="AE157" s="394"/>
      <c r="AG157" s="237"/>
      <c r="AH157" s="236"/>
      <c r="AI157" s="235"/>
      <c r="AK157" s="152"/>
      <c r="AM157" s="239"/>
      <c r="AN157" s="243"/>
      <c r="AO157" s="240"/>
      <c r="AQ157" s="241"/>
      <c r="AR157" s="382"/>
      <c r="AT157" s="411"/>
    </row>
    <row r="158" spans="1:49" ht="45.95" customHeight="1" x14ac:dyDescent="0.3">
      <c r="A158" s="587" t="s">
        <v>478</v>
      </c>
      <c r="B158" s="587" t="s">
        <v>35</v>
      </c>
      <c r="C158" s="585" t="s">
        <v>432</v>
      </c>
      <c r="D158" s="588" t="s">
        <v>40</v>
      </c>
      <c r="E158" s="588" t="s">
        <v>169</v>
      </c>
      <c r="F158" s="583">
        <f>VLOOKUP(E158,'условия, ФОТ'!$A$14:$I$28,9, FALSE)</f>
        <v>326.24</v>
      </c>
      <c r="G158" s="591">
        <v>1.4</v>
      </c>
      <c r="H158" s="583">
        <f t="shared" si="107"/>
        <v>456.74</v>
      </c>
      <c r="I158" s="583">
        <f t="shared" si="30"/>
        <v>137.94</v>
      </c>
      <c r="J158" s="583">
        <f t="shared" si="103"/>
        <v>594.68000000000006</v>
      </c>
      <c r="K158" s="589"/>
      <c r="L158" s="583"/>
      <c r="M158" s="583"/>
      <c r="N158" s="583"/>
      <c r="O158" s="583">
        <f>SUM(O159:O161)</f>
        <v>5.6499999999999995</v>
      </c>
      <c r="P158" s="583">
        <f t="shared" ref="P158:P258" si="110">J158+O158</f>
        <v>600.33000000000004</v>
      </c>
      <c r="Q158" s="583">
        <f t="shared" si="10"/>
        <v>465.26</v>
      </c>
      <c r="R158" s="584">
        <f>ROUND(T158/1.2,2)</f>
        <v>1793.33</v>
      </c>
      <c r="S158" s="584">
        <f t="shared" si="11"/>
        <v>358.67</v>
      </c>
      <c r="T158" s="584">
        <f>ROUND((P158+Q158)*(1+Y158)*1.2,0)</f>
        <v>2152</v>
      </c>
      <c r="U158" s="517">
        <v>819</v>
      </c>
      <c r="V158" s="535">
        <f t="shared" si="55"/>
        <v>162.75946275946274</v>
      </c>
      <c r="W158" s="529"/>
      <c r="X158" s="530"/>
      <c r="Y158" s="531">
        <f>Y154</f>
        <v>0.68320000000000003</v>
      </c>
      <c r="Z158" s="464" t="e">
        <f>#REF!*Y158</f>
        <v>#REF!</v>
      </c>
      <c r="AB158" s="404">
        <v>565.59800000000007</v>
      </c>
      <c r="AC158" s="434"/>
      <c r="AD158" s="478">
        <f>T158-U158</f>
        <v>1333</v>
      </c>
      <c r="AE158" s="394"/>
      <c r="AG158" s="237">
        <v>-0.13769999999999999</v>
      </c>
      <c r="AH158" s="236">
        <f t="shared" si="100"/>
        <v>1.1376999999999999</v>
      </c>
      <c r="AI158" s="235">
        <v>1.1759999999999999</v>
      </c>
      <c r="AK158" s="152">
        <f>ROUND(W158*AI158,2)</f>
        <v>0</v>
      </c>
      <c r="AM158" s="239">
        <v>1.034</v>
      </c>
      <c r="AN158" s="243">
        <v>-0.13769999999999999</v>
      </c>
      <c r="AO158" s="240" t="e">
        <f>#REF!-AM158</f>
        <v>#REF!</v>
      </c>
      <c r="AQ158" s="241">
        <f>Y158-AN158</f>
        <v>0.82089999999999996</v>
      </c>
      <c r="AR158" s="382">
        <v>689</v>
      </c>
      <c r="AS158" s="388" t="b">
        <f>W158=AR158</f>
        <v>0</v>
      </c>
      <c r="AT158" s="411" t="e">
        <f>ROUND(W158/T158*100-100,2)+#REF!</f>
        <v>#REF!</v>
      </c>
      <c r="AW158" t="e">
        <f>ROUND(T158/W158,3)</f>
        <v>#DIV/0!</v>
      </c>
    </row>
    <row r="159" spans="1:49" ht="25.5" outlineLevel="1" x14ac:dyDescent="0.3">
      <c r="A159" s="587"/>
      <c r="B159" s="587"/>
      <c r="C159" s="585"/>
      <c r="D159" s="588"/>
      <c r="E159" s="588"/>
      <c r="F159" s="583"/>
      <c r="G159" s="591"/>
      <c r="H159" s="583"/>
      <c r="I159" s="583"/>
      <c r="J159" s="540" t="s">
        <v>385</v>
      </c>
      <c r="K159" s="545" t="s">
        <v>341</v>
      </c>
      <c r="L159" s="591" t="str">
        <f>VLOOKUP(K159,материалы!$A$5:$G$31,5, FALSE)</f>
        <v>кг</v>
      </c>
      <c r="M159" s="583">
        <f>VLOOKUP(K159,материалы!$A$5:$G$34,7, FALSE)</f>
        <v>950</v>
      </c>
      <c r="N159" s="583">
        <v>5.0000000000000001E-3</v>
      </c>
      <c r="O159" s="583">
        <f t="shared" ref="O159:O163" si="111">ROUND(M159*N159,2)</f>
        <v>4.75</v>
      </c>
      <c r="P159" s="583"/>
      <c r="Q159" s="583"/>
      <c r="R159" s="584"/>
      <c r="S159" s="584"/>
      <c r="T159" s="584"/>
      <c r="U159" s="121"/>
      <c r="V159" s="122"/>
      <c r="W159" s="470"/>
      <c r="X159" s="396"/>
      <c r="Y159" s="474"/>
      <c r="Z159" s="464"/>
      <c r="AC159" s="434"/>
      <c r="AD159" s="482"/>
      <c r="AE159" s="394"/>
      <c r="AG159" s="237"/>
      <c r="AH159" s="236"/>
      <c r="AI159" s="235"/>
      <c r="AK159" s="152"/>
      <c r="AM159" s="239"/>
      <c r="AN159" s="243"/>
      <c r="AO159" s="240"/>
      <c r="AQ159" s="241"/>
      <c r="AR159" s="382"/>
      <c r="AT159" s="411"/>
    </row>
    <row r="160" spans="1:49" outlineLevel="1" x14ac:dyDescent="0.3">
      <c r="A160" s="587"/>
      <c r="B160" s="587"/>
      <c r="C160" s="585"/>
      <c r="D160" s="588"/>
      <c r="E160" s="588"/>
      <c r="F160" s="583"/>
      <c r="G160" s="591"/>
      <c r="H160" s="583"/>
      <c r="I160" s="583"/>
      <c r="J160" s="583"/>
      <c r="K160" s="541" t="s">
        <v>335</v>
      </c>
      <c r="L160" s="591" t="str">
        <f>VLOOKUP(K160,материалы!$A$5:$G$31,5, FALSE)</f>
        <v>кг</v>
      </c>
      <c r="M160" s="583">
        <f>VLOOKUP(K160,материалы!$A$5:$G$34,7, FALSE)</f>
        <v>95</v>
      </c>
      <c r="N160" s="583">
        <v>1E-3</v>
      </c>
      <c r="O160" s="583">
        <f t="shared" si="111"/>
        <v>0.1</v>
      </c>
      <c r="P160" s="583"/>
      <c r="Q160" s="583"/>
      <c r="R160" s="584"/>
      <c r="S160" s="584"/>
      <c r="T160" s="584"/>
      <c r="U160" s="121"/>
      <c r="V160" s="122"/>
      <c r="W160" s="470"/>
      <c r="X160" s="396"/>
      <c r="Y160" s="474"/>
      <c r="Z160" s="464"/>
      <c r="AC160" s="434"/>
      <c r="AD160" s="482"/>
      <c r="AE160" s="394"/>
      <c r="AG160" s="237"/>
      <c r="AH160" s="236"/>
      <c r="AI160" s="235"/>
      <c r="AK160" s="152"/>
      <c r="AM160" s="239"/>
      <c r="AN160" s="243"/>
      <c r="AO160" s="240"/>
      <c r="AQ160" s="241"/>
      <c r="AR160" s="382"/>
      <c r="AT160" s="411"/>
    </row>
    <row r="161" spans="1:49" outlineLevel="1" x14ac:dyDescent="0.3">
      <c r="A161" s="587"/>
      <c r="B161" s="587"/>
      <c r="C161" s="585"/>
      <c r="D161" s="588"/>
      <c r="E161" s="588"/>
      <c r="F161" s="583"/>
      <c r="G161" s="591"/>
      <c r="H161" s="583"/>
      <c r="I161" s="583"/>
      <c r="J161" s="583"/>
      <c r="K161" s="541" t="s">
        <v>336</v>
      </c>
      <c r="L161" s="591" t="str">
        <f>VLOOKUP(K161,материалы!$A$5:$G$31,5, FALSE)</f>
        <v>кг</v>
      </c>
      <c r="M161" s="583">
        <f>VLOOKUP(K161,материалы!$A$5:$G$34,7, FALSE)</f>
        <v>80</v>
      </c>
      <c r="N161" s="583">
        <v>0.01</v>
      </c>
      <c r="O161" s="583">
        <f t="shared" si="111"/>
        <v>0.8</v>
      </c>
      <c r="P161" s="583"/>
      <c r="Q161" s="583"/>
      <c r="R161" s="584"/>
      <c r="S161" s="584"/>
      <c r="T161" s="584"/>
      <c r="U161" s="121"/>
      <c r="V161" s="122"/>
      <c r="W161" s="470"/>
      <c r="X161" s="396"/>
      <c r="Y161" s="474"/>
      <c r="Z161" s="464"/>
      <c r="AC161" s="434"/>
      <c r="AD161" s="482"/>
      <c r="AE161" s="394"/>
      <c r="AG161" s="237"/>
      <c r="AH161" s="236"/>
      <c r="AI161" s="235"/>
      <c r="AK161" s="152"/>
      <c r="AM161" s="239"/>
      <c r="AN161" s="243"/>
      <c r="AO161" s="240"/>
      <c r="AQ161" s="241"/>
      <c r="AR161" s="382"/>
      <c r="AT161" s="411"/>
    </row>
    <row r="162" spans="1:49" ht="39.75" customHeight="1" x14ac:dyDescent="0.3">
      <c r="A162" s="587" t="s">
        <v>479</v>
      </c>
      <c r="B162" s="587" t="s">
        <v>35</v>
      </c>
      <c r="C162" s="585" t="s">
        <v>433</v>
      </c>
      <c r="D162" s="588" t="s">
        <v>40</v>
      </c>
      <c r="E162" s="588" t="s">
        <v>169</v>
      </c>
      <c r="F162" s="583">
        <f>VLOOKUP(E162,'условия, ФОТ'!$A$14:$I$28,9, FALSE)</f>
        <v>326.24</v>
      </c>
      <c r="G162" s="591">
        <v>0.9</v>
      </c>
      <c r="H162" s="583">
        <f t="shared" si="107"/>
        <v>293.62</v>
      </c>
      <c r="I162" s="583">
        <f t="shared" si="30"/>
        <v>88.67</v>
      </c>
      <c r="J162" s="583">
        <f t="shared" si="103"/>
        <v>382.29</v>
      </c>
      <c r="K162" s="589"/>
      <c r="L162" s="583"/>
      <c r="M162" s="583"/>
      <c r="N162" s="583"/>
      <c r="O162" s="583">
        <f>SUM(O163:O165)</f>
        <v>5.6499999999999995</v>
      </c>
      <c r="P162" s="583">
        <f>J162+O162</f>
        <v>387.94</v>
      </c>
      <c r="Q162" s="583">
        <f t="shared" si="10"/>
        <v>300.64999999999998</v>
      </c>
      <c r="R162" s="584">
        <f>ROUND(T162/1.2,2)</f>
        <v>741.67</v>
      </c>
      <c r="S162" s="584">
        <f t="shared" si="11"/>
        <v>148.33000000000001</v>
      </c>
      <c r="T162" s="584">
        <f>ROUND((P162+Q162)*(1+Y162)*1.2,0)</f>
        <v>890</v>
      </c>
      <c r="U162" s="121">
        <v>530</v>
      </c>
      <c r="V162" s="122">
        <f t="shared" si="55"/>
        <v>67.924528301886795</v>
      </c>
      <c r="W162" s="470"/>
      <c r="X162" s="396"/>
      <c r="Y162" s="474">
        <v>7.7499999999999999E-2</v>
      </c>
      <c r="Z162" s="464" t="e">
        <f>#REF!*Y162</f>
        <v>#REF!</v>
      </c>
      <c r="AB162" s="404">
        <v>368.10399999999998</v>
      </c>
      <c r="AC162" s="434"/>
      <c r="AD162" s="478">
        <f>T162-U162</f>
        <v>360</v>
      </c>
      <c r="AE162" s="394"/>
      <c r="AG162" s="237">
        <v>-0.1333</v>
      </c>
      <c r="AH162" s="236">
        <f t="shared" si="100"/>
        <v>1.1333</v>
      </c>
      <c r="AI162" s="235">
        <v>1.1719999999999999</v>
      </c>
      <c r="AK162" s="152">
        <f>ROUND(W162*AI162,2)</f>
        <v>0</v>
      </c>
      <c r="AM162" s="239">
        <v>1.034</v>
      </c>
      <c r="AN162" s="243">
        <v>-0.1333</v>
      </c>
      <c r="AO162" s="240" t="e">
        <f>#REF!-AM162</f>
        <v>#REF!</v>
      </c>
      <c r="AQ162" s="241">
        <f>Y162-AN162</f>
        <v>0.21079999999999999</v>
      </c>
      <c r="AR162" s="382">
        <v>446</v>
      </c>
      <c r="AS162" s="388" t="b">
        <f>W162=AR162</f>
        <v>0</v>
      </c>
      <c r="AT162" s="411" t="e">
        <f>ROUND(W162/T162*100-100,2)+#REF!</f>
        <v>#REF!</v>
      </c>
      <c r="AW162" t="e">
        <f>ROUND(T162/W162,3)</f>
        <v>#DIV/0!</v>
      </c>
    </row>
    <row r="163" spans="1:49" ht="25.5" outlineLevel="1" x14ac:dyDescent="0.3">
      <c r="A163" s="587"/>
      <c r="B163" s="587"/>
      <c r="C163" s="585"/>
      <c r="D163" s="588"/>
      <c r="E163" s="588"/>
      <c r="F163" s="583"/>
      <c r="G163" s="591"/>
      <c r="H163" s="583"/>
      <c r="I163" s="583"/>
      <c r="J163" s="540" t="s">
        <v>385</v>
      </c>
      <c r="K163" s="545" t="s">
        <v>341</v>
      </c>
      <c r="L163" s="591" t="str">
        <f>VLOOKUP(K163,материалы!$A$5:$G$31,5, FALSE)</f>
        <v>кг</v>
      </c>
      <c r="M163" s="583">
        <f>VLOOKUP(K163,материалы!$A$5:$G$34,7, FALSE)</f>
        <v>950</v>
      </c>
      <c r="N163" s="583">
        <v>5.0000000000000001E-3</v>
      </c>
      <c r="O163" s="583">
        <f t="shared" si="111"/>
        <v>4.75</v>
      </c>
      <c r="P163" s="583"/>
      <c r="Q163" s="583"/>
      <c r="R163" s="584"/>
      <c r="S163" s="584"/>
      <c r="T163" s="584"/>
      <c r="U163" s="121"/>
      <c r="V163" s="122"/>
      <c r="W163" s="470"/>
      <c r="X163" s="396"/>
      <c r="Y163" s="474"/>
      <c r="Z163" s="464"/>
      <c r="AC163" s="434"/>
      <c r="AD163" s="482"/>
      <c r="AE163" s="394"/>
      <c r="AG163" s="237"/>
      <c r="AH163" s="236"/>
      <c r="AI163" s="235"/>
      <c r="AK163" s="152"/>
      <c r="AM163" s="239"/>
      <c r="AN163" s="243"/>
      <c r="AO163" s="240"/>
      <c r="AQ163" s="241"/>
      <c r="AR163" s="382"/>
      <c r="AT163" s="411"/>
    </row>
    <row r="164" spans="1:49" outlineLevel="1" x14ac:dyDescent="0.3">
      <c r="A164" s="587"/>
      <c r="B164" s="587"/>
      <c r="C164" s="585"/>
      <c r="D164" s="588"/>
      <c r="E164" s="588"/>
      <c r="F164" s="583"/>
      <c r="G164" s="591"/>
      <c r="H164" s="583"/>
      <c r="I164" s="583"/>
      <c r="J164" s="583"/>
      <c r="K164" s="541" t="s">
        <v>335</v>
      </c>
      <c r="L164" s="591" t="str">
        <f>VLOOKUP(K164,материалы!$A$5:$G$31,5, FALSE)</f>
        <v>кг</v>
      </c>
      <c r="M164" s="583">
        <f>VLOOKUP(K164,материалы!$A$5:$G$34,7, FALSE)</f>
        <v>95</v>
      </c>
      <c r="N164" s="583">
        <v>1E-3</v>
      </c>
      <c r="O164" s="583">
        <f t="shared" ref="O164:O165" si="112">ROUND(M164*N164,2)</f>
        <v>0.1</v>
      </c>
      <c r="P164" s="583"/>
      <c r="Q164" s="583"/>
      <c r="R164" s="584"/>
      <c r="S164" s="584"/>
      <c r="T164" s="584"/>
      <c r="U164" s="121"/>
      <c r="V164" s="122"/>
      <c r="W164" s="470"/>
      <c r="X164" s="396"/>
      <c r="Y164" s="474"/>
      <c r="Z164" s="464"/>
      <c r="AC164" s="434"/>
      <c r="AD164" s="482"/>
      <c r="AE164" s="394"/>
      <c r="AG164" s="237"/>
      <c r="AH164" s="236"/>
      <c r="AI164" s="235"/>
      <c r="AK164" s="152"/>
      <c r="AM164" s="239"/>
      <c r="AN164" s="243"/>
      <c r="AO164" s="240"/>
      <c r="AQ164" s="241"/>
      <c r="AR164" s="382"/>
      <c r="AT164" s="411"/>
    </row>
    <row r="165" spans="1:49" outlineLevel="1" x14ac:dyDescent="0.3">
      <c r="A165" s="587"/>
      <c r="B165" s="587"/>
      <c r="C165" s="585"/>
      <c r="D165" s="588"/>
      <c r="E165" s="588"/>
      <c r="F165" s="583"/>
      <c r="G165" s="591"/>
      <c r="H165" s="583"/>
      <c r="I165" s="583"/>
      <c r="J165" s="583"/>
      <c r="K165" s="541" t="s">
        <v>336</v>
      </c>
      <c r="L165" s="591" t="str">
        <f>VLOOKUP(K165,материалы!$A$5:$G$31,5, FALSE)</f>
        <v>кг</v>
      </c>
      <c r="M165" s="583">
        <f>VLOOKUP(K165,материалы!$A$5:$G$34,7, FALSE)</f>
        <v>80</v>
      </c>
      <c r="N165" s="583">
        <v>0.01</v>
      </c>
      <c r="O165" s="583">
        <f t="shared" si="112"/>
        <v>0.8</v>
      </c>
      <c r="P165" s="583"/>
      <c r="Q165" s="583"/>
      <c r="R165" s="584"/>
      <c r="S165" s="584"/>
      <c r="T165" s="584"/>
      <c r="U165" s="121"/>
      <c r="V165" s="122"/>
      <c r="W165" s="470"/>
      <c r="X165" s="396"/>
      <c r="Y165" s="474"/>
      <c r="Z165" s="464"/>
      <c r="AC165" s="434"/>
      <c r="AD165" s="482"/>
      <c r="AE165" s="394"/>
      <c r="AG165" s="237"/>
      <c r="AH165" s="236"/>
      <c r="AI165" s="235"/>
      <c r="AK165" s="152"/>
      <c r="AM165" s="239"/>
      <c r="AN165" s="243"/>
      <c r="AO165" s="240"/>
      <c r="AQ165" s="241"/>
      <c r="AR165" s="382"/>
      <c r="AT165" s="411"/>
    </row>
    <row r="166" spans="1:49" s="155" customFormat="1" x14ac:dyDescent="0.3">
      <c r="A166" s="587" t="s">
        <v>480</v>
      </c>
      <c r="B166" s="587" t="s">
        <v>187</v>
      </c>
      <c r="C166" s="585" t="s">
        <v>42</v>
      </c>
      <c r="D166" s="583" t="s">
        <v>188</v>
      </c>
      <c r="E166" s="588" t="s">
        <v>169</v>
      </c>
      <c r="F166" s="583">
        <f>VLOOKUP(E166,'условия, ФОТ'!$A$14:$I$28,9, FALSE)</f>
        <v>326.24</v>
      </c>
      <c r="G166" s="591">
        <v>0.28999999999999998</v>
      </c>
      <c r="H166" s="583">
        <f t="shared" si="107"/>
        <v>94.61</v>
      </c>
      <c r="I166" s="583">
        <f t="shared" si="30"/>
        <v>28.57</v>
      </c>
      <c r="J166" s="583">
        <f t="shared" si="103"/>
        <v>123.18</v>
      </c>
      <c r="K166" s="589"/>
      <c r="L166" s="583"/>
      <c r="M166" s="583"/>
      <c r="N166" s="583"/>
      <c r="O166" s="583"/>
      <c r="P166" s="583">
        <f t="shared" si="110"/>
        <v>123.18</v>
      </c>
      <c r="Q166" s="583">
        <f t="shared" si="10"/>
        <v>95.46</v>
      </c>
      <c r="R166" s="584">
        <f>ROUND(T166/1.2,2)</f>
        <v>325</v>
      </c>
      <c r="S166" s="584">
        <f>ROUND(R166*$S$5,2)</f>
        <v>65</v>
      </c>
      <c r="T166" s="584">
        <f>ROUND((P166+Q166)*(1+Y166)*1.2,0)</f>
        <v>390</v>
      </c>
      <c r="U166" s="513">
        <v>168</v>
      </c>
      <c r="V166" s="536">
        <f>T166/U166*100-100</f>
        <v>132.14285714285717</v>
      </c>
      <c r="W166" s="480">
        <v>390</v>
      </c>
      <c r="X166" s="398">
        <f>ROUND((P166+Q166)*1.2,2)</f>
        <v>262.37</v>
      </c>
      <c r="Y166" s="474">
        <f>ROUND((W166/X166)*100%-100%,4)</f>
        <v>0.48649999999999999</v>
      </c>
      <c r="Z166" s="467" t="e">
        <f>#REF!*Y166</f>
        <v>#REF!</v>
      </c>
      <c r="AA166" s="448"/>
      <c r="AB166" s="409">
        <v>114.774</v>
      </c>
      <c r="AC166" s="439"/>
      <c r="AD166" s="478">
        <f t="shared" ref="AD166:AD185" si="113">T166-U166</f>
        <v>222</v>
      </c>
      <c r="AE166" s="394"/>
      <c r="AG166" s="163">
        <v>-0.14410000000000001</v>
      </c>
      <c r="AH166" s="236">
        <f t="shared" si="100"/>
        <v>1.1440999999999999</v>
      </c>
      <c r="AI166" s="235">
        <v>1.1830000000000001</v>
      </c>
      <c r="AK166" s="152">
        <f t="shared" ref="AK166:AK185" si="114">ROUND(W166*AI166,2)</f>
        <v>461.37</v>
      </c>
      <c r="AL166" s="192"/>
      <c r="AM166" s="163">
        <v>1.034</v>
      </c>
      <c r="AN166" s="244">
        <v>-0.14410000000000001</v>
      </c>
      <c r="AO166" s="240" t="e">
        <f>#REF!-AM166</f>
        <v>#REF!</v>
      </c>
      <c r="AQ166" s="241">
        <f t="shared" ref="AQ166:AQ185" si="115">Y166-AN166</f>
        <v>0.63060000000000005</v>
      </c>
      <c r="AR166" s="386">
        <v>141</v>
      </c>
      <c r="AS166" s="388" t="b">
        <f t="shared" ref="AS166:AS185" si="116">W166=AR166</f>
        <v>0</v>
      </c>
      <c r="AT166" s="411" t="e">
        <f>ROUND(W166/T166*100-100,2)+#REF!</f>
        <v>#REF!</v>
      </c>
      <c r="AU166"/>
      <c r="AV166"/>
      <c r="AW166">
        <f t="shared" ref="AW166:AW185" si="117">ROUND(T166/W166,3)</f>
        <v>1</v>
      </c>
    </row>
    <row r="167" spans="1:49" x14ac:dyDescent="0.3">
      <c r="A167" s="587" t="s">
        <v>481</v>
      </c>
      <c r="B167" s="587" t="s">
        <v>189</v>
      </c>
      <c r="C167" s="585" t="s">
        <v>43</v>
      </c>
      <c r="D167" s="583" t="s">
        <v>190</v>
      </c>
      <c r="E167" s="588" t="s">
        <v>169</v>
      </c>
      <c r="F167" s="583">
        <f>VLOOKUP(E167,'условия, ФОТ'!$A$14:$I$28,9, FALSE)</f>
        <v>326.24</v>
      </c>
      <c r="G167" s="591">
        <v>0.28999999999999998</v>
      </c>
      <c r="H167" s="583">
        <f t="shared" si="107"/>
        <v>94.61</v>
      </c>
      <c r="I167" s="583">
        <f t="shared" si="30"/>
        <v>28.57</v>
      </c>
      <c r="J167" s="583">
        <f t="shared" si="103"/>
        <v>123.18</v>
      </c>
      <c r="K167" s="589"/>
      <c r="L167" s="583"/>
      <c r="M167" s="583"/>
      <c r="N167" s="583"/>
      <c r="O167" s="583"/>
      <c r="P167" s="583">
        <f t="shared" si="110"/>
        <v>123.18</v>
      </c>
      <c r="Q167" s="583">
        <f t="shared" si="10"/>
        <v>95.46</v>
      </c>
      <c r="R167" s="584">
        <f t="shared" ref="R167:R185" si="118">ROUND(T167/1.2,2)</f>
        <v>325</v>
      </c>
      <c r="S167" s="584">
        <f>ROUND(R167*$S$5,2)</f>
        <v>65</v>
      </c>
      <c r="T167" s="584">
        <f t="shared" ref="T167:T185" si="119">ROUND((P167+Q167)*(1+Y167)*1.2,0)</f>
        <v>390</v>
      </c>
      <c r="U167" s="513">
        <v>168</v>
      </c>
      <c r="V167" s="122">
        <f t="shared" si="55"/>
        <v>132.14285714285717</v>
      </c>
      <c r="W167" s="480">
        <v>390</v>
      </c>
      <c r="X167" s="398">
        <f t="shared" ref="X167:X210" si="120">ROUND((P167+Q167)*1.2,2)</f>
        <v>262.37</v>
      </c>
      <c r="Y167" s="510">
        <f t="shared" ref="Y167:Y185" si="121">ROUND((W167/X167)*100%-100%,4)</f>
        <v>0.48649999999999999</v>
      </c>
      <c r="Z167" s="464" t="e">
        <f>#REF!*Y167</f>
        <v>#REF!</v>
      </c>
      <c r="AB167" s="404">
        <v>114.774</v>
      </c>
      <c r="AC167" s="434"/>
      <c r="AD167" s="478">
        <f t="shared" si="113"/>
        <v>222</v>
      </c>
      <c r="AE167" s="394"/>
      <c r="AG167" s="237">
        <v>-0.14410000000000001</v>
      </c>
      <c r="AH167" s="236">
        <f t="shared" si="100"/>
        <v>1.1440999999999999</v>
      </c>
      <c r="AI167" s="235">
        <v>1.1830000000000001</v>
      </c>
      <c r="AK167" s="152">
        <f t="shared" si="114"/>
        <v>461.37</v>
      </c>
      <c r="AM167" s="239">
        <v>1.034</v>
      </c>
      <c r="AN167" s="243">
        <v>-0.14410000000000001</v>
      </c>
      <c r="AO167" s="240" t="e">
        <f>#REF!-AM167</f>
        <v>#REF!</v>
      </c>
      <c r="AQ167" s="241">
        <f t="shared" si="115"/>
        <v>0.63060000000000005</v>
      </c>
      <c r="AR167" s="382">
        <v>141</v>
      </c>
      <c r="AS167" s="388" t="b">
        <f t="shared" si="116"/>
        <v>0</v>
      </c>
      <c r="AT167" s="411" t="e">
        <f>ROUND(W167/T167*100-100,2)+#REF!</f>
        <v>#REF!</v>
      </c>
      <c r="AW167">
        <f t="shared" si="117"/>
        <v>1</v>
      </c>
    </row>
    <row r="168" spans="1:49" x14ac:dyDescent="0.3">
      <c r="A168" s="587" t="s">
        <v>482</v>
      </c>
      <c r="B168" s="587" t="s">
        <v>191</v>
      </c>
      <c r="C168" s="585" t="s">
        <v>44</v>
      </c>
      <c r="D168" s="583" t="s">
        <v>190</v>
      </c>
      <c r="E168" s="588" t="s">
        <v>169</v>
      </c>
      <c r="F168" s="583">
        <f>VLOOKUP(E168,'условия, ФОТ'!$A$14:$I$28,9, FALSE)</f>
        <v>326.24</v>
      </c>
      <c r="G168" s="591">
        <v>0.36</v>
      </c>
      <c r="H168" s="583">
        <f t="shared" si="107"/>
        <v>117.45</v>
      </c>
      <c r="I168" s="583">
        <f t="shared" si="30"/>
        <v>35.47</v>
      </c>
      <c r="J168" s="583">
        <f t="shared" si="103"/>
        <v>152.92000000000002</v>
      </c>
      <c r="K168" s="589"/>
      <c r="L168" s="583"/>
      <c r="M168" s="583"/>
      <c r="N168" s="583"/>
      <c r="O168" s="583"/>
      <c r="P168" s="583">
        <f t="shared" si="110"/>
        <v>152.92000000000002</v>
      </c>
      <c r="Q168" s="583">
        <f t="shared" si="10"/>
        <v>118.51</v>
      </c>
      <c r="R168" s="584">
        <f t="shared" si="118"/>
        <v>400</v>
      </c>
      <c r="S168" s="584">
        <f>ROUND(R168*$S$5,2)</f>
        <v>80</v>
      </c>
      <c r="T168" s="584">
        <f t="shared" si="119"/>
        <v>480</v>
      </c>
      <c r="U168" s="513">
        <v>208</v>
      </c>
      <c r="V168" s="122">
        <f t="shared" si="55"/>
        <v>130.76923076923075</v>
      </c>
      <c r="W168" s="480">
        <v>480</v>
      </c>
      <c r="X168" s="398">
        <f t="shared" si="120"/>
        <v>325.72000000000003</v>
      </c>
      <c r="Y168" s="510">
        <f t="shared" si="121"/>
        <v>0.47370000000000001</v>
      </c>
      <c r="Z168" s="464" t="e">
        <f>#REF!*Y168</f>
        <v>#REF!</v>
      </c>
      <c r="AB168" s="404">
        <v>142.69200000000001</v>
      </c>
      <c r="AC168" s="434"/>
      <c r="AD168" s="478">
        <f t="shared" si="113"/>
        <v>272</v>
      </c>
      <c r="AE168" s="394"/>
      <c r="AG168" s="237">
        <v>-0.1426</v>
      </c>
      <c r="AH168" s="236">
        <f t="shared" si="100"/>
        <v>1.1426000000000001</v>
      </c>
      <c r="AI168" s="235">
        <v>1.181</v>
      </c>
      <c r="AK168" s="152">
        <f t="shared" si="114"/>
        <v>566.88</v>
      </c>
      <c r="AM168" s="239">
        <v>1.034</v>
      </c>
      <c r="AN168" s="243">
        <v>-0.1426</v>
      </c>
      <c r="AO168" s="240" t="e">
        <f>#REF!-AM168</f>
        <v>#REF!</v>
      </c>
      <c r="AQ168" s="241">
        <f t="shared" si="115"/>
        <v>0.61630000000000007</v>
      </c>
      <c r="AR168" s="382">
        <v>175</v>
      </c>
      <c r="AS168" s="388" t="b">
        <f t="shared" si="116"/>
        <v>0</v>
      </c>
      <c r="AT168" s="411" t="e">
        <f>ROUND(W168/T168*100-100,2)+#REF!</f>
        <v>#REF!</v>
      </c>
      <c r="AW168">
        <f t="shared" si="117"/>
        <v>1</v>
      </c>
    </row>
    <row r="169" spans="1:49" x14ac:dyDescent="0.3">
      <c r="A169" s="587" t="s">
        <v>483</v>
      </c>
      <c r="B169" s="587" t="s">
        <v>192</v>
      </c>
      <c r="C169" s="585" t="s">
        <v>45</v>
      </c>
      <c r="D169" s="583" t="s">
        <v>193</v>
      </c>
      <c r="E169" s="588" t="s">
        <v>169</v>
      </c>
      <c r="F169" s="583">
        <f>VLOOKUP(E169,'условия, ФОТ'!$A$14:$I$28,9, FALSE)</f>
        <v>326.24</v>
      </c>
      <c r="G169" s="591">
        <v>0.15</v>
      </c>
      <c r="H169" s="583">
        <f t="shared" si="107"/>
        <v>48.94</v>
      </c>
      <c r="I169" s="583">
        <f t="shared" si="30"/>
        <v>14.78</v>
      </c>
      <c r="J169" s="583">
        <f t="shared" si="103"/>
        <v>63.72</v>
      </c>
      <c r="K169" s="589"/>
      <c r="L169" s="583"/>
      <c r="M169" s="583"/>
      <c r="N169" s="583"/>
      <c r="O169" s="583"/>
      <c r="P169" s="583">
        <f t="shared" si="110"/>
        <v>63.72</v>
      </c>
      <c r="Q169" s="583">
        <f t="shared" si="10"/>
        <v>49.38</v>
      </c>
      <c r="R169" s="584">
        <f t="shared" si="118"/>
        <v>166.67</v>
      </c>
      <c r="S169" s="584">
        <f t="shared" si="11"/>
        <v>33.33</v>
      </c>
      <c r="T169" s="584">
        <f t="shared" si="119"/>
        <v>200</v>
      </c>
      <c r="U169" s="513">
        <v>87</v>
      </c>
      <c r="V169" s="122">
        <f t="shared" si="55"/>
        <v>129.88505747126436</v>
      </c>
      <c r="W169" s="480">
        <v>200</v>
      </c>
      <c r="X169" s="398">
        <f t="shared" si="120"/>
        <v>135.72</v>
      </c>
      <c r="Y169" s="510">
        <f t="shared" si="121"/>
        <v>0.47360000000000002</v>
      </c>
      <c r="Z169" s="464" t="e">
        <f>#REF!*Y169</f>
        <v>#REF!</v>
      </c>
      <c r="AB169" s="404">
        <v>59.972000000000001</v>
      </c>
      <c r="AC169" s="434"/>
      <c r="AD169" s="478">
        <f t="shared" si="113"/>
        <v>113</v>
      </c>
      <c r="AE169" s="394"/>
      <c r="AG169" s="237">
        <v>-0.1351</v>
      </c>
      <c r="AH169" s="236">
        <f t="shared" si="100"/>
        <v>1.1351</v>
      </c>
      <c r="AI169" s="235">
        <v>1.1739999999999999</v>
      </c>
      <c r="AK169" s="152">
        <f t="shared" si="114"/>
        <v>234.8</v>
      </c>
      <c r="AM169" s="239">
        <v>1.034</v>
      </c>
      <c r="AN169" s="243">
        <v>-0.1351</v>
      </c>
      <c r="AO169" s="240" t="e">
        <f>#REF!-AM169</f>
        <v>#REF!</v>
      </c>
      <c r="AQ169" s="241">
        <f t="shared" si="115"/>
        <v>0.60870000000000002</v>
      </c>
      <c r="AR169" s="382">
        <v>73</v>
      </c>
      <c r="AS169" s="388" t="b">
        <f t="shared" si="116"/>
        <v>0</v>
      </c>
      <c r="AT169" s="411" t="e">
        <f>ROUND(W169/T169*100-100,2)+#REF!</f>
        <v>#REF!</v>
      </c>
      <c r="AW169">
        <f t="shared" si="117"/>
        <v>1</v>
      </c>
    </row>
    <row r="170" spans="1:49" x14ac:dyDescent="0.3">
      <c r="A170" s="587" t="s">
        <v>484</v>
      </c>
      <c r="B170" s="587" t="s">
        <v>194</v>
      </c>
      <c r="C170" s="585" t="s">
        <v>46</v>
      </c>
      <c r="D170" s="583" t="s">
        <v>195</v>
      </c>
      <c r="E170" s="588" t="s">
        <v>169</v>
      </c>
      <c r="F170" s="583">
        <f>VLOOKUP(E170,'условия, ФОТ'!$A$14:$I$28,9, FALSE)</f>
        <v>326.24</v>
      </c>
      <c r="G170" s="591">
        <v>0.2</v>
      </c>
      <c r="H170" s="583">
        <f t="shared" si="107"/>
        <v>65.25</v>
      </c>
      <c r="I170" s="583">
        <f t="shared" si="30"/>
        <v>19.71</v>
      </c>
      <c r="J170" s="583">
        <f t="shared" si="103"/>
        <v>84.960000000000008</v>
      </c>
      <c r="K170" s="589"/>
      <c r="L170" s="583"/>
      <c r="M170" s="583"/>
      <c r="N170" s="583"/>
      <c r="O170" s="583"/>
      <c r="P170" s="583">
        <f t="shared" si="110"/>
        <v>84.960000000000008</v>
      </c>
      <c r="Q170" s="583">
        <f t="shared" si="10"/>
        <v>65.84</v>
      </c>
      <c r="R170" s="584">
        <f t="shared" si="118"/>
        <v>225</v>
      </c>
      <c r="S170" s="584">
        <f>ROUND(R170*$S$5,2)</f>
        <v>45</v>
      </c>
      <c r="T170" s="584">
        <f t="shared" si="119"/>
        <v>270</v>
      </c>
      <c r="U170" s="513">
        <v>115</v>
      </c>
      <c r="V170" s="122">
        <f t="shared" si="55"/>
        <v>134.78260869565219</v>
      </c>
      <c r="W170" s="480">
        <v>270</v>
      </c>
      <c r="X170" s="398">
        <f t="shared" si="120"/>
        <v>180.96</v>
      </c>
      <c r="Y170" s="510">
        <f t="shared" si="121"/>
        <v>0.49199999999999999</v>
      </c>
      <c r="Z170" s="464" t="e">
        <f>#REF!*Y170</f>
        <v>#REF!</v>
      </c>
      <c r="AB170" s="404">
        <v>79.618000000000009</v>
      </c>
      <c r="AC170" s="434"/>
      <c r="AD170" s="478">
        <f t="shared" si="113"/>
        <v>155</v>
      </c>
      <c r="AE170" s="394"/>
      <c r="AG170" s="237">
        <v>-0.1391</v>
      </c>
      <c r="AH170" s="236">
        <f t="shared" si="100"/>
        <v>1.1391</v>
      </c>
      <c r="AI170" s="235">
        <v>1.1779999999999999</v>
      </c>
      <c r="AK170" s="152">
        <f t="shared" si="114"/>
        <v>318.06</v>
      </c>
      <c r="AM170" s="239">
        <v>1.034</v>
      </c>
      <c r="AN170" s="243">
        <v>-0.1391</v>
      </c>
      <c r="AO170" s="240" t="e">
        <f>#REF!-AM170</f>
        <v>#REF!</v>
      </c>
      <c r="AQ170" s="241">
        <f t="shared" si="115"/>
        <v>0.63109999999999999</v>
      </c>
      <c r="AR170" s="382">
        <v>97</v>
      </c>
      <c r="AS170" s="388" t="b">
        <f t="shared" si="116"/>
        <v>0</v>
      </c>
      <c r="AT170" s="411" t="e">
        <f>ROUND(W170/T170*100-100,2)+#REF!</f>
        <v>#REF!</v>
      </c>
      <c r="AW170">
        <f t="shared" si="117"/>
        <v>1</v>
      </c>
    </row>
    <row r="171" spans="1:49" ht="25.5" x14ac:dyDescent="0.3">
      <c r="A171" s="587" t="s">
        <v>485</v>
      </c>
      <c r="B171" s="587" t="s">
        <v>196</v>
      </c>
      <c r="C171" s="585" t="s">
        <v>47</v>
      </c>
      <c r="D171" s="583" t="s">
        <v>197</v>
      </c>
      <c r="E171" s="588" t="s">
        <v>169</v>
      </c>
      <c r="F171" s="583">
        <f>VLOOKUP(E171,'условия, ФОТ'!$A$14:$I$28,9, FALSE)</f>
        <v>326.24</v>
      </c>
      <c r="G171" s="591">
        <v>0.25</v>
      </c>
      <c r="H171" s="583">
        <f t="shared" si="107"/>
        <v>81.56</v>
      </c>
      <c r="I171" s="583">
        <f t="shared" si="30"/>
        <v>24.63</v>
      </c>
      <c r="J171" s="583">
        <f t="shared" si="103"/>
        <v>106.19</v>
      </c>
      <c r="K171" s="589"/>
      <c r="L171" s="583"/>
      <c r="M171" s="583"/>
      <c r="N171" s="583"/>
      <c r="O171" s="583"/>
      <c r="P171" s="583">
        <f t="shared" si="110"/>
        <v>106.19</v>
      </c>
      <c r="Q171" s="583">
        <f t="shared" si="10"/>
        <v>82.3</v>
      </c>
      <c r="R171" s="584">
        <f t="shared" si="118"/>
        <v>275</v>
      </c>
      <c r="S171" s="584">
        <f t="shared" si="11"/>
        <v>55</v>
      </c>
      <c r="T171" s="584">
        <f t="shared" si="119"/>
        <v>330</v>
      </c>
      <c r="U171" s="513">
        <v>144</v>
      </c>
      <c r="V171" s="122">
        <f t="shared" si="55"/>
        <v>129.16666666666666</v>
      </c>
      <c r="W171" s="480">
        <v>330</v>
      </c>
      <c r="X171" s="398">
        <f t="shared" si="120"/>
        <v>226.19</v>
      </c>
      <c r="Y171" s="510">
        <f t="shared" si="121"/>
        <v>0.45900000000000002</v>
      </c>
      <c r="Z171" s="464" t="e">
        <f>#REF!*Y171</f>
        <v>#REF!</v>
      </c>
      <c r="AB171" s="404">
        <v>99.26400000000001</v>
      </c>
      <c r="AC171" s="434"/>
      <c r="AD171" s="478">
        <f t="shared" si="113"/>
        <v>186</v>
      </c>
      <c r="AE171" s="394"/>
      <c r="AG171" s="237">
        <v>-0.14130000000000001</v>
      </c>
      <c r="AH171" s="236">
        <f t="shared" si="100"/>
        <v>1.1413</v>
      </c>
      <c r="AI171" s="235">
        <v>1.18</v>
      </c>
      <c r="AK171" s="152">
        <f t="shared" si="114"/>
        <v>389.4</v>
      </c>
      <c r="AM171" s="239">
        <v>1.034</v>
      </c>
      <c r="AN171" s="243">
        <v>-0.14130000000000001</v>
      </c>
      <c r="AO171" s="240" t="e">
        <f>#REF!-AM171</f>
        <v>#REF!</v>
      </c>
      <c r="AQ171" s="241">
        <f t="shared" si="115"/>
        <v>0.60030000000000006</v>
      </c>
      <c r="AR171" s="382">
        <v>121</v>
      </c>
      <c r="AS171" s="388" t="b">
        <f t="shared" si="116"/>
        <v>0</v>
      </c>
      <c r="AT171" s="411" t="e">
        <f>ROUND(W171/T171*100-100,2)+#REF!</f>
        <v>#REF!</v>
      </c>
      <c r="AW171">
        <f t="shared" si="117"/>
        <v>1</v>
      </c>
    </row>
    <row r="172" spans="1:49" ht="26.25" customHeight="1" x14ac:dyDescent="0.3">
      <c r="A172" s="587" t="s">
        <v>486</v>
      </c>
      <c r="B172" s="587" t="s">
        <v>198</v>
      </c>
      <c r="C172" s="585" t="s">
        <v>48</v>
      </c>
      <c r="D172" s="583" t="s">
        <v>199</v>
      </c>
      <c r="E172" s="588" t="s">
        <v>169</v>
      </c>
      <c r="F172" s="583">
        <f>VLOOKUP(E172,'условия, ФОТ'!$A$14:$I$28,9, FALSE)</f>
        <v>326.24</v>
      </c>
      <c r="G172" s="591">
        <v>0.15</v>
      </c>
      <c r="H172" s="583">
        <f t="shared" si="107"/>
        <v>48.94</v>
      </c>
      <c r="I172" s="583">
        <f t="shared" si="30"/>
        <v>14.78</v>
      </c>
      <c r="J172" s="583">
        <f t="shared" si="103"/>
        <v>63.72</v>
      </c>
      <c r="K172" s="589"/>
      <c r="L172" s="583"/>
      <c r="M172" s="583"/>
      <c r="N172" s="583"/>
      <c r="O172" s="583"/>
      <c r="P172" s="583">
        <f t="shared" si="110"/>
        <v>63.72</v>
      </c>
      <c r="Q172" s="583">
        <f t="shared" si="10"/>
        <v>49.38</v>
      </c>
      <c r="R172" s="584">
        <f t="shared" si="118"/>
        <v>166.67</v>
      </c>
      <c r="S172" s="584">
        <f t="shared" si="11"/>
        <v>33.33</v>
      </c>
      <c r="T172" s="584">
        <f t="shared" si="119"/>
        <v>200</v>
      </c>
      <c r="U172" s="513">
        <v>87</v>
      </c>
      <c r="V172" s="122">
        <f t="shared" si="55"/>
        <v>129.88505747126436</v>
      </c>
      <c r="W172" s="480">
        <v>200</v>
      </c>
      <c r="X172" s="398">
        <f t="shared" si="120"/>
        <v>135.72</v>
      </c>
      <c r="Y172" s="510">
        <f t="shared" si="121"/>
        <v>0.47360000000000002</v>
      </c>
      <c r="Z172" s="464" t="e">
        <f>#REF!*Y172</f>
        <v>#REF!</v>
      </c>
      <c r="AB172" s="404">
        <v>59.972000000000001</v>
      </c>
      <c r="AC172" s="434"/>
      <c r="AD172" s="478">
        <f t="shared" si="113"/>
        <v>113</v>
      </c>
      <c r="AE172" s="394"/>
      <c r="AG172" s="237">
        <v>-0.1351</v>
      </c>
      <c r="AH172" s="236">
        <f t="shared" si="100"/>
        <v>1.1351</v>
      </c>
      <c r="AI172" s="235">
        <v>1.1739999999999999</v>
      </c>
      <c r="AK172" s="152">
        <f t="shared" si="114"/>
        <v>234.8</v>
      </c>
      <c r="AM172" s="239">
        <v>1.034</v>
      </c>
      <c r="AN172" s="243">
        <v>-0.1351</v>
      </c>
      <c r="AO172" s="240" t="e">
        <f>#REF!-AM172</f>
        <v>#REF!</v>
      </c>
      <c r="AQ172" s="241">
        <f t="shared" si="115"/>
        <v>0.60870000000000002</v>
      </c>
      <c r="AR172" s="382">
        <v>73</v>
      </c>
      <c r="AS172" s="388" t="b">
        <f t="shared" si="116"/>
        <v>0</v>
      </c>
      <c r="AT172" s="411" t="e">
        <f>ROUND(W172/T172*100-100,2)+#REF!</f>
        <v>#REF!</v>
      </c>
      <c r="AW172">
        <f t="shared" si="117"/>
        <v>1</v>
      </c>
    </row>
    <row r="173" spans="1:49" ht="25.5" customHeight="1" x14ac:dyDescent="0.3">
      <c r="A173" s="587" t="s">
        <v>487</v>
      </c>
      <c r="B173" s="587" t="s">
        <v>200</v>
      </c>
      <c r="C173" s="585" t="s">
        <v>49</v>
      </c>
      <c r="D173" s="583" t="s">
        <v>201</v>
      </c>
      <c r="E173" s="588" t="s">
        <v>169</v>
      </c>
      <c r="F173" s="583">
        <f>VLOOKUP(E173,'условия, ФОТ'!$A$14:$I$28,9, FALSE)</f>
        <v>326.24</v>
      </c>
      <c r="G173" s="591">
        <v>1.24</v>
      </c>
      <c r="H173" s="583">
        <f t="shared" si="107"/>
        <v>404.54</v>
      </c>
      <c r="I173" s="583">
        <f t="shared" si="30"/>
        <v>122.17</v>
      </c>
      <c r="J173" s="583">
        <f t="shared" si="103"/>
        <v>526.71</v>
      </c>
      <c r="K173" s="589"/>
      <c r="L173" s="583"/>
      <c r="M173" s="583"/>
      <c r="N173" s="583"/>
      <c r="O173" s="583"/>
      <c r="P173" s="583">
        <f t="shared" si="110"/>
        <v>526.71</v>
      </c>
      <c r="Q173" s="583">
        <f t="shared" si="10"/>
        <v>408.2</v>
      </c>
      <c r="R173" s="584">
        <f t="shared" si="118"/>
        <v>1383.33</v>
      </c>
      <c r="S173" s="584">
        <f t="shared" si="11"/>
        <v>276.67</v>
      </c>
      <c r="T173" s="584">
        <f t="shared" si="119"/>
        <v>1660</v>
      </c>
      <c r="U173" s="513">
        <v>717</v>
      </c>
      <c r="V173" s="122">
        <f t="shared" si="55"/>
        <v>131.52022315202231</v>
      </c>
      <c r="W173" s="480">
        <v>1660</v>
      </c>
      <c r="X173" s="398">
        <f t="shared" si="120"/>
        <v>1121.8900000000001</v>
      </c>
      <c r="Y173" s="510">
        <f t="shared" si="121"/>
        <v>0.47960000000000003</v>
      </c>
      <c r="Z173" s="464" t="e">
        <f>#REF!*Y173</f>
        <v>#REF!</v>
      </c>
      <c r="AB173" s="404">
        <v>491.15000000000003</v>
      </c>
      <c r="AC173" s="434"/>
      <c r="AD173" s="478">
        <f t="shared" si="113"/>
        <v>943</v>
      </c>
      <c r="AE173" s="394"/>
      <c r="AG173" s="237">
        <v>-0.14330000000000001</v>
      </c>
      <c r="AH173" s="236">
        <f t="shared" si="100"/>
        <v>1.1433</v>
      </c>
      <c r="AI173" s="235">
        <v>1.1819999999999999</v>
      </c>
      <c r="AK173" s="152">
        <f t="shared" si="114"/>
        <v>1962.12</v>
      </c>
      <c r="AM173" s="239">
        <v>1.034</v>
      </c>
      <c r="AN173" s="243">
        <v>-0.14330000000000001</v>
      </c>
      <c r="AO173" s="240" t="e">
        <f>#REF!-AM173</f>
        <v>#REF!</v>
      </c>
      <c r="AQ173" s="241">
        <f t="shared" si="115"/>
        <v>0.62290000000000001</v>
      </c>
      <c r="AR173" s="382">
        <v>602</v>
      </c>
      <c r="AS173" s="388" t="b">
        <f t="shared" si="116"/>
        <v>0</v>
      </c>
      <c r="AT173" s="411" t="e">
        <f>ROUND(W173/T173*100-100,2)+#REF!</f>
        <v>#REF!</v>
      </c>
      <c r="AW173">
        <f t="shared" si="117"/>
        <v>1</v>
      </c>
    </row>
    <row r="174" spans="1:49" ht="24.75" customHeight="1" x14ac:dyDescent="0.3">
      <c r="A174" s="587" t="s">
        <v>488</v>
      </c>
      <c r="B174" s="587" t="s">
        <v>202</v>
      </c>
      <c r="C174" s="585" t="s">
        <v>50</v>
      </c>
      <c r="D174" s="583" t="s">
        <v>203</v>
      </c>
      <c r="E174" s="588" t="s">
        <v>169</v>
      </c>
      <c r="F174" s="583">
        <f>VLOOKUP(E174,'условия, ФОТ'!$A$14:$I$28,9, FALSE)</f>
        <v>326.24</v>
      </c>
      <c r="G174" s="591">
        <v>0.81</v>
      </c>
      <c r="H174" s="583">
        <f t="shared" si="107"/>
        <v>264.25</v>
      </c>
      <c r="I174" s="583">
        <f t="shared" si="30"/>
        <v>79.8</v>
      </c>
      <c r="J174" s="583">
        <f t="shared" si="103"/>
        <v>344.05</v>
      </c>
      <c r="K174" s="589"/>
      <c r="L174" s="583"/>
      <c r="M174" s="583"/>
      <c r="N174" s="583"/>
      <c r="O174" s="583"/>
      <c r="P174" s="583">
        <f t="shared" si="110"/>
        <v>344.05</v>
      </c>
      <c r="Q174" s="583">
        <f t="shared" si="10"/>
        <v>266.64</v>
      </c>
      <c r="R174" s="584">
        <f t="shared" si="118"/>
        <v>900</v>
      </c>
      <c r="S174" s="584">
        <f>ROUND(R174*$S$5,2)</f>
        <v>180</v>
      </c>
      <c r="T174" s="584">
        <f t="shared" si="119"/>
        <v>1080</v>
      </c>
      <c r="U174" s="513">
        <v>468</v>
      </c>
      <c r="V174" s="122">
        <f t="shared" si="55"/>
        <v>130.76923076923075</v>
      </c>
      <c r="W174" s="480">
        <v>1080</v>
      </c>
      <c r="X174" s="398">
        <f t="shared" si="120"/>
        <v>732.83</v>
      </c>
      <c r="Y174" s="510">
        <f t="shared" si="121"/>
        <v>0.47370000000000001</v>
      </c>
      <c r="Z174" s="464" t="e">
        <f>#REF!*Y174</f>
        <v>#REF!</v>
      </c>
      <c r="AB174" s="404">
        <v>321.57400000000001</v>
      </c>
      <c r="AC174" s="434"/>
      <c r="AD174" s="478">
        <f t="shared" si="113"/>
        <v>612</v>
      </c>
      <c r="AE174" s="394"/>
      <c r="AG174" s="237">
        <v>-0.1414</v>
      </c>
      <c r="AH174" s="236">
        <f t="shared" si="100"/>
        <v>1.1414</v>
      </c>
      <c r="AI174" s="235">
        <v>1.18</v>
      </c>
      <c r="AK174" s="152">
        <f t="shared" si="114"/>
        <v>1274.4000000000001</v>
      </c>
      <c r="AM174" s="239">
        <v>1.034</v>
      </c>
      <c r="AN174" s="243">
        <v>-0.1414</v>
      </c>
      <c r="AO174" s="240" t="e">
        <f>#REF!-AM174</f>
        <v>#REF!</v>
      </c>
      <c r="AQ174" s="241">
        <f t="shared" si="115"/>
        <v>0.61509999999999998</v>
      </c>
      <c r="AR174" s="382">
        <v>393</v>
      </c>
      <c r="AS174" s="388" t="b">
        <f t="shared" si="116"/>
        <v>0</v>
      </c>
      <c r="AT174" s="411" t="e">
        <f>ROUND(W174/T174*100-100,2)+#REF!</f>
        <v>#REF!</v>
      </c>
      <c r="AW174">
        <f t="shared" si="117"/>
        <v>1</v>
      </c>
    </row>
    <row r="175" spans="1:49" x14ac:dyDescent="0.3">
      <c r="A175" s="587" t="s">
        <v>489</v>
      </c>
      <c r="B175" s="587" t="s">
        <v>204</v>
      </c>
      <c r="C175" s="585" t="s">
        <v>51</v>
      </c>
      <c r="D175" s="583" t="s">
        <v>205</v>
      </c>
      <c r="E175" s="588" t="s">
        <v>169</v>
      </c>
      <c r="F175" s="583">
        <f>VLOOKUP(E175,'условия, ФОТ'!$A$14:$I$28,9, FALSE)</f>
        <v>326.24</v>
      </c>
      <c r="G175" s="591">
        <v>0.69</v>
      </c>
      <c r="H175" s="583">
        <f t="shared" si="107"/>
        <v>225.11</v>
      </c>
      <c r="I175" s="583">
        <f t="shared" si="30"/>
        <v>67.98</v>
      </c>
      <c r="J175" s="583">
        <f t="shared" si="103"/>
        <v>293.09000000000003</v>
      </c>
      <c r="K175" s="589"/>
      <c r="L175" s="583"/>
      <c r="M175" s="583"/>
      <c r="N175" s="583"/>
      <c r="O175" s="583"/>
      <c r="P175" s="583">
        <f t="shared" si="110"/>
        <v>293.09000000000003</v>
      </c>
      <c r="Q175" s="583">
        <f t="shared" si="10"/>
        <v>227.14</v>
      </c>
      <c r="R175" s="584">
        <f t="shared" si="118"/>
        <v>766.67</v>
      </c>
      <c r="S175" s="584">
        <f t="shared" si="11"/>
        <v>153.33000000000001</v>
      </c>
      <c r="T175" s="584">
        <f t="shared" si="119"/>
        <v>920</v>
      </c>
      <c r="U175" s="513">
        <v>399</v>
      </c>
      <c r="V175" s="122">
        <f t="shared" si="55"/>
        <v>130.57644110275689</v>
      </c>
      <c r="W175" s="480">
        <v>920</v>
      </c>
      <c r="X175" s="398">
        <f t="shared" si="120"/>
        <v>624.28</v>
      </c>
      <c r="Y175" s="510">
        <f t="shared" si="121"/>
        <v>0.47370000000000001</v>
      </c>
      <c r="Z175" s="464" t="e">
        <f>#REF!*Y175</f>
        <v>#REF!</v>
      </c>
      <c r="AB175" s="404">
        <v>274.01</v>
      </c>
      <c r="AC175" s="434"/>
      <c r="AD175" s="478">
        <f t="shared" si="113"/>
        <v>521</v>
      </c>
      <c r="AE175" s="394"/>
      <c r="AG175" s="237">
        <v>-0.1411</v>
      </c>
      <c r="AH175" s="236">
        <f t="shared" si="100"/>
        <v>1.1411</v>
      </c>
      <c r="AI175" s="235">
        <v>1.18</v>
      </c>
      <c r="AK175" s="152">
        <f t="shared" si="114"/>
        <v>1085.5999999999999</v>
      </c>
      <c r="AM175" s="239">
        <v>1.034</v>
      </c>
      <c r="AN175" s="243">
        <v>-0.1411</v>
      </c>
      <c r="AO175" s="240" t="e">
        <f>#REF!-AM175</f>
        <v>#REF!</v>
      </c>
      <c r="AQ175" s="241">
        <f t="shared" si="115"/>
        <v>0.61480000000000001</v>
      </c>
      <c r="AR175" s="382">
        <v>335</v>
      </c>
      <c r="AS175" s="388" t="b">
        <f t="shared" si="116"/>
        <v>0</v>
      </c>
      <c r="AT175" s="411" t="e">
        <f>ROUND(W175/T175*100-100,2)+#REF!</f>
        <v>#REF!</v>
      </c>
      <c r="AW175">
        <f t="shared" si="117"/>
        <v>1</v>
      </c>
    </row>
    <row r="176" spans="1:49" x14ac:dyDescent="0.3">
      <c r="A176" s="587" t="s">
        <v>490</v>
      </c>
      <c r="B176" s="587" t="s">
        <v>206</v>
      </c>
      <c r="C176" s="585" t="s">
        <v>52</v>
      </c>
      <c r="D176" s="583" t="s">
        <v>207</v>
      </c>
      <c r="E176" s="588" t="s">
        <v>169</v>
      </c>
      <c r="F176" s="583">
        <f>VLOOKUP(E176,'условия, ФОТ'!$A$14:$I$28,9, FALSE)</f>
        <v>326.24</v>
      </c>
      <c r="G176" s="591">
        <v>0.43</v>
      </c>
      <c r="H176" s="583">
        <f t="shared" si="107"/>
        <v>140.28</v>
      </c>
      <c r="I176" s="583">
        <f t="shared" si="30"/>
        <v>42.36</v>
      </c>
      <c r="J176" s="583">
        <f t="shared" si="103"/>
        <v>182.64</v>
      </c>
      <c r="K176" s="589"/>
      <c r="L176" s="583"/>
      <c r="M176" s="583"/>
      <c r="N176" s="583"/>
      <c r="O176" s="583"/>
      <c r="P176" s="583">
        <f t="shared" si="110"/>
        <v>182.64</v>
      </c>
      <c r="Q176" s="583">
        <f t="shared" si="10"/>
        <v>141.55000000000001</v>
      </c>
      <c r="R176" s="584">
        <f t="shared" si="118"/>
        <v>483.33</v>
      </c>
      <c r="S176" s="584">
        <f t="shared" si="11"/>
        <v>96.67</v>
      </c>
      <c r="T176" s="584">
        <f t="shared" si="119"/>
        <v>580</v>
      </c>
      <c r="U176" s="513">
        <v>249</v>
      </c>
      <c r="V176" s="122">
        <f t="shared" si="55"/>
        <v>132.93172690763052</v>
      </c>
      <c r="W176" s="480">
        <v>580</v>
      </c>
      <c r="X176" s="398">
        <f t="shared" si="120"/>
        <v>389.03</v>
      </c>
      <c r="Y176" s="510">
        <f t="shared" si="121"/>
        <v>0.4909</v>
      </c>
      <c r="Z176" s="464" t="e">
        <f>#REF!*Y176</f>
        <v>#REF!</v>
      </c>
      <c r="AB176" s="404">
        <v>170.61</v>
      </c>
      <c r="AC176" s="434"/>
      <c r="AD176" s="478">
        <f t="shared" si="113"/>
        <v>331</v>
      </c>
      <c r="AE176" s="394"/>
      <c r="AG176" s="237">
        <v>-0.1419</v>
      </c>
      <c r="AH176" s="236">
        <f t="shared" si="100"/>
        <v>1.1418999999999999</v>
      </c>
      <c r="AI176" s="235">
        <v>1.181</v>
      </c>
      <c r="AK176" s="152">
        <f t="shared" si="114"/>
        <v>684.98</v>
      </c>
      <c r="AM176" s="239">
        <v>1.034</v>
      </c>
      <c r="AN176" s="243">
        <v>-0.1419</v>
      </c>
      <c r="AO176" s="240" t="e">
        <f>#REF!-AM176</f>
        <v>#REF!</v>
      </c>
      <c r="AQ176" s="241">
        <f t="shared" si="115"/>
        <v>0.63280000000000003</v>
      </c>
      <c r="AR176" s="382">
        <v>209</v>
      </c>
      <c r="AS176" s="388" t="b">
        <f t="shared" si="116"/>
        <v>0</v>
      </c>
      <c r="AT176" s="411" t="e">
        <f>ROUND(W176/T176*100-100,2)+#REF!</f>
        <v>#REF!</v>
      </c>
      <c r="AW176">
        <f t="shared" si="117"/>
        <v>1</v>
      </c>
    </row>
    <row r="177" spans="1:49" x14ac:dyDescent="0.3">
      <c r="A177" s="587" t="s">
        <v>491</v>
      </c>
      <c r="B177" s="587" t="s">
        <v>208</v>
      </c>
      <c r="C177" s="585" t="s">
        <v>53</v>
      </c>
      <c r="D177" s="583" t="s">
        <v>203</v>
      </c>
      <c r="E177" s="588" t="s">
        <v>169</v>
      </c>
      <c r="F177" s="583">
        <f>VLOOKUP(E177,'условия, ФОТ'!$A$14:$I$28,9, FALSE)</f>
        <v>326.24</v>
      </c>
      <c r="G177" s="591">
        <v>0.3</v>
      </c>
      <c r="H177" s="583">
        <f t="shared" si="107"/>
        <v>97.87</v>
      </c>
      <c r="I177" s="583">
        <f t="shared" si="30"/>
        <v>29.56</v>
      </c>
      <c r="J177" s="583">
        <f t="shared" si="103"/>
        <v>127.43</v>
      </c>
      <c r="K177" s="589"/>
      <c r="L177" s="583"/>
      <c r="M177" s="583"/>
      <c r="N177" s="583"/>
      <c r="O177" s="583"/>
      <c r="P177" s="583">
        <f t="shared" si="110"/>
        <v>127.43</v>
      </c>
      <c r="Q177" s="583">
        <f t="shared" si="10"/>
        <v>98.76</v>
      </c>
      <c r="R177" s="584">
        <f t="shared" si="118"/>
        <v>333.33</v>
      </c>
      <c r="S177" s="584">
        <f>ROUND(R177*$S$5,2)</f>
        <v>66.67</v>
      </c>
      <c r="T177" s="584">
        <f t="shared" si="119"/>
        <v>400</v>
      </c>
      <c r="U177" s="513">
        <v>174</v>
      </c>
      <c r="V177" s="122">
        <f t="shared" si="55"/>
        <v>129.88505747126436</v>
      </c>
      <c r="W177" s="480">
        <v>400</v>
      </c>
      <c r="X177" s="398">
        <f t="shared" si="120"/>
        <v>271.43</v>
      </c>
      <c r="Y177" s="510">
        <f t="shared" si="121"/>
        <v>0.47370000000000001</v>
      </c>
      <c r="Z177" s="464" t="e">
        <f>#REF!*Y177</f>
        <v>#REF!</v>
      </c>
      <c r="AB177" s="404">
        <v>118.91</v>
      </c>
      <c r="AC177" s="434"/>
      <c r="AD177" s="478">
        <f t="shared" si="113"/>
        <v>226</v>
      </c>
      <c r="AE177" s="394"/>
      <c r="AG177" s="237">
        <v>-0.14269999999999999</v>
      </c>
      <c r="AH177" s="236">
        <f t="shared" si="100"/>
        <v>1.1427</v>
      </c>
      <c r="AI177" s="235">
        <v>1.1819999999999999</v>
      </c>
      <c r="AK177" s="152">
        <f t="shared" si="114"/>
        <v>472.8</v>
      </c>
      <c r="AM177" s="239">
        <v>1.034</v>
      </c>
      <c r="AN177" s="243">
        <v>-0.14269999999999999</v>
      </c>
      <c r="AO177" s="240" t="e">
        <f>#REF!-AM177</f>
        <v>#REF!</v>
      </c>
      <c r="AQ177" s="241">
        <f t="shared" si="115"/>
        <v>0.61640000000000006</v>
      </c>
      <c r="AR177" s="382">
        <v>146</v>
      </c>
      <c r="AS177" s="388" t="b">
        <f t="shared" si="116"/>
        <v>0</v>
      </c>
      <c r="AT177" s="411" t="e">
        <f>ROUND(W177/T177*100-100,2)+#REF!</f>
        <v>#REF!</v>
      </c>
      <c r="AW177">
        <f t="shared" si="117"/>
        <v>1</v>
      </c>
    </row>
    <row r="178" spans="1:49" x14ac:dyDescent="0.3">
      <c r="A178" s="587" t="s">
        <v>492</v>
      </c>
      <c r="B178" s="587" t="s">
        <v>209</v>
      </c>
      <c r="C178" s="585" t="s">
        <v>54</v>
      </c>
      <c r="D178" s="583" t="s">
        <v>203</v>
      </c>
      <c r="E178" s="588" t="s">
        <v>169</v>
      </c>
      <c r="F178" s="583">
        <f>VLOOKUP(E178,'условия, ФОТ'!$A$14:$I$28,9, FALSE)</f>
        <v>326.24</v>
      </c>
      <c r="G178" s="591">
        <v>0.4</v>
      </c>
      <c r="H178" s="583">
        <f t="shared" si="107"/>
        <v>130.5</v>
      </c>
      <c r="I178" s="583">
        <f t="shared" si="30"/>
        <v>39.409999999999997</v>
      </c>
      <c r="J178" s="583">
        <f t="shared" si="103"/>
        <v>169.91</v>
      </c>
      <c r="K178" s="589"/>
      <c r="L178" s="583"/>
      <c r="M178" s="583"/>
      <c r="N178" s="583"/>
      <c r="O178" s="583"/>
      <c r="P178" s="583">
        <f t="shared" si="110"/>
        <v>169.91</v>
      </c>
      <c r="Q178" s="583">
        <f t="shared" si="10"/>
        <v>131.68</v>
      </c>
      <c r="R178" s="584">
        <f t="shared" si="118"/>
        <v>450</v>
      </c>
      <c r="S178" s="584">
        <f t="shared" si="11"/>
        <v>90</v>
      </c>
      <c r="T178" s="584">
        <f t="shared" si="119"/>
        <v>540</v>
      </c>
      <c r="U178" s="513">
        <v>231</v>
      </c>
      <c r="V178" s="122">
        <f t="shared" si="55"/>
        <v>133.76623376623377</v>
      </c>
      <c r="W178" s="480">
        <v>540</v>
      </c>
      <c r="X178" s="398">
        <f t="shared" si="120"/>
        <v>361.91</v>
      </c>
      <c r="Y178" s="510">
        <f t="shared" si="121"/>
        <v>0.49209999999999998</v>
      </c>
      <c r="Z178" s="464" t="e">
        <f>#REF!*Y178</f>
        <v>#REF!</v>
      </c>
      <c r="AB178" s="404">
        <v>158.202</v>
      </c>
      <c r="AC178" s="434"/>
      <c r="AD178" s="478">
        <f t="shared" si="113"/>
        <v>309</v>
      </c>
      <c r="AE178" s="394"/>
      <c r="AG178" s="237">
        <v>-0.1447</v>
      </c>
      <c r="AH178" s="236">
        <f t="shared" si="100"/>
        <v>1.1447000000000001</v>
      </c>
      <c r="AI178" s="235">
        <v>1.1839999999999999</v>
      </c>
      <c r="AK178" s="152">
        <f t="shared" si="114"/>
        <v>639.36</v>
      </c>
      <c r="AM178" s="239">
        <v>1.034</v>
      </c>
      <c r="AN178" s="243">
        <v>-0.1447</v>
      </c>
      <c r="AO178" s="240" t="e">
        <f>#REF!-AM178</f>
        <v>#REF!</v>
      </c>
      <c r="AQ178" s="241">
        <f t="shared" si="115"/>
        <v>0.63680000000000003</v>
      </c>
      <c r="AR178" s="382">
        <v>194</v>
      </c>
      <c r="AS178" s="388" t="b">
        <f t="shared" si="116"/>
        <v>0</v>
      </c>
      <c r="AT178" s="411" t="e">
        <f>ROUND(W178/T178*100-100,2)+#REF!</f>
        <v>#REF!</v>
      </c>
      <c r="AW178">
        <f t="shared" si="117"/>
        <v>1</v>
      </c>
    </row>
    <row r="179" spans="1:49" x14ac:dyDescent="0.3">
      <c r="A179" s="587" t="s">
        <v>493</v>
      </c>
      <c r="B179" s="587" t="s">
        <v>210</v>
      </c>
      <c r="C179" s="585" t="s">
        <v>55</v>
      </c>
      <c r="D179" s="583" t="s">
        <v>211</v>
      </c>
      <c r="E179" s="588" t="s">
        <v>169</v>
      </c>
      <c r="F179" s="583">
        <f>VLOOKUP(E179,'условия, ФОТ'!$A$14:$I$28,9, FALSE)</f>
        <v>326.24</v>
      </c>
      <c r="G179" s="591">
        <v>0.6</v>
      </c>
      <c r="H179" s="583">
        <f t="shared" si="107"/>
        <v>195.74</v>
      </c>
      <c r="I179" s="583">
        <f t="shared" si="30"/>
        <v>59.11</v>
      </c>
      <c r="J179" s="583">
        <f t="shared" si="103"/>
        <v>254.85000000000002</v>
      </c>
      <c r="K179" s="589"/>
      <c r="L179" s="583"/>
      <c r="M179" s="583"/>
      <c r="N179" s="583"/>
      <c r="O179" s="583"/>
      <c r="P179" s="583">
        <f t="shared" si="110"/>
        <v>254.85000000000002</v>
      </c>
      <c r="Q179" s="583">
        <f t="shared" si="10"/>
        <v>197.51</v>
      </c>
      <c r="R179" s="584">
        <f t="shared" si="118"/>
        <v>666.67</v>
      </c>
      <c r="S179" s="584">
        <f t="shared" si="11"/>
        <v>133.33000000000001</v>
      </c>
      <c r="T179" s="584">
        <f t="shared" si="119"/>
        <v>800</v>
      </c>
      <c r="U179" s="513">
        <v>346</v>
      </c>
      <c r="V179" s="122">
        <f t="shared" si="55"/>
        <v>131.21387283236996</v>
      </c>
      <c r="W179" s="480">
        <v>800</v>
      </c>
      <c r="X179" s="398">
        <f t="shared" si="120"/>
        <v>542.83000000000004</v>
      </c>
      <c r="Y179" s="510">
        <f t="shared" si="121"/>
        <v>0.4738</v>
      </c>
      <c r="Z179" s="464" t="e">
        <f>#REF!*Y179</f>
        <v>#REF!</v>
      </c>
      <c r="AB179" s="404">
        <v>237.82</v>
      </c>
      <c r="AC179" s="434"/>
      <c r="AD179" s="478">
        <f t="shared" si="113"/>
        <v>454</v>
      </c>
      <c r="AE179" s="394"/>
      <c r="AG179" s="237">
        <v>-0.14269999999999999</v>
      </c>
      <c r="AH179" s="236">
        <f t="shared" si="100"/>
        <v>1.1427</v>
      </c>
      <c r="AI179" s="235">
        <v>1.1819999999999999</v>
      </c>
      <c r="AK179" s="152">
        <f t="shared" si="114"/>
        <v>945.6</v>
      </c>
      <c r="AM179" s="239">
        <v>1.034</v>
      </c>
      <c r="AN179" s="243">
        <v>-0.14269999999999999</v>
      </c>
      <c r="AO179" s="240" t="e">
        <f>#REF!-AM179</f>
        <v>#REF!</v>
      </c>
      <c r="AQ179" s="241">
        <f t="shared" si="115"/>
        <v>0.61650000000000005</v>
      </c>
      <c r="AR179" s="382">
        <v>291</v>
      </c>
      <c r="AS179" s="388" t="b">
        <f t="shared" si="116"/>
        <v>0</v>
      </c>
      <c r="AT179" s="411" t="e">
        <f>ROUND(W179/T179*100-100,2)+#REF!</f>
        <v>#REF!</v>
      </c>
      <c r="AW179">
        <f t="shared" si="117"/>
        <v>1</v>
      </c>
    </row>
    <row r="180" spans="1:49" ht="30.75" customHeight="1" x14ac:dyDescent="0.3">
      <c r="A180" s="587" t="s">
        <v>494</v>
      </c>
      <c r="B180" s="587" t="s">
        <v>212</v>
      </c>
      <c r="C180" s="585" t="s">
        <v>56</v>
      </c>
      <c r="D180" s="583" t="s">
        <v>211</v>
      </c>
      <c r="E180" s="588" t="s">
        <v>169</v>
      </c>
      <c r="F180" s="583">
        <f>VLOOKUP(E180,'условия, ФОТ'!$A$14:$I$28,9, FALSE)</f>
        <v>326.24</v>
      </c>
      <c r="G180" s="591">
        <v>0.9</v>
      </c>
      <c r="H180" s="583">
        <f t="shared" si="107"/>
        <v>293.62</v>
      </c>
      <c r="I180" s="583">
        <f t="shared" si="30"/>
        <v>88.67</v>
      </c>
      <c r="J180" s="583">
        <f t="shared" si="103"/>
        <v>382.29</v>
      </c>
      <c r="K180" s="589"/>
      <c r="L180" s="583"/>
      <c r="M180" s="583"/>
      <c r="N180" s="583"/>
      <c r="O180" s="583"/>
      <c r="P180" s="583">
        <f t="shared" si="110"/>
        <v>382.29</v>
      </c>
      <c r="Q180" s="583">
        <f t="shared" si="10"/>
        <v>296.27</v>
      </c>
      <c r="R180" s="584">
        <f t="shared" si="118"/>
        <v>1000</v>
      </c>
      <c r="S180" s="584">
        <f t="shared" si="11"/>
        <v>200</v>
      </c>
      <c r="T180" s="584">
        <f t="shared" si="119"/>
        <v>1200</v>
      </c>
      <c r="U180" s="513">
        <v>520</v>
      </c>
      <c r="V180" s="122">
        <f t="shared" si="55"/>
        <v>130.76923076923075</v>
      </c>
      <c r="W180" s="480">
        <v>1200</v>
      </c>
      <c r="X180" s="398">
        <f t="shared" si="120"/>
        <v>814.27</v>
      </c>
      <c r="Y180" s="510">
        <f t="shared" si="121"/>
        <v>0.47370000000000001</v>
      </c>
      <c r="Z180" s="464" t="e">
        <f>#REF!*Y180</f>
        <v>#REF!</v>
      </c>
      <c r="AB180" s="404">
        <v>356.73</v>
      </c>
      <c r="AC180" s="434"/>
      <c r="AD180" s="478">
        <f t="shared" si="113"/>
        <v>680</v>
      </c>
      <c r="AE180" s="394"/>
      <c r="AG180" s="237">
        <v>-0.14269999999999999</v>
      </c>
      <c r="AH180" s="236">
        <f t="shared" si="100"/>
        <v>1.1427</v>
      </c>
      <c r="AI180" s="235">
        <v>1.1819999999999999</v>
      </c>
      <c r="AK180" s="152">
        <f t="shared" si="114"/>
        <v>1418.4</v>
      </c>
      <c r="AM180" s="239">
        <v>1.034</v>
      </c>
      <c r="AN180" s="243">
        <v>-0.14269999999999999</v>
      </c>
      <c r="AO180" s="240" t="e">
        <f>#REF!-AM180</f>
        <v>#REF!</v>
      </c>
      <c r="AQ180" s="241">
        <f t="shared" si="115"/>
        <v>0.61640000000000006</v>
      </c>
      <c r="AR180" s="382">
        <v>437</v>
      </c>
      <c r="AS180" s="388" t="b">
        <f t="shared" si="116"/>
        <v>0</v>
      </c>
      <c r="AT180" s="411" t="e">
        <f>ROUND(W180/T180*100-100,2)+#REF!</f>
        <v>#REF!</v>
      </c>
      <c r="AW180">
        <f t="shared" si="117"/>
        <v>1</v>
      </c>
    </row>
    <row r="181" spans="1:49" x14ac:dyDescent="0.3">
      <c r="A181" s="587" t="s">
        <v>495</v>
      </c>
      <c r="B181" s="587" t="s">
        <v>213</v>
      </c>
      <c r="C181" s="585" t="s">
        <v>57</v>
      </c>
      <c r="D181" s="583" t="s">
        <v>34</v>
      </c>
      <c r="E181" s="588" t="s">
        <v>169</v>
      </c>
      <c r="F181" s="583">
        <f>VLOOKUP(E181,'условия, ФОТ'!$A$14:$I$28,9, FALSE)</f>
        <v>326.24</v>
      </c>
      <c r="G181" s="591">
        <v>0.82</v>
      </c>
      <c r="H181" s="583">
        <f t="shared" si="107"/>
        <v>267.52</v>
      </c>
      <c r="I181" s="583">
        <f t="shared" si="30"/>
        <v>80.790000000000006</v>
      </c>
      <c r="J181" s="583">
        <f t="shared" si="103"/>
        <v>348.31</v>
      </c>
      <c r="K181" s="589"/>
      <c r="L181" s="583"/>
      <c r="M181" s="583"/>
      <c r="N181" s="583"/>
      <c r="O181" s="583"/>
      <c r="P181" s="583">
        <f t="shared" si="110"/>
        <v>348.31</v>
      </c>
      <c r="Q181" s="583">
        <f t="shared" si="10"/>
        <v>269.94</v>
      </c>
      <c r="R181" s="584">
        <f t="shared" si="118"/>
        <v>916.67</v>
      </c>
      <c r="S181" s="584">
        <f>ROUND(R181*$S$5,2)</f>
        <v>183.33</v>
      </c>
      <c r="T181" s="584">
        <f t="shared" si="119"/>
        <v>1100</v>
      </c>
      <c r="U181" s="513">
        <v>474</v>
      </c>
      <c r="V181" s="122">
        <f t="shared" si="55"/>
        <v>132.06751054852322</v>
      </c>
      <c r="W181" s="480">
        <v>1100</v>
      </c>
      <c r="X181" s="398">
        <f t="shared" si="120"/>
        <v>741.9</v>
      </c>
      <c r="Y181" s="510">
        <f t="shared" si="121"/>
        <v>0.48270000000000002</v>
      </c>
      <c r="Z181" s="464" t="e">
        <f>#REF!*Y181</f>
        <v>#REF!</v>
      </c>
      <c r="AB181" s="404">
        <v>324.67599999999999</v>
      </c>
      <c r="AC181" s="434"/>
      <c r="AD181" s="478">
        <f t="shared" si="113"/>
        <v>626</v>
      </c>
      <c r="AE181" s="394"/>
      <c r="AG181" s="237">
        <v>-0.14360000000000001</v>
      </c>
      <c r="AH181" s="236">
        <f t="shared" si="100"/>
        <v>1.1435999999999999</v>
      </c>
      <c r="AI181" s="235">
        <v>1.1819999999999999</v>
      </c>
      <c r="AK181" s="152">
        <f t="shared" si="114"/>
        <v>1300.2</v>
      </c>
      <c r="AM181" s="239">
        <v>1.034</v>
      </c>
      <c r="AN181" s="243">
        <v>-0.14360000000000001</v>
      </c>
      <c r="AO181" s="240" t="e">
        <f>#REF!-AM181</f>
        <v>#REF!</v>
      </c>
      <c r="AQ181" s="241">
        <f t="shared" si="115"/>
        <v>0.62630000000000008</v>
      </c>
      <c r="AR181" s="382">
        <v>398</v>
      </c>
      <c r="AS181" s="388" t="b">
        <f t="shared" si="116"/>
        <v>0</v>
      </c>
      <c r="AT181" s="411" t="e">
        <f>ROUND(W181/T181*100-100,2)+#REF!</f>
        <v>#REF!</v>
      </c>
      <c r="AW181">
        <f t="shared" si="117"/>
        <v>1</v>
      </c>
    </row>
    <row r="182" spans="1:49" ht="25.5" x14ac:dyDescent="0.3">
      <c r="A182" s="596" t="s">
        <v>496</v>
      </c>
      <c r="B182" s="596" t="s">
        <v>214</v>
      </c>
      <c r="C182" s="597" t="s">
        <v>58</v>
      </c>
      <c r="D182" s="568" t="s">
        <v>203</v>
      </c>
      <c r="E182" s="598" t="s">
        <v>169</v>
      </c>
      <c r="F182" s="568">
        <f>VLOOKUP(E182,'условия, ФОТ'!$A$14:$I$28,9, FALSE)</f>
        <v>326.24</v>
      </c>
      <c r="G182" s="599">
        <v>0.5</v>
      </c>
      <c r="H182" s="568">
        <f t="shared" si="107"/>
        <v>163.12</v>
      </c>
      <c r="I182" s="568">
        <f t="shared" si="30"/>
        <v>49.26</v>
      </c>
      <c r="J182" s="568">
        <f t="shared" si="103"/>
        <v>212.38</v>
      </c>
      <c r="K182" s="567"/>
      <c r="L182" s="568"/>
      <c r="M182" s="568"/>
      <c r="N182" s="568"/>
      <c r="O182" s="568"/>
      <c r="P182" s="568">
        <f t="shared" si="110"/>
        <v>212.38</v>
      </c>
      <c r="Q182" s="568">
        <f t="shared" si="10"/>
        <v>164.59</v>
      </c>
      <c r="R182" s="600">
        <f t="shared" si="118"/>
        <v>275</v>
      </c>
      <c r="S182" s="600">
        <f>ROUND(R182*$S$5,2)</f>
        <v>55</v>
      </c>
      <c r="T182" s="600">
        <f t="shared" si="119"/>
        <v>330</v>
      </c>
      <c r="U182" s="578">
        <v>289</v>
      </c>
      <c r="V182" s="577">
        <f t="shared" si="55"/>
        <v>14.186851211072664</v>
      </c>
      <c r="W182" s="579">
        <v>330</v>
      </c>
      <c r="X182" s="580">
        <f t="shared" si="120"/>
        <v>452.36</v>
      </c>
      <c r="Y182" s="510">
        <f t="shared" si="121"/>
        <v>-0.27050000000000002</v>
      </c>
      <c r="Z182" s="464" t="e">
        <f>#REF!*Y182</f>
        <v>#REF!</v>
      </c>
      <c r="AB182" s="404">
        <v>198.52800000000002</v>
      </c>
      <c r="AC182" s="434"/>
      <c r="AD182" s="478">
        <f t="shared" si="113"/>
        <v>41</v>
      </c>
      <c r="AE182" s="394"/>
      <c r="AG182" s="237">
        <v>-0.14119999999999999</v>
      </c>
      <c r="AH182" s="236">
        <f t="shared" si="100"/>
        <v>1.1412</v>
      </c>
      <c r="AI182" s="235">
        <v>1.18</v>
      </c>
      <c r="AK182" s="152">
        <f t="shared" si="114"/>
        <v>389.4</v>
      </c>
      <c r="AM182" s="239">
        <v>1.034</v>
      </c>
      <c r="AN182" s="243">
        <v>-0.14119999999999999</v>
      </c>
      <c r="AO182" s="240" t="e">
        <f>#REF!-AM182</f>
        <v>#REF!</v>
      </c>
      <c r="AQ182" s="241">
        <f t="shared" si="115"/>
        <v>-0.12930000000000003</v>
      </c>
      <c r="AR182" s="382">
        <v>243</v>
      </c>
      <c r="AS182" s="388" t="b">
        <f t="shared" si="116"/>
        <v>0</v>
      </c>
      <c r="AT182" s="411" t="e">
        <f>ROUND(W182/T182*100-100,2)+#REF!</f>
        <v>#REF!</v>
      </c>
      <c r="AW182">
        <f t="shared" si="117"/>
        <v>1</v>
      </c>
    </row>
    <row r="183" spans="1:49" ht="25.5" x14ac:dyDescent="0.3">
      <c r="A183" s="596" t="s">
        <v>497</v>
      </c>
      <c r="B183" s="596" t="s">
        <v>215</v>
      </c>
      <c r="C183" s="597" t="s">
        <v>59</v>
      </c>
      <c r="D183" s="568" t="s">
        <v>203</v>
      </c>
      <c r="E183" s="598" t="s">
        <v>169</v>
      </c>
      <c r="F183" s="568">
        <f>VLOOKUP(E183,'условия, ФОТ'!$A$14:$I$28,9, FALSE)</f>
        <v>326.24</v>
      </c>
      <c r="G183" s="599">
        <v>1</v>
      </c>
      <c r="H183" s="568">
        <f t="shared" si="107"/>
        <v>326.24</v>
      </c>
      <c r="I183" s="568">
        <f t="shared" si="30"/>
        <v>98.52</v>
      </c>
      <c r="J183" s="568">
        <f t="shared" si="103"/>
        <v>424.76</v>
      </c>
      <c r="K183" s="567"/>
      <c r="L183" s="568"/>
      <c r="M183" s="568"/>
      <c r="N183" s="568"/>
      <c r="O183" s="568"/>
      <c r="P183" s="568">
        <f t="shared" si="110"/>
        <v>424.76</v>
      </c>
      <c r="Q183" s="568">
        <f t="shared" si="10"/>
        <v>329.19</v>
      </c>
      <c r="R183" s="600">
        <f t="shared" si="118"/>
        <v>558.33000000000004</v>
      </c>
      <c r="S183" s="600">
        <f t="shared" si="11"/>
        <v>111.67</v>
      </c>
      <c r="T183" s="600">
        <f t="shared" si="119"/>
        <v>670</v>
      </c>
      <c r="U183" s="578">
        <v>577</v>
      </c>
      <c r="V183" s="577">
        <f t="shared" si="55"/>
        <v>16.117850953206244</v>
      </c>
      <c r="W183" s="579">
        <v>670</v>
      </c>
      <c r="X183" s="580">
        <f t="shared" si="120"/>
        <v>904.74</v>
      </c>
      <c r="Y183" s="510">
        <f t="shared" si="121"/>
        <v>-0.25950000000000001</v>
      </c>
      <c r="Z183" s="464" t="e">
        <f>#REF!*Y183</f>
        <v>#REF!</v>
      </c>
      <c r="AB183" s="404">
        <v>396.02199999999999</v>
      </c>
      <c r="AC183" s="434"/>
      <c r="AD183" s="478">
        <f t="shared" si="113"/>
        <v>93</v>
      </c>
      <c r="AE183" s="394"/>
      <c r="AG183" s="237">
        <v>-0.1434</v>
      </c>
      <c r="AH183" s="236">
        <f t="shared" si="100"/>
        <v>1.1434</v>
      </c>
      <c r="AI183" s="235">
        <v>1.1819999999999999</v>
      </c>
      <c r="AK183" s="152">
        <f t="shared" si="114"/>
        <v>791.94</v>
      </c>
      <c r="AM183" s="239">
        <v>1.034</v>
      </c>
      <c r="AN183" s="243">
        <v>-0.1434</v>
      </c>
      <c r="AO183" s="240" t="e">
        <f>#REF!-AM183</f>
        <v>#REF!</v>
      </c>
      <c r="AQ183" s="241">
        <f t="shared" si="115"/>
        <v>-0.11610000000000001</v>
      </c>
      <c r="AR183" s="382">
        <v>485</v>
      </c>
      <c r="AS183" s="388" t="b">
        <f t="shared" si="116"/>
        <v>0</v>
      </c>
      <c r="AT183" s="411" t="e">
        <f>ROUND(W183/T183*100-100,2)+#REF!</f>
        <v>#REF!</v>
      </c>
      <c r="AW183">
        <f t="shared" si="117"/>
        <v>1</v>
      </c>
    </row>
    <row r="184" spans="1:49" ht="18" customHeight="1" x14ac:dyDescent="0.3">
      <c r="A184" s="587" t="s">
        <v>498</v>
      </c>
      <c r="B184" s="587" t="s">
        <v>216</v>
      </c>
      <c r="C184" s="585" t="s">
        <v>60</v>
      </c>
      <c r="D184" s="583" t="s">
        <v>203</v>
      </c>
      <c r="E184" s="588" t="s">
        <v>169</v>
      </c>
      <c r="F184" s="583">
        <f>VLOOKUP(E184,'условия, ФОТ'!$A$14:$I$28,9, FALSE)</f>
        <v>326.24</v>
      </c>
      <c r="G184" s="591">
        <v>0.1</v>
      </c>
      <c r="H184" s="583">
        <f t="shared" si="107"/>
        <v>32.619999999999997</v>
      </c>
      <c r="I184" s="583">
        <f t="shared" si="30"/>
        <v>9.85</v>
      </c>
      <c r="J184" s="583">
        <f t="shared" si="103"/>
        <v>42.47</v>
      </c>
      <c r="K184" s="589"/>
      <c r="L184" s="583"/>
      <c r="M184" s="583"/>
      <c r="N184" s="583"/>
      <c r="O184" s="583"/>
      <c r="P184" s="583">
        <f t="shared" si="110"/>
        <v>42.47</v>
      </c>
      <c r="Q184" s="583">
        <f t="shared" si="10"/>
        <v>32.909999999999997</v>
      </c>
      <c r="R184" s="584">
        <f t="shared" si="118"/>
        <v>108.33</v>
      </c>
      <c r="S184" s="584">
        <f t="shared" si="11"/>
        <v>21.67</v>
      </c>
      <c r="T184" s="584">
        <f t="shared" si="119"/>
        <v>130</v>
      </c>
      <c r="U184" s="513">
        <v>58</v>
      </c>
      <c r="V184" s="122">
        <f t="shared" si="55"/>
        <v>124.13793103448273</v>
      </c>
      <c r="W184" s="480">
        <v>130</v>
      </c>
      <c r="X184" s="398">
        <f t="shared" si="120"/>
        <v>90.46</v>
      </c>
      <c r="Y184" s="510">
        <f t="shared" si="121"/>
        <v>0.43709999999999999</v>
      </c>
      <c r="Z184" s="464" t="e">
        <f>#REF!*Y184</f>
        <v>#REF!</v>
      </c>
      <c r="AB184" s="404">
        <v>39.292000000000002</v>
      </c>
      <c r="AC184" s="434"/>
      <c r="AD184" s="478">
        <f t="shared" si="113"/>
        <v>72</v>
      </c>
      <c r="AE184" s="394"/>
      <c r="AG184" s="237">
        <v>-0.14990000000000001</v>
      </c>
      <c r="AH184" s="236">
        <f t="shared" si="100"/>
        <v>1.1498999999999999</v>
      </c>
      <c r="AI184" s="235">
        <v>1.1890000000000001</v>
      </c>
      <c r="AK184" s="152">
        <f t="shared" si="114"/>
        <v>154.57</v>
      </c>
      <c r="AM184" s="239">
        <v>1.034</v>
      </c>
      <c r="AN184" s="243">
        <v>-0.14990000000000001</v>
      </c>
      <c r="AO184" s="240" t="e">
        <f>#REF!-AM184</f>
        <v>#REF!</v>
      </c>
      <c r="AQ184" s="241">
        <f t="shared" si="115"/>
        <v>0.58699999999999997</v>
      </c>
      <c r="AR184" s="382">
        <v>49</v>
      </c>
      <c r="AS184" s="388" t="b">
        <f t="shared" si="116"/>
        <v>0</v>
      </c>
      <c r="AT184" s="411" t="e">
        <f>ROUND(W184/T184*100-100,2)+#REF!</f>
        <v>#REF!</v>
      </c>
      <c r="AW184">
        <f t="shared" si="117"/>
        <v>1</v>
      </c>
    </row>
    <row r="185" spans="1:49" ht="25.5" x14ac:dyDescent="0.3">
      <c r="A185" s="587" t="s">
        <v>499</v>
      </c>
      <c r="B185" s="587" t="s">
        <v>218</v>
      </c>
      <c r="C185" s="585" t="s">
        <v>380</v>
      </c>
      <c r="D185" s="583" t="s">
        <v>217</v>
      </c>
      <c r="E185" s="588" t="s">
        <v>169</v>
      </c>
      <c r="F185" s="583">
        <f>VLOOKUP(E185,'условия, ФОТ'!$A$14:$I$28,9, FALSE)</f>
        <v>326.24</v>
      </c>
      <c r="G185" s="591">
        <v>0.5</v>
      </c>
      <c r="H185" s="583">
        <f t="shared" si="107"/>
        <v>163.12</v>
      </c>
      <c r="I185" s="583">
        <f t="shared" si="30"/>
        <v>49.26</v>
      </c>
      <c r="J185" s="583">
        <f t="shared" si="103"/>
        <v>212.38</v>
      </c>
      <c r="K185" s="589"/>
      <c r="L185" s="583"/>
      <c r="M185" s="583"/>
      <c r="N185" s="583"/>
      <c r="O185" s="583">
        <f>SUM(O186:O188)</f>
        <v>5.6499999999999995</v>
      </c>
      <c r="P185" s="583">
        <f>J185+O185</f>
        <v>218.03</v>
      </c>
      <c r="Q185" s="583">
        <f t="shared" si="10"/>
        <v>168.97</v>
      </c>
      <c r="R185" s="584">
        <f t="shared" si="118"/>
        <v>558.33000000000004</v>
      </c>
      <c r="S185" s="584">
        <f t="shared" si="11"/>
        <v>111.67</v>
      </c>
      <c r="T185" s="584">
        <f t="shared" si="119"/>
        <v>670</v>
      </c>
      <c r="U185" s="513">
        <v>299</v>
      </c>
      <c r="V185" s="122">
        <f t="shared" si="55"/>
        <v>124.08026755852842</v>
      </c>
      <c r="W185" s="480">
        <v>670</v>
      </c>
      <c r="X185" s="398">
        <f t="shared" si="120"/>
        <v>464.4</v>
      </c>
      <c r="Y185" s="510">
        <f t="shared" si="121"/>
        <v>0.44269999999999998</v>
      </c>
      <c r="Z185" s="464" t="e">
        <f>#REF!*Y185</f>
        <v>#REF!</v>
      </c>
      <c r="AB185" s="404">
        <v>208.86799999999999</v>
      </c>
      <c r="AC185" s="434"/>
      <c r="AD185" s="478">
        <f t="shared" si="113"/>
        <v>371</v>
      </c>
      <c r="AE185" s="394"/>
      <c r="AG185" s="237">
        <v>-0.12889999999999999</v>
      </c>
      <c r="AH185" s="236">
        <f t="shared" si="100"/>
        <v>1.1289</v>
      </c>
      <c r="AI185" s="235">
        <v>1.167</v>
      </c>
      <c r="AK185" s="152">
        <f t="shared" si="114"/>
        <v>781.89</v>
      </c>
      <c r="AM185" s="239">
        <v>1.034</v>
      </c>
      <c r="AN185" s="243">
        <v>-0.12889999999999999</v>
      </c>
      <c r="AO185" s="240" t="e">
        <f>#REF!-AM185</f>
        <v>#REF!</v>
      </c>
      <c r="AQ185" s="241">
        <f t="shared" si="115"/>
        <v>0.5716</v>
      </c>
      <c r="AR185" s="382">
        <v>252</v>
      </c>
      <c r="AS185" s="388" t="b">
        <f t="shared" si="116"/>
        <v>0</v>
      </c>
      <c r="AT185" s="411" t="e">
        <f>ROUND(W185/T185*100-100,2)+#REF!</f>
        <v>#REF!</v>
      </c>
      <c r="AW185">
        <f t="shared" si="117"/>
        <v>1</v>
      </c>
    </row>
    <row r="186" spans="1:49" ht="23.25" customHeight="1" outlineLevel="1" x14ac:dyDescent="0.3">
      <c r="A186" s="587"/>
      <c r="B186" s="587"/>
      <c r="C186" s="585"/>
      <c r="D186" s="583"/>
      <c r="E186" s="588"/>
      <c r="F186" s="583"/>
      <c r="G186" s="591"/>
      <c r="H186" s="583"/>
      <c r="I186" s="583"/>
      <c r="J186" s="540" t="s">
        <v>385</v>
      </c>
      <c r="K186" s="545" t="s">
        <v>341</v>
      </c>
      <c r="L186" s="591" t="str">
        <f>VLOOKUP(K186,материалы!$A$5:$G$31,5, FALSE)</f>
        <v>кг</v>
      </c>
      <c r="M186" s="583">
        <f>VLOOKUP(K186,материалы!$A$5:$G$34,7, FALSE)</f>
        <v>950</v>
      </c>
      <c r="N186" s="583">
        <v>5.0000000000000001E-3</v>
      </c>
      <c r="O186" s="583">
        <f t="shared" ref="O186:O188" si="122">ROUND(M186*N186,2)</f>
        <v>4.75</v>
      </c>
      <c r="P186" s="583"/>
      <c r="Q186" s="583"/>
      <c r="R186" s="584"/>
      <c r="S186" s="584"/>
      <c r="T186" s="584"/>
      <c r="U186" s="513">
        <v>0</v>
      </c>
      <c r="V186" s="122"/>
      <c r="W186" s="480">
        <v>0</v>
      </c>
      <c r="X186" s="398">
        <f t="shared" si="120"/>
        <v>0</v>
      </c>
      <c r="Y186" s="474"/>
      <c r="Z186" s="464"/>
      <c r="AC186" s="434"/>
      <c r="AD186" s="482"/>
      <c r="AE186" s="394"/>
      <c r="AG186" s="237"/>
      <c r="AH186" s="236"/>
      <c r="AI186" s="235"/>
      <c r="AK186" s="152"/>
      <c r="AM186" s="239"/>
      <c r="AN186" s="243"/>
      <c r="AO186" s="240"/>
      <c r="AQ186" s="241"/>
      <c r="AR186" s="382"/>
      <c r="AT186" s="411"/>
    </row>
    <row r="187" spans="1:49" ht="16.5" customHeight="1" outlineLevel="1" x14ac:dyDescent="0.3">
      <c r="A187" s="587"/>
      <c r="B187" s="587"/>
      <c r="C187" s="585"/>
      <c r="D187" s="583"/>
      <c r="E187" s="588"/>
      <c r="F187" s="583"/>
      <c r="G187" s="591"/>
      <c r="H187" s="583"/>
      <c r="I187" s="583"/>
      <c r="J187" s="583"/>
      <c r="K187" s="541" t="s">
        <v>335</v>
      </c>
      <c r="L187" s="591" t="str">
        <f>VLOOKUP(K187,материалы!$A$5:$G$31,5, FALSE)</f>
        <v>кг</v>
      </c>
      <c r="M187" s="583">
        <f>VLOOKUP(K187,материалы!$A$5:$G$34,7, FALSE)</f>
        <v>95</v>
      </c>
      <c r="N187" s="583">
        <v>1E-3</v>
      </c>
      <c r="O187" s="583">
        <f t="shared" si="122"/>
        <v>0.1</v>
      </c>
      <c r="P187" s="583"/>
      <c r="Q187" s="583"/>
      <c r="R187" s="584"/>
      <c r="S187" s="584"/>
      <c r="T187" s="584"/>
      <c r="U187" s="513">
        <v>0</v>
      </c>
      <c r="V187" s="122"/>
      <c r="W187" s="480">
        <v>0</v>
      </c>
      <c r="X187" s="398">
        <f t="shared" si="120"/>
        <v>0</v>
      </c>
      <c r="Y187" s="474"/>
      <c r="Z187" s="464"/>
      <c r="AC187" s="434"/>
      <c r="AD187" s="482"/>
      <c r="AE187" s="394"/>
      <c r="AG187" s="237"/>
      <c r="AH187" s="236"/>
      <c r="AI187" s="235"/>
      <c r="AK187" s="152"/>
      <c r="AM187" s="239"/>
      <c r="AN187" s="243"/>
      <c r="AO187" s="240"/>
      <c r="AQ187" s="241"/>
      <c r="AR187" s="382"/>
      <c r="AT187" s="411"/>
    </row>
    <row r="188" spans="1:49" ht="15.75" customHeight="1" outlineLevel="1" x14ac:dyDescent="0.3">
      <c r="A188" s="587"/>
      <c r="B188" s="587"/>
      <c r="C188" s="585"/>
      <c r="D188" s="583"/>
      <c r="E188" s="588"/>
      <c r="F188" s="583"/>
      <c r="G188" s="591"/>
      <c r="H188" s="583"/>
      <c r="I188" s="583"/>
      <c r="J188" s="583"/>
      <c r="K188" s="541" t="s">
        <v>336</v>
      </c>
      <c r="L188" s="591" t="str">
        <f>VLOOKUP(K188,материалы!$A$5:$G$31,5, FALSE)</f>
        <v>кг</v>
      </c>
      <c r="M188" s="583">
        <f>VLOOKUP(K188,материалы!$A$5:$G$34,7, FALSE)</f>
        <v>80</v>
      </c>
      <c r="N188" s="583">
        <v>0.01</v>
      </c>
      <c r="O188" s="583">
        <f t="shared" si="122"/>
        <v>0.8</v>
      </c>
      <c r="P188" s="583"/>
      <c r="Q188" s="583"/>
      <c r="R188" s="584"/>
      <c r="S188" s="584"/>
      <c r="T188" s="584"/>
      <c r="U188" s="513">
        <v>0</v>
      </c>
      <c r="V188" s="122"/>
      <c r="W188" s="480">
        <v>0</v>
      </c>
      <c r="X188" s="398">
        <f t="shared" si="120"/>
        <v>0</v>
      </c>
      <c r="Y188" s="474"/>
      <c r="Z188" s="464"/>
      <c r="AC188" s="434"/>
      <c r="AD188" s="482"/>
      <c r="AE188" s="394"/>
      <c r="AG188" s="237"/>
      <c r="AH188" s="236"/>
      <c r="AI188" s="235"/>
      <c r="AK188" s="152"/>
      <c r="AM188" s="239"/>
      <c r="AN188" s="243"/>
      <c r="AO188" s="240"/>
      <c r="AQ188" s="241"/>
      <c r="AR188" s="382"/>
      <c r="AT188" s="411"/>
    </row>
    <row r="189" spans="1:49" ht="31.7" customHeight="1" x14ac:dyDescent="0.3">
      <c r="A189" s="587" t="s">
        <v>500</v>
      </c>
      <c r="B189" s="587" t="s">
        <v>219</v>
      </c>
      <c r="C189" s="585" t="s">
        <v>61</v>
      </c>
      <c r="D189" s="583" t="s">
        <v>211</v>
      </c>
      <c r="E189" s="588" t="s">
        <v>169</v>
      </c>
      <c r="F189" s="583">
        <f>VLOOKUP(E189,'условия, ФОТ'!$A$14:$I$28,9, FALSE)</f>
        <v>326.24</v>
      </c>
      <c r="G189" s="591">
        <v>0.5</v>
      </c>
      <c r="H189" s="583">
        <f t="shared" si="107"/>
        <v>163.12</v>
      </c>
      <c r="I189" s="583">
        <f t="shared" si="30"/>
        <v>49.26</v>
      </c>
      <c r="J189" s="583">
        <f t="shared" si="103"/>
        <v>212.38</v>
      </c>
      <c r="K189" s="589"/>
      <c r="L189" s="583"/>
      <c r="M189" s="583"/>
      <c r="N189" s="583"/>
      <c r="O189" s="583"/>
      <c r="P189" s="583">
        <f t="shared" si="110"/>
        <v>212.38</v>
      </c>
      <c r="Q189" s="583">
        <f t="shared" si="10"/>
        <v>164.59</v>
      </c>
      <c r="R189" s="584">
        <f>ROUND(T189/1.2,2)</f>
        <v>558.33000000000004</v>
      </c>
      <c r="S189" s="584">
        <f>ROUND(R189*$S$5,2)</f>
        <v>111.67</v>
      </c>
      <c r="T189" s="584">
        <f t="shared" ref="T189:T196" si="123">ROUND((P189+Q189)*(1+Y189)*1.2,0)</f>
        <v>670</v>
      </c>
      <c r="U189" s="513">
        <v>289</v>
      </c>
      <c r="V189" s="122">
        <f t="shared" si="55"/>
        <v>131.83391003460207</v>
      </c>
      <c r="W189" s="480">
        <v>670</v>
      </c>
      <c r="X189" s="398">
        <f t="shared" si="120"/>
        <v>452.36</v>
      </c>
      <c r="Y189" s="510">
        <f t="shared" ref="Y189:Y196" si="124">ROUND((W189/X189)*100%-100%,4)</f>
        <v>0.48110000000000003</v>
      </c>
      <c r="Z189" s="464" t="e">
        <f>#REF!*Y189</f>
        <v>#REF!</v>
      </c>
      <c r="AB189" s="404">
        <v>198.52800000000002</v>
      </c>
      <c r="AC189" s="434"/>
      <c r="AD189" s="478">
        <f t="shared" ref="AD189:AD197" si="125">T189-U189</f>
        <v>381</v>
      </c>
      <c r="AE189" s="394"/>
      <c r="AG189" s="237">
        <v>-0.14119999999999999</v>
      </c>
      <c r="AH189" s="236">
        <f t="shared" si="100"/>
        <v>1.1412</v>
      </c>
      <c r="AI189" s="235">
        <v>1.18</v>
      </c>
      <c r="AK189" s="152">
        <f t="shared" ref="AK189:AK196" si="126">ROUND(W189*AI189,2)</f>
        <v>790.6</v>
      </c>
      <c r="AM189" s="239">
        <v>1.034</v>
      </c>
      <c r="AN189" s="243">
        <v>-0.14119999999999999</v>
      </c>
      <c r="AO189" s="240" t="e">
        <f>#REF!-AM189</f>
        <v>#REF!</v>
      </c>
      <c r="AQ189" s="241">
        <f t="shared" ref="AQ189:AQ197" si="127">Y189-AN189</f>
        <v>0.62230000000000008</v>
      </c>
      <c r="AR189" s="382">
        <v>243</v>
      </c>
      <c r="AS189" s="388" t="b">
        <f t="shared" ref="AS189:AS197" si="128">W189=AR189</f>
        <v>0</v>
      </c>
      <c r="AT189" s="411" t="e">
        <f>ROUND(W189/T189*100-100,2)+#REF!</f>
        <v>#REF!</v>
      </c>
      <c r="AW189">
        <f t="shared" ref="AW189:AW197" si="129">ROUND(T189/W189,3)</f>
        <v>1</v>
      </c>
    </row>
    <row r="190" spans="1:49" ht="23.25" customHeight="1" x14ac:dyDescent="0.3">
      <c r="A190" s="587" t="s">
        <v>501</v>
      </c>
      <c r="B190" s="587" t="s">
        <v>220</v>
      </c>
      <c r="C190" s="585" t="s">
        <v>62</v>
      </c>
      <c r="D190" s="583" t="s">
        <v>193</v>
      </c>
      <c r="E190" s="588" t="s">
        <v>169</v>
      </c>
      <c r="F190" s="583">
        <f>VLOOKUP(E190,'условия, ФОТ'!$A$14:$I$28,9, FALSE)</f>
        <v>326.24</v>
      </c>
      <c r="G190" s="591">
        <v>0.3</v>
      </c>
      <c r="H190" s="583">
        <f t="shared" si="107"/>
        <v>97.87</v>
      </c>
      <c r="I190" s="583">
        <f t="shared" si="30"/>
        <v>29.56</v>
      </c>
      <c r="J190" s="583">
        <f t="shared" si="103"/>
        <v>127.43</v>
      </c>
      <c r="K190" s="589"/>
      <c r="L190" s="583"/>
      <c r="M190" s="583"/>
      <c r="N190" s="583"/>
      <c r="O190" s="583"/>
      <c r="P190" s="583">
        <f t="shared" si="110"/>
        <v>127.43</v>
      </c>
      <c r="Q190" s="583">
        <f t="shared" si="10"/>
        <v>98.76</v>
      </c>
      <c r="R190" s="584">
        <f t="shared" ref="R190:R199" si="130">ROUND(T190/1.2,2)</f>
        <v>333.33</v>
      </c>
      <c r="S190" s="584">
        <f>ROUND(R190*$S$5,2)</f>
        <v>66.67</v>
      </c>
      <c r="T190" s="584">
        <f t="shared" si="123"/>
        <v>400</v>
      </c>
      <c r="U190" s="513">
        <v>174</v>
      </c>
      <c r="V190" s="122">
        <f t="shared" si="55"/>
        <v>129.88505747126436</v>
      </c>
      <c r="W190" s="480">
        <v>400</v>
      </c>
      <c r="X190" s="398">
        <f t="shared" si="120"/>
        <v>271.43</v>
      </c>
      <c r="Y190" s="510">
        <f t="shared" si="124"/>
        <v>0.47370000000000001</v>
      </c>
      <c r="Z190" s="464" t="e">
        <f>#REF!*Y190</f>
        <v>#REF!</v>
      </c>
      <c r="AB190" s="404">
        <v>118.91</v>
      </c>
      <c r="AC190" s="434"/>
      <c r="AD190" s="478">
        <f t="shared" si="125"/>
        <v>226</v>
      </c>
      <c r="AE190" s="394"/>
      <c r="AG190" s="237">
        <v>-0.14269999999999999</v>
      </c>
      <c r="AH190" s="236">
        <f t="shared" si="100"/>
        <v>1.1427</v>
      </c>
      <c r="AI190" s="235">
        <v>1.1819999999999999</v>
      </c>
      <c r="AK190" s="152">
        <f t="shared" si="126"/>
        <v>472.8</v>
      </c>
      <c r="AM190" s="239">
        <v>1.034</v>
      </c>
      <c r="AN190" s="243">
        <v>-0.14269999999999999</v>
      </c>
      <c r="AO190" s="240" t="e">
        <f>#REF!-AM190</f>
        <v>#REF!</v>
      </c>
      <c r="AQ190" s="241">
        <f t="shared" si="127"/>
        <v>0.61640000000000006</v>
      </c>
      <c r="AR190" s="382">
        <v>146</v>
      </c>
      <c r="AS190" s="388" t="b">
        <f t="shared" si="128"/>
        <v>0</v>
      </c>
      <c r="AT190" s="411" t="e">
        <f>ROUND(W190/T190*100-100,2)+#REF!</f>
        <v>#REF!</v>
      </c>
      <c r="AW190">
        <f t="shared" si="129"/>
        <v>1</v>
      </c>
    </row>
    <row r="191" spans="1:49" ht="28.5" customHeight="1" x14ac:dyDescent="0.3">
      <c r="A191" s="587" t="s">
        <v>502</v>
      </c>
      <c r="B191" s="587" t="s">
        <v>221</v>
      </c>
      <c r="C191" s="585" t="s">
        <v>63</v>
      </c>
      <c r="D191" s="583" t="s">
        <v>222</v>
      </c>
      <c r="E191" s="588" t="s">
        <v>169</v>
      </c>
      <c r="F191" s="583">
        <f>VLOOKUP(E191,'условия, ФОТ'!$A$14:$I$28,9, FALSE)</f>
        <v>326.24</v>
      </c>
      <c r="G191" s="591">
        <v>0.67</v>
      </c>
      <c r="H191" s="583">
        <f t="shared" si="107"/>
        <v>218.58</v>
      </c>
      <c r="I191" s="583">
        <f t="shared" si="30"/>
        <v>66.010000000000005</v>
      </c>
      <c r="J191" s="583">
        <f t="shared" si="103"/>
        <v>284.59000000000003</v>
      </c>
      <c r="K191" s="589"/>
      <c r="L191" s="583"/>
      <c r="M191" s="583"/>
      <c r="N191" s="583"/>
      <c r="O191" s="583"/>
      <c r="P191" s="583">
        <f t="shared" si="110"/>
        <v>284.59000000000003</v>
      </c>
      <c r="Q191" s="583">
        <f t="shared" si="10"/>
        <v>220.56</v>
      </c>
      <c r="R191" s="584">
        <f t="shared" si="130"/>
        <v>750</v>
      </c>
      <c r="S191" s="584">
        <f t="shared" si="11"/>
        <v>150</v>
      </c>
      <c r="T191" s="584">
        <f t="shared" si="123"/>
        <v>900</v>
      </c>
      <c r="U191" s="513">
        <v>387</v>
      </c>
      <c r="V191" s="122">
        <f t="shared" si="55"/>
        <v>132.55813953488374</v>
      </c>
      <c r="W191" s="480">
        <v>900</v>
      </c>
      <c r="X191" s="398">
        <f t="shared" si="120"/>
        <v>606.17999999999995</v>
      </c>
      <c r="Y191" s="510">
        <f t="shared" si="124"/>
        <v>0.48470000000000002</v>
      </c>
      <c r="Z191" s="464" t="e">
        <f>#REF!*Y191</f>
        <v>#REF!</v>
      </c>
      <c r="AB191" s="404">
        <v>265.738</v>
      </c>
      <c r="AC191" s="434"/>
      <c r="AD191" s="478">
        <f t="shared" si="125"/>
        <v>513</v>
      </c>
      <c r="AE191" s="394"/>
      <c r="AG191" s="237">
        <v>-0.14219999999999999</v>
      </c>
      <c r="AH191" s="236">
        <f t="shared" si="100"/>
        <v>1.1421999999999999</v>
      </c>
      <c r="AI191" s="235">
        <v>1.181</v>
      </c>
      <c r="AK191" s="152">
        <f t="shared" si="126"/>
        <v>1062.9000000000001</v>
      </c>
      <c r="AM191" s="239">
        <v>1.034</v>
      </c>
      <c r="AN191" s="243">
        <v>-0.14219999999999999</v>
      </c>
      <c r="AO191" s="240" t="e">
        <f>#REF!-AM191</f>
        <v>#REF!</v>
      </c>
      <c r="AQ191" s="241">
        <f t="shared" si="127"/>
        <v>0.62690000000000001</v>
      </c>
      <c r="AR191" s="382">
        <v>325</v>
      </c>
      <c r="AS191" s="388" t="b">
        <f t="shared" si="128"/>
        <v>0</v>
      </c>
      <c r="AT191" s="411" t="e">
        <f>ROUND(W191/T191*100-100,2)+#REF!</f>
        <v>#REF!</v>
      </c>
      <c r="AW191">
        <f t="shared" si="129"/>
        <v>1</v>
      </c>
    </row>
    <row r="192" spans="1:49" x14ac:dyDescent="0.3">
      <c r="A192" s="587" t="s">
        <v>503</v>
      </c>
      <c r="B192" s="587" t="s">
        <v>223</v>
      </c>
      <c r="C192" s="585" t="s">
        <v>64</v>
      </c>
      <c r="D192" s="583" t="s">
        <v>224</v>
      </c>
      <c r="E192" s="588" t="s">
        <v>169</v>
      </c>
      <c r="F192" s="583">
        <f>VLOOKUP(E192,'условия, ФОТ'!$A$14:$I$28,9, FALSE)</f>
        <v>326.24</v>
      </c>
      <c r="G192" s="591">
        <v>0.17</v>
      </c>
      <c r="H192" s="583">
        <f t="shared" si="107"/>
        <v>55.46</v>
      </c>
      <c r="I192" s="583">
        <f t="shared" si="30"/>
        <v>16.75</v>
      </c>
      <c r="J192" s="583">
        <f t="shared" si="103"/>
        <v>72.210000000000008</v>
      </c>
      <c r="K192" s="589"/>
      <c r="L192" s="583"/>
      <c r="M192" s="583"/>
      <c r="N192" s="583"/>
      <c r="O192" s="583"/>
      <c r="P192" s="583">
        <f t="shared" si="110"/>
        <v>72.210000000000008</v>
      </c>
      <c r="Q192" s="583">
        <f t="shared" si="10"/>
        <v>55.96</v>
      </c>
      <c r="R192" s="584">
        <f t="shared" si="130"/>
        <v>191.67</v>
      </c>
      <c r="S192" s="584">
        <f t="shared" si="11"/>
        <v>38.33</v>
      </c>
      <c r="T192" s="584">
        <f t="shared" si="123"/>
        <v>230</v>
      </c>
      <c r="U192" s="513">
        <v>98</v>
      </c>
      <c r="V192" s="122">
        <f t="shared" si="55"/>
        <v>134.69387755102042</v>
      </c>
      <c r="W192" s="480">
        <v>230</v>
      </c>
      <c r="X192" s="398">
        <f t="shared" si="120"/>
        <v>153.80000000000001</v>
      </c>
      <c r="Y192" s="510">
        <f t="shared" si="124"/>
        <v>0.49540000000000001</v>
      </c>
      <c r="Z192" s="464" t="e">
        <f>#REF!*Y192</f>
        <v>#REF!</v>
      </c>
      <c r="AB192" s="404">
        <v>67.210000000000008</v>
      </c>
      <c r="AC192" s="434"/>
      <c r="AD192" s="478">
        <f t="shared" si="125"/>
        <v>132</v>
      </c>
      <c r="AE192" s="394"/>
      <c r="AG192" s="237">
        <v>-0.1449</v>
      </c>
      <c r="AH192" s="236">
        <f t="shared" si="100"/>
        <v>1.1449</v>
      </c>
      <c r="AI192" s="235">
        <v>1.1839999999999999</v>
      </c>
      <c r="AK192" s="152">
        <f t="shared" si="126"/>
        <v>272.32</v>
      </c>
      <c r="AM192" s="239">
        <v>1.034</v>
      </c>
      <c r="AN192" s="243">
        <v>-0.1449</v>
      </c>
      <c r="AO192" s="240" t="e">
        <f>#REF!-AM192</f>
        <v>#REF!</v>
      </c>
      <c r="AQ192" s="241">
        <f t="shared" si="127"/>
        <v>0.64029999999999998</v>
      </c>
      <c r="AR192" s="382">
        <v>82</v>
      </c>
      <c r="AS192" s="388" t="b">
        <f t="shared" si="128"/>
        <v>0</v>
      </c>
      <c r="AT192" s="411" t="e">
        <f>ROUND(W192/T192*100-100,2)+#REF!</f>
        <v>#REF!</v>
      </c>
      <c r="AW192">
        <f t="shared" si="129"/>
        <v>1</v>
      </c>
    </row>
    <row r="193" spans="1:49" x14ac:dyDescent="0.3">
      <c r="A193" s="587" t="s">
        <v>504</v>
      </c>
      <c r="B193" s="587" t="s">
        <v>225</v>
      </c>
      <c r="C193" s="585" t="s">
        <v>65</v>
      </c>
      <c r="D193" s="583" t="s">
        <v>211</v>
      </c>
      <c r="E193" s="588" t="s">
        <v>169</v>
      </c>
      <c r="F193" s="583">
        <f>VLOOKUP(E193,'условия, ФОТ'!$A$14:$I$28,9, FALSE)</f>
        <v>326.24</v>
      </c>
      <c r="G193" s="591">
        <v>0.5</v>
      </c>
      <c r="H193" s="583">
        <f t="shared" si="107"/>
        <v>163.12</v>
      </c>
      <c r="I193" s="583">
        <f t="shared" si="30"/>
        <v>49.26</v>
      </c>
      <c r="J193" s="583">
        <f t="shared" si="103"/>
        <v>212.38</v>
      </c>
      <c r="K193" s="589"/>
      <c r="L193" s="583"/>
      <c r="M193" s="583"/>
      <c r="N193" s="583"/>
      <c r="O193" s="583"/>
      <c r="P193" s="583">
        <f t="shared" si="110"/>
        <v>212.38</v>
      </c>
      <c r="Q193" s="583">
        <f t="shared" si="10"/>
        <v>164.59</v>
      </c>
      <c r="R193" s="584">
        <f t="shared" si="130"/>
        <v>558.33000000000004</v>
      </c>
      <c r="S193" s="584">
        <f>ROUND(R193*$S$5,2)</f>
        <v>111.67</v>
      </c>
      <c r="T193" s="584">
        <f t="shared" si="123"/>
        <v>670</v>
      </c>
      <c r="U193" s="513">
        <v>289</v>
      </c>
      <c r="V193" s="122">
        <f t="shared" si="55"/>
        <v>131.83391003460207</v>
      </c>
      <c r="W193" s="480">
        <v>670</v>
      </c>
      <c r="X193" s="398">
        <f t="shared" si="120"/>
        <v>452.36</v>
      </c>
      <c r="Y193" s="510">
        <f t="shared" si="124"/>
        <v>0.48110000000000003</v>
      </c>
      <c r="Z193" s="464" t="e">
        <f>#REF!*Y193</f>
        <v>#REF!</v>
      </c>
      <c r="AB193" s="404">
        <v>198.52800000000002</v>
      </c>
      <c r="AC193" s="434"/>
      <c r="AD193" s="478">
        <f t="shared" si="125"/>
        <v>381</v>
      </c>
      <c r="AE193" s="394"/>
      <c r="AG193" s="237">
        <v>-0.14119999999999999</v>
      </c>
      <c r="AH193" s="236">
        <f t="shared" si="100"/>
        <v>1.1412</v>
      </c>
      <c r="AI193" s="235">
        <v>1.18</v>
      </c>
      <c r="AK193" s="152">
        <f t="shared" si="126"/>
        <v>790.6</v>
      </c>
      <c r="AM193" s="239">
        <v>1.034</v>
      </c>
      <c r="AN193" s="243">
        <v>-0.14119999999999999</v>
      </c>
      <c r="AO193" s="240" t="e">
        <f>#REF!-AM193</f>
        <v>#REF!</v>
      </c>
      <c r="AQ193" s="241">
        <f t="shared" si="127"/>
        <v>0.62230000000000008</v>
      </c>
      <c r="AR193" s="382">
        <v>243</v>
      </c>
      <c r="AS193" s="388" t="b">
        <f t="shared" si="128"/>
        <v>0</v>
      </c>
      <c r="AT193" s="411" t="e">
        <f>ROUND(W193/T193*100-100,2)+#REF!</f>
        <v>#REF!</v>
      </c>
      <c r="AW193">
        <f t="shared" si="129"/>
        <v>1</v>
      </c>
    </row>
    <row r="194" spans="1:49" x14ac:dyDescent="0.3">
      <c r="A194" s="587" t="s">
        <v>505</v>
      </c>
      <c r="B194" s="587" t="s">
        <v>226</v>
      </c>
      <c r="C194" s="585" t="s">
        <v>66</v>
      </c>
      <c r="D194" s="583" t="s">
        <v>190</v>
      </c>
      <c r="E194" s="588" t="s">
        <v>169</v>
      </c>
      <c r="F194" s="583">
        <f>VLOOKUP(E194,'условия, ФОТ'!$A$14:$I$28,9, FALSE)</f>
        <v>326.24</v>
      </c>
      <c r="G194" s="591">
        <v>0.67</v>
      </c>
      <c r="H194" s="583">
        <f t="shared" si="107"/>
        <v>218.58</v>
      </c>
      <c r="I194" s="583">
        <f t="shared" si="30"/>
        <v>66.010000000000005</v>
      </c>
      <c r="J194" s="583">
        <f t="shared" si="103"/>
        <v>284.59000000000003</v>
      </c>
      <c r="K194" s="589"/>
      <c r="L194" s="583"/>
      <c r="M194" s="583"/>
      <c r="N194" s="583"/>
      <c r="O194" s="583"/>
      <c r="P194" s="583">
        <f t="shared" si="110"/>
        <v>284.59000000000003</v>
      </c>
      <c r="Q194" s="583">
        <f t="shared" si="10"/>
        <v>220.56</v>
      </c>
      <c r="R194" s="584">
        <f t="shared" si="130"/>
        <v>750</v>
      </c>
      <c r="S194" s="584">
        <f t="shared" si="11"/>
        <v>150</v>
      </c>
      <c r="T194" s="584">
        <f t="shared" si="123"/>
        <v>900</v>
      </c>
      <c r="U194" s="513">
        <v>387</v>
      </c>
      <c r="V194" s="122">
        <f t="shared" si="55"/>
        <v>132.55813953488374</v>
      </c>
      <c r="W194" s="480">
        <v>900</v>
      </c>
      <c r="X194" s="398">
        <f t="shared" si="120"/>
        <v>606.17999999999995</v>
      </c>
      <c r="Y194" s="510">
        <f t="shared" si="124"/>
        <v>0.48470000000000002</v>
      </c>
      <c r="Z194" s="464" t="e">
        <f>#REF!*Y194</f>
        <v>#REF!</v>
      </c>
      <c r="AB194" s="404">
        <v>265.738</v>
      </c>
      <c r="AC194" s="434"/>
      <c r="AD194" s="478">
        <f t="shared" si="125"/>
        <v>513</v>
      </c>
      <c r="AE194" s="394"/>
      <c r="AG194" s="237">
        <v>-0.14219999999999999</v>
      </c>
      <c r="AH194" s="236">
        <f t="shared" si="100"/>
        <v>1.1421999999999999</v>
      </c>
      <c r="AI194" s="235">
        <v>1.181</v>
      </c>
      <c r="AK194" s="152">
        <f t="shared" si="126"/>
        <v>1062.9000000000001</v>
      </c>
      <c r="AM194" s="239">
        <v>1.034</v>
      </c>
      <c r="AN194" s="243">
        <v>-0.14219999999999999</v>
      </c>
      <c r="AO194" s="240" t="e">
        <f>#REF!-AM194</f>
        <v>#REF!</v>
      </c>
      <c r="AQ194" s="241">
        <f t="shared" si="127"/>
        <v>0.62690000000000001</v>
      </c>
      <c r="AR194" s="382">
        <v>325</v>
      </c>
      <c r="AS194" s="388" t="b">
        <f t="shared" si="128"/>
        <v>0</v>
      </c>
      <c r="AT194" s="411" t="e">
        <f>ROUND(W194/T194*100-100,2)+#REF!</f>
        <v>#REF!</v>
      </c>
      <c r="AW194">
        <f t="shared" si="129"/>
        <v>1</v>
      </c>
    </row>
    <row r="195" spans="1:49" x14ac:dyDescent="0.3">
      <c r="A195" s="587" t="s">
        <v>506</v>
      </c>
      <c r="B195" s="587" t="s">
        <v>227</v>
      </c>
      <c r="C195" s="585" t="s">
        <v>67</v>
      </c>
      <c r="D195" s="583" t="s">
        <v>228</v>
      </c>
      <c r="E195" s="588" t="s">
        <v>169</v>
      </c>
      <c r="F195" s="583">
        <f>VLOOKUP(E195,'условия, ФОТ'!$A$14:$I$28,9, FALSE)</f>
        <v>326.24</v>
      </c>
      <c r="G195" s="591">
        <v>0.3</v>
      </c>
      <c r="H195" s="583">
        <f t="shared" si="107"/>
        <v>97.87</v>
      </c>
      <c r="I195" s="583">
        <f t="shared" si="30"/>
        <v>29.56</v>
      </c>
      <c r="J195" s="583">
        <f t="shared" si="103"/>
        <v>127.43</v>
      </c>
      <c r="K195" s="589"/>
      <c r="L195" s="583"/>
      <c r="M195" s="583"/>
      <c r="N195" s="583"/>
      <c r="O195" s="583"/>
      <c r="P195" s="583">
        <f t="shared" si="110"/>
        <v>127.43</v>
      </c>
      <c r="Q195" s="583">
        <f t="shared" si="10"/>
        <v>98.76</v>
      </c>
      <c r="R195" s="584">
        <f t="shared" si="130"/>
        <v>333.33</v>
      </c>
      <c r="S195" s="584">
        <f>ROUND(R195*$S$5,2)</f>
        <v>66.67</v>
      </c>
      <c r="T195" s="584">
        <f t="shared" si="123"/>
        <v>400</v>
      </c>
      <c r="U195" s="513">
        <v>174</v>
      </c>
      <c r="V195" s="122">
        <f t="shared" si="55"/>
        <v>129.88505747126436</v>
      </c>
      <c r="W195" s="480">
        <v>400</v>
      </c>
      <c r="X195" s="398">
        <f t="shared" si="120"/>
        <v>271.43</v>
      </c>
      <c r="Y195" s="510">
        <f t="shared" si="124"/>
        <v>0.47370000000000001</v>
      </c>
      <c r="Z195" s="464" t="e">
        <f>#REF!*Y195</f>
        <v>#REF!</v>
      </c>
      <c r="AB195" s="404">
        <v>118.91</v>
      </c>
      <c r="AC195" s="434"/>
      <c r="AD195" s="478">
        <f t="shared" si="125"/>
        <v>226</v>
      </c>
      <c r="AE195" s="394"/>
      <c r="AG195" s="237">
        <v>-0.14269999999999999</v>
      </c>
      <c r="AH195" s="236">
        <f t="shared" si="100"/>
        <v>1.1427</v>
      </c>
      <c r="AI195" s="235">
        <v>1.1819999999999999</v>
      </c>
      <c r="AK195" s="152">
        <f t="shared" si="126"/>
        <v>472.8</v>
      </c>
      <c r="AM195" s="239">
        <v>1.034</v>
      </c>
      <c r="AN195" s="243">
        <v>-0.14269999999999999</v>
      </c>
      <c r="AO195" s="240" t="e">
        <f>#REF!-AM195</f>
        <v>#REF!</v>
      </c>
      <c r="AQ195" s="241">
        <f t="shared" si="127"/>
        <v>0.61640000000000006</v>
      </c>
      <c r="AR195" s="382">
        <v>146</v>
      </c>
      <c r="AS195" s="388" t="b">
        <f t="shared" si="128"/>
        <v>0</v>
      </c>
      <c r="AT195" s="411" t="e">
        <f>ROUND(W195/T195*100-100,2)+#REF!</f>
        <v>#REF!</v>
      </c>
      <c r="AW195">
        <f t="shared" si="129"/>
        <v>1</v>
      </c>
    </row>
    <row r="196" spans="1:49" x14ac:dyDescent="0.3">
      <c r="A196" s="587" t="s">
        <v>507</v>
      </c>
      <c r="B196" s="587" t="s">
        <v>229</v>
      </c>
      <c r="C196" s="585" t="s">
        <v>68</v>
      </c>
      <c r="D196" s="583" t="s">
        <v>228</v>
      </c>
      <c r="E196" s="588" t="s">
        <v>169</v>
      </c>
      <c r="F196" s="583">
        <f>VLOOKUP(E196,'условия, ФОТ'!$A$14:$I$28,9, FALSE)</f>
        <v>326.24</v>
      </c>
      <c r="G196" s="591">
        <v>0.25</v>
      </c>
      <c r="H196" s="583">
        <f t="shared" si="107"/>
        <v>81.56</v>
      </c>
      <c r="I196" s="583">
        <f t="shared" si="30"/>
        <v>24.63</v>
      </c>
      <c r="J196" s="583">
        <f t="shared" si="103"/>
        <v>106.19</v>
      </c>
      <c r="K196" s="589"/>
      <c r="L196" s="583"/>
      <c r="M196" s="583"/>
      <c r="N196" s="583"/>
      <c r="O196" s="583"/>
      <c r="P196" s="583">
        <f t="shared" si="110"/>
        <v>106.19</v>
      </c>
      <c r="Q196" s="583">
        <f t="shared" si="10"/>
        <v>82.3</v>
      </c>
      <c r="R196" s="584">
        <f t="shared" si="130"/>
        <v>225</v>
      </c>
      <c r="S196" s="584">
        <f t="shared" si="11"/>
        <v>45</v>
      </c>
      <c r="T196" s="584">
        <f t="shared" si="123"/>
        <v>270</v>
      </c>
      <c r="U196" s="513">
        <v>144</v>
      </c>
      <c r="V196" s="122">
        <f t="shared" si="55"/>
        <v>87.5</v>
      </c>
      <c r="W196" s="480">
        <v>270</v>
      </c>
      <c r="X196" s="398">
        <f t="shared" si="120"/>
        <v>226.19</v>
      </c>
      <c r="Y196" s="510">
        <f t="shared" si="124"/>
        <v>0.19370000000000001</v>
      </c>
      <c r="Z196" s="464" t="e">
        <f>#REF!*Y196</f>
        <v>#REF!</v>
      </c>
      <c r="AB196" s="404">
        <v>99.26400000000001</v>
      </c>
      <c r="AC196" s="434"/>
      <c r="AD196" s="478">
        <f t="shared" si="125"/>
        <v>126</v>
      </c>
      <c r="AE196" s="394"/>
      <c r="AG196" s="237">
        <v>-0.14130000000000001</v>
      </c>
      <c r="AH196" s="236">
        <f t="shared" si="100"/>
        <v>1.1413</v>
      </c>
      <c r="AI196" s="235">
        <v>1.18</v>
      </c>
      <c r="AK196" s="152">
        <f t="shared" si="126"/>
        <v>318.60000000000002</v>
      </c>
      <c r="AM196" s="239">
        <v>1.034</v>
      </c>
      <c r="AN196" s="243">
        <v>-0.14130000000000001</v>
      </c>
      <c r="AO196" s="240" t="e">
        <f>#REF!-AM196</f>
        <v>#REF!</v>
      </c>
      <c r="AQ196" s="241">
        <f t="shared" si="127"/>
        <v>0.33500000000000002</v>
      </c>
      <c r="AR196" s="382">
        <v>121</v>
      </c>
      <c r="AS196" s="388" t="b">
        <f t="shared" si="128"/>
        <v>0</v>
      </c>
      <c r="AT196" s="411" t="e">
        <f>ROUND(W196/T196*100-100,2)+#REF!</f>
        <v>#REF!</v>
      </c>
      <c r="AW196">
        <f t="shared" si="129"/>
        <v>1</v>
      </c>
    </row>
    <row r="197" spans="1:49" s="117" customFormat="1" ht="41.25" customHeight="1" x14ac:dyDescent="0.3">
      <c r="A197" s="587" t="s">
        <v>640</v>
      </c>
      <c r="B197" s="587" t="s">
        <v>229</v>
      </c>
      <c r="C197" s="585" t="s">
        <v>641</v>
      </c>
      <c r="D197" s="583" t="s">
        <v>228</v>
      </c>
      <c r="E197" s="588" t="s">
        <v>169</v>
      </c>
      <c r="F197" s="583">
        <f>VLOOKUP(E197,'условия, ФОТ'!$A$14:$I$28,9, FALSE)</f>
        <v>326.24</v>
      </c>
      <c r="G197" s="591">
        <v>0.25</v>
      </c>
      <c r="H197" s="583">
        <f t="shared" si="107"/>
        <v>81.56</v>
      </c>
      <c r="I197" s="583">
        <f t="shared" si="30"/>
        <v>24.63</v>
      </c>
      <c r="J197" s="583">
        <f t="shared" si="103"/>
        <v>106.19</v>
      </c>
      <c r="K197" s="589"/>
      <c r="L197" s="583"/>
      <c r="M197" s="583"/>
      <c r="N197" s="583"/>
      <c r="O197" s="583">
        <f>SUM(O198)</f>
        <v>291.67</v>
      </c>
      <c r="P197" s="583">
        <f t="shared" si="110"/>
        <v>397.86</v>
      </c>
      <c r="Q197" s="583">
        <f t="shared" si="10"/>
        <v>308.33999999999997</v>
      </c>
      <c r="R197" s="584">
        <f t="shared" si="130"/>
        <v>843.33</v>
      </c>
      <c r="S197" s="584">
        <f t="shared" si="11"/>
        <v>168.67</v>
      </c>
      <c r="T197" s="584">
        <f>ROUND((P197+Q197)*(1+Y197)*1.2,0)</f>
        <v>1012</v>
      </c>
      <c r="U197" s="513">
        <v>747</v>
      </c>
      <c r="V197" s="122"/>
      <c r="W197" s="480">
        <v>0</v>
      </c>
      <c r="X197" s="398">
        <f t="shared" si="120"/>
        <v>847.44</v>
      </c>
      <c r="Y197" s="476">
        <f>Y196</f>
        <v>0.19370000000000001</v>
      </c>
      <c r="Z197" s="464" t="e">
        <f>#REF!*Y197</f>
        <v>#REF!</v>
      </c>
      <c r="AA197" s="453"/>
      <c r="AB197" s="408">
        <v>323.642</v>
      </c>
      <c r="AC197" s="387"/>
      <c r="AD197" s="478">
        <f t="shared" si="125"/>
        <v>265</v>
      </c>
      <c r="AE197" s="394"/>
      <c r="AG197" s="164">
        <v>0.1101</v>
      </c>
      <c r="AH197" s="236">
        <f t="shared" si="100"/>
        <v>0.1101</v>
      </c>
      <c r="AI197" s="236">
        <v>0</v>
      </c>
      <c r="AK197" s="152"/>
      <c r="AL197" s="245"/>
      <c r="AM197" s="164">
        <v>1.034</v>
      </c>
      <c r="AN197" s="19">
        <v>0.1101</v>
      </c>
      <c r="AO197" s="240" t="e">
        <f>#REF!-AM197</f>
        <v>#REF!</v>
      </c>
      <c r="AQ197" s="241">
        <f t="shared" si="127"/>
        <v>8.3600000000000008E-2</v>
      </c>
      <c r="AR197" s="387">
        <v>324</v>
      </c>
      <c r="AS197" s="388" t="b">
        <f t="shared" si="128"/>
        <v>0</v>
      </c>
      <c r="AT197" s="411" t="e">
        <f>ROUND(W197/T197*100-100,2)+#REF!</f>
        <v>#REF!</v>
      </c>
      <c r="AU197"/>
      <c r="AV197"/>
      <c r="AW197" t="e">
        <f t="shared" si="129"/>
        <v>#DIV/0!</v>
      </c>
    </row>
    <row r="198" spans="1:49" s="117" customFormat="1" ht="58.5" customHeight="1" x14ac:dyDescent="0.3">
      <c r="A198" s="587"/>
      <c r="B198" s="587"/>
      <c r="C198" s="585"/>
      <c r="D198" s="583"/>
      <c r="E198" s="588"/>
      <c r="F198" s="583"/>
      <c r="G198" s="591"/>
      <c r="H198" s="583"/>
      <c r="I198" s="583"/>
      <c r="J198" s="540" t="s">
        <v>385</v>
      </c>
      <c r="K198" s="585" t="s">
        <v>642</v>
      </c>
      <c r="L198" s="583" t="s">
        <v>27</v>
      </c>
      <c r="M198" s="583">
        <f>VLOOKUP(K198,материалы!$A$5:$G$34,7, FALSE)</f>
        <v>291.67</v>
      </c>
      <c r="N198" s="583">
        <v>1</v>
      </c>
      <c r="O198" s="583">
        <f>ROUND(M198*N198,2)</f>
        <v>291.67</v>
      </c>
      <c r="P198" s="583"/>
      <c r="Q198" s="583"/>
      <c r="R198" s="584"/>
      <c r="S198" s="584"/>
      <c r="T198" s="584"/>
      <c r="U198" s="513">
        <v>0</v>
      </c>
      <c r="V198" s="122"/>
      <c r="W198" s="480">
        <v>0</v>
      </c>
      <c r="X198" s="398">
        <f t="shared" si="120"/>
        <v>0</v>
      </c>
      <c r="Y198" s="474"/>
      <c r="Z198" s="464"/>
      <c r="AA198" s="447"/>
      <c r="AB198" s="408"/>
      <c r="AC198" s="387"/>
      <c r="AD198" s="482"/>
      <c r="AE198" s="394"/>
      <c r="AG198" s="164"/>
      <c r="AH198" s="236"/>
      <c r="AI198" s="235"/>
      <c r="AK198" s="152"/>
      <c r="AL198" s="245"/>
      <c r="AM198" s="164"/>
      <c r="AN198" s="19"/>
      <c r="AO198" s="240"/>
      <c r="AQ198" s="241"/>
      <c r="AR198" s="387"/>
      <c r="AS198" s="388"/>
      <c r="AT198" s="411"/>
      <c r="AU198"/>
      <c r="AV198"/>
      <c r="AW198"/>
    </row>
    <row r="199" spans="1:49" ht="15.75" customHeight="1" x14ac:dyDescent="0.3">
      <c r="A199" s="587" t="s">
        <v>508</v>
      </c>
      <c r="B199" s="587" t="s">
        <v>230</v>
      </c>
      <c r="C199" s="585" t="s">
        <v>69</v>
      </c>
      <c r="D199" s="583" t="s">
        <v>217</v>
      </c>
      <c r="E199" s="588" t="s">
        <v>169</v>
      </c>
      <c r="F199" s="583">
        <f>VLOOKUP(E199,'условия, ФОТ'!$A$14:$I$28,9, FALSE)</f>
        <v>326.24</v>
      </c>
      <c r="G199" s="591">
        <v>0.6</v>
      </c>
      <c r="H199" s="583">
        <f t="shared" si="107"/>
        <v>195.74</v>
      </c>
      <c r="I199" s="583">
        <f t="shared" si="30"/>
        <v>59.11</v>
      </c>
      <c r="J199" s="583">
        <f t="shared" si="103"/>
        <v>254.85000000000002</v>
      </c>
      <c r="K199" s="589"/>
      <c r="L199" s="583"/>
      <c r="M199" s="583"/>
      <c r="N199" s="583"/>
      <c r="O199" s="583">
        <f>SUM(O200:O203)</f>
        <v>7.75</v>
      </c>
      <c r="P199" s="583">
        <f t="shared" si="110"/>
        <v>262.60000000000002</v>
      </c>
      <c r="Q199" s="583">
        <f t="shared" si="10"/>
        <v>203.52</v>
      </c>
      <c r="R199" s="584">
        <f t="shared" si="130"/>
        <v>536.66999999999996</v>
      </c>
      <c r="S199" s="584">
        <f t="shared" si="11"/>
        <v>107.33</v>
      </c>
      <c r="T199" s="584">
        <f>ROUND((P199+Q199)*(1+Y199)*1.2,0)</f>
        <v>644</v>
      </c>
      <c r="U199" s="513">
        <v>382</v>
      </c>
      <c r="V199" s="122">
        <f t="shared" si="55"/>
        <v>68.58638743455495</v>
      </c>
      <c r="W199" s="480">
        <v>0</v>
      </c>
      <c r="X199" s="398">
        <f t="shared" si="120"/>
        <v>559.34</v>
      </c>
      <c r="Y199" s="474">
        <v>0.1507</v>
      </c>
      <c r="Z199" s="464" t="e">
        <f>#REF!*Y199</f>
        <v>#REF!</v>
      </c>
      <c r="AB199" s="404">
        <v>268.84000000000003</v>
      </c>
      <c r="AC199" s="434"/>
      <c r="AD199" s="478">
        <f>T199-U199</f>
        <v>262</v>
      </c>
      <c r="AE199" s="394"/>
      <c r="AG199" s="237">
        <v>-0.1226</v>
      </c>
      <c r="AH199" s="236">
        <f t="shared" si="100"/>
        <v>1.1226</v>
      </c>
      <c r="AI199" s="235">
        <v>1.161</v>
      </c>
      <c r="AK199" s="152">
        <f>ROUND(W199*AI199,2)</f>
        <v>0</v>
      </c>
      <c r="AM199" s="239">
        <v>1.034</v>
      </c>
      <c r="AN199" s="243">
        <v>-0.1226</v>
      </c>
      <c r="AO199" s="240" t="e">
        <f>#REF!-AM199</f>
        <v>#REF!</v>
      </c>
      <c r="AQ199" s="241">
        <f>Y199-AN199</f>
        <v>0.27329999999999999</v>
      </c>
      <c r="AR199" s="382">
        <v>322</v>
      </c>
      <c r="AS199" s="388" t="b">
        <f>W199=AR199</f>
        <v>0</v>
      </c>
      <c r="AT199" s="411" t="e">
        <f>ROUND(W199/T199*100-100,2)+#REF!</f>
        <v>#REF!</v>
      </c>
      <c r="AW199" t="e">
        <f>ROUND(T199/W199,3)</f>
        <v>#DIV/0!</v>
      </c>
    </row>
    <row r="200" spans="1:49" ht="25.5" outlineLevel="1" x14ac:dyDescent="0.3">
      <c r="A200" s="587"/>
      <c r="B200" s="587"/>
      <c r="C200" s="585"/>
      <c r="D200" s="583"/>
      <c r="E200" s="588"/>
      <c r="F200" s="583"/>
      <c r="G200" s="591"/>
      <c r="H200" s="583"/>
      <c r="I200" s="583"/>
      <c r="J200" s="540" t="s">
        <v>385</v>
      </c>
      <c r="K200" s="545" t="s">
        <v>341</v>
      </c>
      <c r="L200" s="591" t="str">
        <f>VLOOKUP(K200,материалы!$A$5:$G$31,5, FALSE)</f>
        <v>кг</v>
      </c>
      <c r="M200" s="583">
        <f>VLOOKUP(K200,материалы!$A$5:$G$34,7, FALSE)</f>
        <v>950</v>
      </c>
      <c r="N200" s="583">
        <v>5.0000000000000001E-3</v>
      </c>
      <c r="O200" s="583">
        <f>ROUND(M200*N200,2)</f>
        <v>4.75</v>
      </c>
      <c r="P200" s="583"/>
      <c r="Q200" s="583"/>
      <c r="R200" s="584"/>
      <c r="S200" s="584"/>
      <c r="T200" s="584"/>
      <c r="U200" s="513">
        <v>0</v>
      </c>
      <c r="V200" s="122"/>
      <c r="W200" s="480">
        <v>0</v>
      </c>
      <c r="X200" s="398">
        <f t="shared" si="120"/>
        <v>0</v>
      </c>
      <c r="Y200" s="474"/>
      <c r="Z200" s="464"/>
      <c r="AC200" s="434"/>
      <c r="AD200" s="482"/>
      <c r="AE200" s="394"/>
      <c r="AG200" s="237"/>
      <c r="AH200" s="236"/>
      <c r="AI200" s="235"/>
      <c r="AK200" s="152"/>
      <c r="AM200" s="239"/>
      <c r="AN200" s="243"/>
      <c r="AO200" s="240"/>
      <c r="AQ200" s="241"/>
      <c r="AR200" s="382"/>
      <c r="AT200" s="411"/>
    </row>
    <row r="201" spans="1:49" outlineLevel="1" x14ac:dyDescent="0.3">
      <c r="A201" s="587"/>
      <c r="B201" s="587"/>
      <c r="C201" s="585"/>
      <c r="D201" s="583"/>
      <c r="E201" s="588"/>
      <c r="F201" s="583"/>
      <c r="G201" s="591"/>
      <c r="H201" s="583"/>
      <c r="I201" s="583"/>
      <c r="J201" s="583"/>
      <c r="K201" s="541" t="s">
        <v>335</v>
      </c>
      <c r="L201" s="591" t="str">
        <f>VLOOKUP(K201,материалы!$A$5:$G$31,5, FALSE)</f>
        <v>кг</v>
      </c>
      <c r="M201" s="583">
        <f>VLOOKUP(K201,материалы!$A$5:$G$34,7, FALSE)</f>
        <v>95</v>
      </c>
      <c r="N201" s="583">
        <v>1E-3</v>
      </c>
      <c r="O201" s="583">
        <f t="shared" ref="O201:O203" si="131">ROUND(M201*N201,2)</f>
        <v>0.1</v>
      </c>
      <c r="P201" s="583"/>
      <c r="Q201" s="583"/>
      <c r="R201" s="584"/>
      <c r="S201" s="584"/>
      <c r="T201" s="584"/>
      <c r="U201" s="513">
        <v>0</v>
      </c>
      <c r="V201" s="122"/>
      <c r="W201" s="480">
        <v>0</v>
      </c>
      <c r="X201" s="398">
        <f t="shared" si="120"/>
        <v>0</v>
      </c>
      <c r="Y201" s="474"/>
      <c r="Z201" s="464"/>
      <c r="AC201" s="434"/>
      <c r="AD201" s="482"/>
      <c r="AE201" s="394"/>
      <c r="AG201" s="237"/>
      <c r="AH201" s="236"/>
      <c r="AI201" s="235"/>
      <c r="AK201" s="152"/>
      <c r="AM201" s="239"/>
      <c r="AN201" s="243"/>
      <c r="AO201" s="240"/>
      <c r="AQ201" s="241"/>
      <c r="AR201" s="382"/>
      <c r="AT201" s="411"/>
    </row>
    <row r="202" spans="1:49" outlineLevel="1" x14ac:dyDescent="0.3">
      <c r="A202" s="587"/>
      <c r="B202" s="587"/>
      <c r="C202" s="585"/>
      <c r="D202" s="583"/>
      <c r="E202" s="588"/>
      <c r="F202" s="583"/>
      <c r="G202" s="591"/>
      <c r="H202" s="583"/>
      <c r="I202" s="583"/>
      <c r="J202" s="583"/>
      <c r="K202" s="541" t="s">
        <v>336</v>
      </c>
      <c r="L202" s="591" t="str">
        <f>VLOOKUP(K202,материалы!$A$5:$G$31,5, FALSE)</f>
        <v>кг</v>
      </c>
      <c r="M202" s="583">
        <f>VLOOKUP(K202,материалы!$A$5:$G$34,7, FALSE)</f>
        <v>80</v>
      </c>
      <c r="N202" s="583">
        <v>0.01</v>
      </c>
      <c r="O202" s="583">
        <f t="shared" si="131"/>
        <v>0.8</v>
      </c>
      <c r="P202" s="583"/>
      <c r="Q202" s="583"/>
      <c r="R202" s="584"/>
      <c r="S202" s="584"/>
      <c r="T202" s="584"/>
      <c r="U202" s="513">
        <v>0</v>
      </c>
      <c r="V202" s="122"/>
      <c r="W202" s="480">
        <v>0</v>
      </c>
      <c r="X202" s="398">
        <f t="shared" si="120"/>
        <v>0</v>
      </c>
      <c r="Y202" s="474"/>
      <c r="Z202" s="464"/>
      <c r="AC202" s="434"/>
      <c r="AD202" s="482"/>
      <c r="AE202" s="394"/>
      <c r="AG202" s="237"/>
      <c r="AH202" s="236"/>
      <c r="AI202" s="235"/>
      <c r="AK202" s="152"/>
      <c r="AM202" s="239"/>
      <c r="AN202" s="243"/>
      <c r="AO202" s="240"/>
      <c r="AQ202" s="241"/>
      <c r="AR202" s="382"/>
      <c r="AT202" s="411"/>
    </row>
    <row r="203" spans="1:49" ht="25.5" outlineLevel="1" x14ac:dyDescent="0.3">
      <c r="A203" s="587"/>
      <c r="B203" s="587"/>
      <c r="C203" s="585"/>
      <c r="D203" s="583"/>
      <c r="E203" s="588"/>
      <c r="F203" s="583"/>
      <c r="G203" s="591"/>
      <c r="H203" s="583"/>
      <c r="I203" s="583"/>
      <c r="J203" s="583"/>
      <c r="K203" s="541" t="s">
        <v>338</v>
      </c>
      <c r="L203" s="591" t="str">
        <f>VLOOKUP(K203,материалы!$A$5:$G$31,5, FALSE)</f>
        <v>шт.</v>
      </c>
      <c r="M203" s="583">
        <f>VLOOKUP(K203,материалы!$A$5:$G$34,7, FALSE)</f>
        <v>2.1</v>
      </c>
      <c r="N203" s="583">
        <v>1</v>
      </c>
      <c r="O203" s="583">
        <f t="shared" si="131"/>
        <v>2.1</v>
      </c>
      <c r="P203" s="583"/>
      <c r="Q203" s="583"/>
      <c r="R203" s="584"/>
      <c r="S203" s="584"/>
      <c r="T203" s="584"/>
      <c r="U203" s="513">
        <v>0</v>
      </c>
      <c r="V203" s="122"/>
      <c r="W203" s="480">
        <v>0</v>
      </c>
      <c r="X203" s="398">
        <f t="shared" si="120"/>
        <v>0</v>
      </c>
      <c r="Y203" s="474"/>
      <c r="Z203" s="464"/>
      <c r="AC203" s="434"/>
      <c r="AD203" s="482"/>
      <c r="AE203" s="394"/>
      <c r="AG203" s="237"/>
      <c r="AH203" s="236"/>
      <c r="AI203" s="235"/>
      <c r="AK203" s="152"/>
      <c r="AM203" s="239"/>
      <c r="AN203" s="243"/>
      <c r="AO203" s="240"/>
      <c r="AQ203" s="241"/>
      <c r="AR203" s="382"/>
      <c r="AT203" s="411"/>
    </row>
    <row r="204" spans="1:49" ht="25.5" x14ac:dyDescent="0.3">
      <c r="A204" s="587" t="s">
        <v>627</v>
      </c>
      <c r="B204" s="587" t="s">
        <v>230</v>
      </c>
      <c r="C204" s="585" t="s">
        <v>628</v>
      </c>
      <c r="D204" s="583" t="s">
        <v>217</v>
      </c>
      <c r="E204" s="588" t="s">
        <v>169</v>
      </c>
      <c r="F204" s="583">
        <f>VLOOKUP(E204,'условия, ФОТ'!$A$14:$I$28,9, FALSE)</f>
        <v>326.24</v>
      </c>
      <c r="G204" s="591">
        <v>0.6</v>
      </c>
      <c r="H204" s="583">
        <f t="shared" ref="H204" si="132">ROUND(F204*G204,2)</f>
        <v>195.74</v>
      </c>
      <c r="I204" s="583">
        <f t="shared" ref="I204" si="133">ROUND(H204*$I$5,2)</f>
        <v>59.11</v>
      </c>
      <c r="J204" s="583">
        <f t="shared" ref="J204" si="134">H204+I204</f>
        <v>254.85000000000002</v>
      </c>
      <c r="K204" s="589"/>
      <c r="L204" s="583"/>
      <c r="M204" s="583"/>
      <c r="N204" s="583"/>
      <c r="O204" s="583">
        <f>SUM(O205:O210)</f>
        <v>112.74999999999999</v>
      </c>
      <c r="P204" s="583">
        <f t="shared" ref="P204" si="135">J204+O204</f>
        <v>367.6</v>
      </c>
      <c r="Q204" s="583">
        <f t="shared" ref="Q204" si="136">ROUND(P204*$Q$5,2)</f>
        <v>284.89</v>
      </c>
      <c r="R204" s="584">
        <f t="shared" ref="R204" si="137">ROUND(T204/1.2,2)</f>
        <v>689.17</v>
      </c>
      <c r="S204" s="584">
        <f t="shared" ref="S204" si="138">ROUND(R204*$S$5,2)</f>
        <v>137.83000000000001</v>
      </c>
      <c r="T204" s="584">
        <f>ROUND((P204+Q204)*(1+Y204)*1.2,0)</f>
        <v>827</v>
      </c>
      <c r="U204" s="513">
        <v>449</v>
      </c>
      <c r="V204" s="122">
        <f t="shared" si="55"/>
        <v>84.187082405345194</v>
      </c>
      <c r="W204" s="480">
        <v>0</v>
      </c>
      <c r="X204" s="398">
        <f t="shared" si="120"/>
        <v>782.99</v>
      </c>
      <c r="Y204" s="474">
        <v>5.6000000000000001E-2</v>
      </c>
      <c r="Z204" s="464" t="e">
        <f>#REF!*Y204</f>
        <v>#REF!</v>
      </c>
      <c r="AB204" s="404">
        <v>358.798</v>
      </c>
      <c r="AC204" s="434"/>
      <c r="AD204" s="478">
        <f>T204-U204</f>
        <v>378</v>
      </c>
      <c r="AE204" s="394"/>
      <c r="AG204" s="237">
        <v>-3.5700000000000003E-2</v>
      </c>
      <c r="AH204" s="236">
        <f t="shared" ref="AH204:AH264" si="139">IF(AG204&lt;0,-AG204+1,AG204)</f>
        <v>1.0357000000000001</v>
      </c>
      <c r="AI204" s="235">
        <v>1.071</v>
      </c>
      <c r="AK204" s="152">
        <f>ROUND(W204*AI204,2)</f>
        <v>0</v>
      </c>
      <c r="AM204" s="239">
        <v>1.034</v>
      </c>
      <c r="AN204" s="243">
        <v>-3.5700000000000003E-2</v>
      </c>
      <c r="AO204" s="240" t="e">
        <f>#REF!-AM204</f>
        <v>#REF!</v>
      </c>
      <c r="AQ204" s="241">
        <f>Y204-AN204</f>
        <v>9.1700000000000004E-2</v>
      </c>
      <c r="AR204" s="382">
        <v>390</v>
      </c>
      <c r="AS204" s="388" t="b">
        <f>W204=AR204</f>
        <v>0</v>
      </c>
      <c r="AT204" s="411" t="e">
        <f>ROUND(W204/T204*100-100,2)+#REF!</f>
        <v>#REF!</v>
      </c>
      <c r="AW204" t="e">
        <f>ROUND(T204/W204,3)</f>
        <v>#DIV/0!</v>
      </c>
    </row>
    <row r="205" spans="1:49" x14ac:dyDescent="0.3">
      <c r="A205" s="587"/>
      <c r="B205" s="587"/>
      <c r="C205" s="585"/>
      <c r="D205" s="583"/>
      <c r="E205" s="588"/>
      <c r="F205" s="583"/>
      <c r="G205" s="591"/>
      <c r="H205" s="583"/>
      <c r="I205" s="583"/>
      <c r="J205" s="540" t="s">
        <v>385</v>
      </c>
      <c r="K205" s="589" t="s">
        <v>217</v>
      </c>
      <c r="L205" s="583" t="s">
        <v>36</v>
      </c>
      <c r="M205" s="583">
        <f>VLOOKUP(K205,материалы!$A$5:$G$34,7, FALSE)</f>
        <v>45</v>
      </c>
      <c r="N205" s="583">
        <v>1</v>
      </c>
      <c r="O205" s="583">
        <f>ROUND(M205*N205,2)</f>
        <v>45</v>
      </c>
      <c r="P205" s="583"/>
      <c r="Q205" s="583"/>
      <c r="R205" s="584"/>
      <c r="S205" s="584"/>
      <c r="T205" s="584"/>
      <c r="U205" s="513">
        <v>0</v>
      </c>
      <c r="V205" s="122"/>
      <c r="W205" s="480">
        <v>0</v>
      </c>
      <c r="X205" s="398">
        <f t="shared" si="120"/>
        <v>0</v>
      </c>
      <c r="Y205" s="474"/>
      <c r="Z205" s="464"/>
      <c r="AC205" s="434"/>
      <c r="AD205" s="482"/>
      <c r="AE205" s="394"/>
      <c r="AG205" s="237"/>
      <c r="AH205" s="236"/>
      <c r="AI205" s="235"/>
      <c r="AK205" s="152"/>
      <c r="AM205" s="239"/>
      <c r="AN205" s="243"/>
      <c r="AO205" s="240"/>
      <c r="AQ205" s="241"/>
      <c r="AR205" s="382"/>
      <c r="AT205" s="411"/>
    </row>
    <row r="206" spans="1:49" x14ac:dyDescent="0.3">
      <c r="A206" s="587"/>
      <c r="B206" s="587"/>
      <c r="C206" s="585"/>
      <c r="D206" s="583"/>
      <c r="E206" s="588"/>
      <c r="F206" s="583"/>
      <c r="G206" s="591"/>
      <c r="H206" s="583"/>
      <c r="I206" s="583"/>
      <c r="J206" s="583"/>
      <c r="K206" s="589" t="s">
        <v>630</v>
      </c>
      <c r="L206" s="583" t="s">
        <v>27</v>
      </c>
      <c r="M206" s="583">
        <f>материалы!G27</f>
        <v>30</v>
      </c>
      <c r="N206" s="583">
        <v>2</v>
      </c>
      <c r="O206" s="583">
        <f>ROUND(M206*N206,2)</f>
        <v>60</v>
      </c>
      <c r="P206" s="583"/>
      <c r="Q206" s="583"/>
      <c r="R206" s="584"/>
      <c r="S206" s="584"/>
      <c r="T206" s="584"/>
      <c r="U206" s="513">
        <v>0</v>
      </c>
      <c r="V206" s="122"/>
      <c r="W206" s="480">
        <v>0</v>
      </c>
      <c r="X206" s="398">
        <f t="shared" si="120"/>
        <v>0</v>
      </c>
      <c r="Y206" s="474"/>
      <c r="Z206" s="464"/>
      <c r="AC206" s="434"/>
      <c r="AD206" s="482"/>
      <c r="AE206" s="394"/>
      <c r="AG206" s="237"/>
      <c r="AH206" s="236"/>
      <c r="AI206" s="235"/>
      <c r="AK206" s="152"/>
      <c r="AM206" s="239"/>
      <c r="AN206" s="243"/>
      <c r="AO206" s="240"/>
      <c r="AQ206" s="241"/>
      <c r="AR206" s="382"/>
      <c r="AT206" s="411"/>
    </row>
    <row r="207" spans="1:49" ht="25.5" x14ac:dyDescent="0.3">
      <c r="A207" s="587"/>
      <c r="B207" s="587"/>
      <c r="C207" s="585"/>
      <c r="D207" s="583"/>
      <c r="E207" s="588"/>
      <c r="F207" s="583"/>
      <c r="G207" s="591"/>
      <c r="H207" s="583"/>
      <c r="I207" s="583"/>
      <c r="J207" s="540" t="s">
        <v>385</v>
      </c>
      <c r="K207" s="545" t="s">
        <v>341</v>
      </c>
      <c r="L207" s="591" t="str">
        <f>VLOOKUP(K207,[2]материалы!$A$5:$G$31,5, FALSE)</f>
        <v>кг</v>
      </c>
      <c r="M207" s="583">
        <f>VLOOKUP(K207,материалы!$A$5:$G$34,7, FALSE)</f>
        <v>950</v>
      </c>
      <c r="N207" s="583">
        <v>5.0000000000000001E-3</v>
      </c>
      <c r="O207" s="583">
        <f>ROUND(M207*N207,2)</f>
        <v>4.75</v>
      </c>
      <c r="P207" s="583"/>
      <c r="Q207" s="583"/>
      <c r="R207" s="584"/>
      <c r="S207" s="584"/>
      <c r="T207" s="584"/>
      <c r="U207" s="513">
        <v>0</v>
      </c>
      <c r="V207" s="122"/>
      <c r="W207" s="480">
        <v>0</v>
      </c>
      <c r="X207" s="398">
        <f t="shared" si="120"/>
        <v>0</v>
      </c>
      <c r="Y207" s="474"/>
      <c r="Z207" s="464"/>
      <c r="AC207" s="434"/>
      <c r="AD207" s="482"/>
      <c r="AE207" s="394"/>
      <c r="AG207" s="237"/>
      <c r="AH207" s="236"/>
      <c r="AI207" s="235"/>
      <c r="AK207" s="152"/>
      <c r="AM207" s="239"/>
      <c r="AN207" s="243"/>
      <c r="AO207" s="240"/>
      <c r="AQ207" s="241"/>
      <c r="AR207" s="382"/>
      <c r="AT207" s="411"/>
    </row>
    <row r="208" spans="1:49" x14ac:dyDescent="0.3">
      <c r="A208" s="587"/>
      <c r="B208" s="587"/>
      <c r="C208" s="585"/>
      <c r="D208" s="583"/>
      <c r="E208" s="588"/>
      <c r="F208" s="583"/>
      <c r="G208" s="591"/>
      <c r="H208" s="583"/>
      <c r="I208" s="583"/>
      <c r="J208" s="583"/>
      <c r="K208" s="541" t="s">
        <v>335</v>
      </c>
      <c r="L208" s="591" t="str">
        <f>VLOOKUP(K208,[2]материалы!$A$5:$G$31,5, FALSE)</f>
        <v>кг</v>
      </c>
      <c r="M208" s="583">
        <f>VLOOKUP(K208,материалы!$A$5:$G$34,7, FALSE)</f>
        <v>95</v>
      </c>
      <c r="N208" s="583">
        <v>1E-3</v>
      </c>
      <c r="O208" s="583">
        <f t="shared" ref="O208:O210" si="140">ROUND(M208*N208,2)</f>
        <v>0.1</v>
      </c>
      <c r="P208" s="583"/>
      <c r="Q208" s="583"/>
      <c r="R208" s="584"/>
      <c r="S208" s="584"/>
      <c r="T208" s="584"/>
      <c r="U208" s="513">
        <v>0</v>
      </c>
      <c r="V208" s="122"/>
      <c r="W208" s="480">
        <v>0</v>
      </c>
      <c r="X208" s="398">
        <f t="shared" si="120"/>
        <v>0</v>
      </c>
      <c r="Y208" s="474"/>
      <c r="Z208" s="464"/>
      <c r="AC208" s="434"/>
      <c r="AD208" s="482"/>
      <c r="AE208" s="394"/>
      <c r="AG208" s="237"/>
      <c r="AH208" s="236"/>
      <c r="AI208" s="235"/>
      <c r="AK208" s="152"/>
      <c r="AM208" s="239"/>
      <c r="AN208" s="243"/>
      <c r="AO208" s="240"/>
      <c r="AQ208" s="241"/>
      <c r="AR208" s="382"/>
      <c r="AT208" s="411"/>
    </row>
    <row r="209" spans="1:49" x14ac:dyDescent="0.3">
      <c r="A209" s="587"/>
      <c r="B209" s="587"/>
      <c r="C209" s="585"/>
      <c r="D209" s="583"/>
      <c r="E209" s="588"/>
      <c r="F209" s="583"/>
      <c r="G209" s="591"/>
      <c r="H209" s="583"/>
      <c r="I209" s="583"/>
      <c r="J209" s="583"/>
      <c r="K209" s="541" t="s">
        <v>336</v>
      </c>
      <c r="L209" s="591" t="str">
        <f>VLOOKUP(K209,[2]материалы!$A$5:$G$31,5, FALSE)</f>
        <v>кг</v>
      </c>
      <c r="M209" s="583">
        <f>VLOOKUP(K209,материалы!$A$5:$G$34,7, FALSE)</f>
        <v>80</v>
      </c>
      <c r="N209" s="583">
        <v>0.01</v>
      </c>
      <c r="O209" s="583">
        <f t="shared" si="140"/>
        <v>0.8</v>
      </c>
      <c r="P209" s="583"/>
      <c r="Q209" s="583"/>
      <c r="R209" s="584"/>
      <c r="S209" s="584"/>
      <c r="T209" s="584"/>
      <c r="U209" s="513">
        <v>0</v>
      </c>
      <c r="V209" s="122"/>
      <c r="W209" s="480">
        <v>0</v>
      </c>
      <c r="X209" s="398">
        <f t="shared" si="120"/>
        <v>0</v>
      </c>
      <c r="Y209" s="474"/>
      <c r="Z209" s="464"/>
      <c r="AC209" s="434"/>
      <c r="AD209" s="482"/>
      <c r="AE209" s="394"/>
      <c r="AG209" s="237"/>
      <c r="AH209" s="236"/>
      <c r="AI209" s="235"/>
      <c r="AK209" s="152"/>
      <c r="AM209" s="239"/>
      <c r="AN209" s="243"/>
      <c r="AO209" s="240"/>
      <c r="AQ209" s="241"/>
      <c r="AR209" s="382"/>
      <c r="AT209" s="411"/>
    </row>
    <row r="210" spans="1:49" ht="25.5" x14ac:dyDescent="0.3">
      <c r="A210" s="587"/>
      <c r="B210" s="587"/>
      <c r="C210" s="585"/>
      <c r="D210" s="583"/>
      <c r="E210" s="588"/>
      <c r="F210" s="583"/>
      <c r="G210" s="591"/>
      <c r="H210" s="583"/>
      <c r="I210" s="583"/>
      <c r="J210" s="583"/>
      <c r="K210" s="541" t="s">
        <v>338</v>
      </c>
      <c r="L210" s="591" t="str">
        <f>VLOOKUP(K210,[2]материалы!$A$5:$G$31,5, FALSE)</f>
        <v>шт.</v>
      </c>
      <c r="M210" s="583">
        <f>VLOOKUP(K210,материалы!$A$5:$G$34,7, FALSE)</f>
        <v>2.1</v>
      </c>
      <c r="N210" s="583">
        <v>1</v>
      </c>
      <c r="O210" s="583">
        <f t="shared" si="140"/>
        <v>2.1</v>
      </c>
      <c r="P210" s="583"/>
      <c r="Q210" s="583"/>
      <c r="R210" s="584"/>
      <c r="S210" s="584"/>
      <c r="T210" s="584"/>
      <c r="U210" s="513">
        <v>0</v>
      </c>
      <c r="V210" s="122"/>
      <c r="W210" s="480">
        <v>0</v>
      </c>
      <c r="X210" s="398">
        <f t="shared" si="120"/>
        <v>0</v>
      </c>
      <c r="Y210" s="474"/>
      <c r="Z210" s="464"/>
      <c r="AC210" s="434"/>
      <c r="AD210" s="482"/>
      <c r="AE210" s="394"/>
      <c r="AG210" s="237"/>
      <c r="AH210" s="236"/>
      <c r="AI210" s="235"/>
      <c r="AK210" s="152"/>
      <c r="AM210" s="239"/>
      <c r="AN210" s="243"/>
      <c r="AO210" s="240"/>
      <c r="AQ210" s="241"/>
      <c r="AR210" s="382"/>
      <c r="AT210" s="411"/>
    </row>
    <row r="211" spans="1:49" ht="22.7" customHeight="1" x14ac:dyDescent="0.3">
      <c r="A211" s="864" t="s">
        <v>240</v>
      </c>
      <c r="B211" s="865"/>
      <c r="C211" s="865"/>
      <c r="D211" s="865"/>
      <c r="E211" s="865"/>
      <c r="F211" s="865"/>
      <c r="G211" s="865"/>
      <c r="H211" s="865"/>
      <c r="I211" s="865"/>
      <c r="J211" s="865"/>
      <c r="K211" s="865"/>
      <c r="L211" s="865"/>
      <c r="M211" s="865"/>
      <c r="N211" s="865"/>
      <c r="O211" s="865"/>
      <c r="P211" s="865"/>
      <c r="Q211" s="865"/>
      <c r="R211" s="548"/>
      <c r="S211" s="548"/>
      <c r="T211" s="548"/>
      <c r="U211" s="131"/>
      <c r="V211" s="122"/>
      <c r="W211" s="470"/>
      <c r="X211" s="396"/>
      <c r="Y211" s="474"/>
      <c r="Z211" s="464"/>
      <c r="AC211" s="434"/>
      <c r="AD211" s="482"/>
      <c r="AE211" s="394"/>
      <c r="AG211" s="237"/>
      <c r="AH211" s="236"/>
      <c r="AI211" s="235"/>
      <c r="AK211" s="152"/>
      <c r="AM211" s="239"/>
      <c r="AN211" s="243"/>
      <c r="AO211" s="240"/>
      <c r="AQ211" s="241"/>
      <c r="AR211" s="382"/>
      <c r="AT211" s="411"/>
    </row>
    <row r="212" spans="1:49" ht="45" customHeight="1" x14ac:dyDescent="0.3">
      <c r="A212" s="596" t="s">
        <v>509</v>
      </c>
      <c r="B212" s="596" t="s">
        <v>232</v>
      </c>
      <c r="C212" s="597" t="s">
        <v>395</v>
      </c>
      <c r="D212" s="598" t="s">
        <v>244</v>
      </c>
      <c r="E212" s="598" t="s">
        <v>169</v>
      </c>
      <c r="F212" s="568">
        <f>VLOOKUP(E212,'условия, ФОТ'!$A$14:$I$28,9, FALSE)</f>
        <v>326.24</v>
      </c>
      <c r="G212" s="599">
        <v>3</v>
      </c>
      <c r="H212" s="568">
        <f t="shared" si="107"/>
        <v>978.72</v>
      </c>
      <c r="I212" s="568">
        <f t="shared" si="30"/>
        <v>295.57</v>
      </c>
      <c r="J212" s="568">
        <f t="shared" si="103"/>
        <v>1274.29</v>
      </c>
      <c r="K212" s="567"/>
      <c r="L212" s="568"/>
      <c r="M212" s="568"/>
      <c r="N212" s="568"/>
      <c r="O212" s="568">
        <f>SUM(O213:O217)</f>
        <v>30.98</v>
      </c>
      <c r="P212" s="568">
        <f>J212+O212</f>
        <v>1305.27</v>
      </c>
      <c r="Q212" s="568">
        <f t="shared" si="10"/>
        <v>1011.58</v>
      </c>
      <c r="R212" s="600">
        <f>ROUND(T212/1.2,2)</f>
        <v>2225</v>
      </c>
      <c r="S212" s="600">
        <f t="shared" si="11"/>
        <v>445</v>
      </c>
      <c r="T212" s="600">
        <f>ROUND((P212+Q212)*(1+Y212)*1.2,0)</f>
        <v>2670</v>
      </c>
      <c r="U212" s="581">
        <v>1860</v>
      </c>
      <c r="V212" s="577">
        <f t="shared" si="55"/>
        <v>43.548387096774206</v>
      </c>
      <c r="W212" s="582">
        <v>2670</v>
      </c>
      <c r="X212" s="398">
        <f>ROUND((P212+Q212)*1.2,2)</f>
        <v>2780.22</v>
      </c>
      <c r="Y212" s="474">
        <f t="shared" ref="Y212" si="141">ROUND((W212/X212)*100%-100%,4)</f>
        <v>-3.9600000000000003E-2</v>
      </c>
      <c r="Z212" s="464" t="e">
        <f>#REF!*Y212</f>
        <v>#REF!</v>
      </c>
      <c r="AB212" s="404">
        <v>1418.6480000000001</v>
      </c>
      <c r="AC212" s="434"/>
      <c r="AD212" s="478">
        <f>T212-U212</f>
        <v>810</v>
      </c>
      <c r="AE212" s="394"/>
      <c r="AG212" s="237">
        <v>-1.78E-2</v>
      </c>
      <c r="AH212" s="236">
        <f t="shared" si="139"/>
        <v>1.0178</v>
      </c>
      <c r="AI212" s="235">
        <v>1.052</v>
      </c>
      <c r="AK212" s="152">
        <f>ROUND(W212*AI212,2)</f>
        <v>2808.84</v>
      </c>
      <c r="AM212" s="239">
        <v>1.034</v>
      </c>
      <c r="AN212" s="243">
        <v>-1.78E-2</v>
      </c>
      <c r="AO212" s="240" t="e">
        <f>#REF!-AM212</f>
        <v>#REF!</v>
      </c>
      <c r="AQ212" s="241">
        <f>Y212-AN212</f>
        <v>-2.1800000000000003E-2</v>
      </c>
      <c r="AR212" s="382">
        <v>1516</v>
      </c>
      <c r="AS212" s="388" t="b">
        <f>W212=AR212</f>
        <v>0</v>
      </c>
      <c r="AT212" s="411" t="e">
        <f>ROUND(W212/T212*100-100,2)+#REF!</f>
        <v>#REF!</v>
      </c>
      <c r="AW212">
        <f>ROUND(T212/W212,3)</f>
        <v>1</v>
      </c>
    </row>
    <row r="213" spans="1:49" ht="29.25" customHeight="1" outlineLevel="1" x14ac:dyDescent="0.3">
      <c r="A213" s="587"/>
      <c r="B213" s="587"/>
      <c r="C213" s="585"/>
      <c r="D213" s="588"/>
      <c r="E213" s="588"/>
      <c r="F213" s="583"/>
      <c r="G213" s="591"/>
      <c r="H213" s="583"/>
      <c r="I213" s="583"/>
      <c r="J213" s="540" t="s">
        <v>385</v>
      </c>
      <c r="K213" s="545" t="s">
        <v>339</v>
      </c>
      <c r="L213" s="591" t="str">
        <f>VLOOKUP(K213,материалы!$A$5:$G$31,5, FALSE)</f>
        <v>кг</v>
      </c>
      <c r="M213" s="583">
        <f>VLOOKUP(K213,материалы!$A$5:$G$34,7, FALSE)</f>
        <v>281.57</v>
      </c>
      <c r="N213" s="583">
        <v>0.05</v>
      </c>
      <c r="O213" s="583">
        <f>ROUND(M213*N213,2)</f>
        <v>14.08</v>
      </c>
      <c r="P213" s="583"/>
      <c r="Q213" s="583"/>
      <c r="R213" s="584"/>
      <c r="S213" s="584"/>
      <c r="T213" s="584"/>
      <c r="U213" s="121"/>
      <c r="V213" s="122"/>
      <c r="W213" s="470"/>
      <c r="X213" s="396"/>
      <c r="Y213" s="474"/>
      <c r="Z213" s="464"/>
      <c r="AC213" s="434"/>
      <c r="AD213" s="482"/>
      <c r="AE213" s="394"/>
      <c r="AG213" s="237"/>
      <c r="AH213" s="236"/>
      <c r="AI213" s="235"/>
      <c r="AK213" s="152"/>
      <c r="AM213" s="239"/>
      <c r="AN213" s="243"/>
      <c r="AO213" s="240"/>
      <c r="AQ213" s="241"/>
      <c r="AR213" s="382"/>
      <c r="AT213" s="411"/>
    </row>
    <row r="214" spans="1:49" ht="24" customHeight="1" outlineLevel="1" x14ac:dyDescent="0.3">
      <c r="A214" s="587"/>
      <c r="B214" s="587"/>
      <c r="C214" s="585"/>
      <c r="D214" s="588"/>
      <c r="E214" s="588"/>
      <c r="F214" s="583"/>
      <c r="G214" s="591"/>
      <c r="H214" s="583"/>
      <c r="I214" s="583"/>
      <c r="J214" s="539"/>
      <c r="K214" s="545" t="s">
        <v>341</v>
      </c>
      <c r="L214" s="591" t="str">
        <f>VLOOKUP(K214,материалы!$A$5:$G$31,5, FALSE)</f>
        <v>кг</v>
      </c>
      <c r="M214" s="583">
        <f>VLOOKUP(K214,материалы!$A$5:$G$34,7, FALSE)</f>
        <v>950</v>
      </c>
      <c r="N214" s="583">
        <v>5.0000000000000001E-3</v>
      </c>
      <c r="O214" s="583">
        <f>ROUND(M214*N214,2)</f>
        <v>4.75</v>
      </c>
      <c r="P214" s="583"/>
      <c r="Q214" s="583"/>
      <c r="R214" s="584"/>
      <c r="S214" s="584"/>
      <c r="T214" s="584"/>
      <c r="U214" s="121"/>
      <c r="V214" s="122"/>
      <c r="W214" s="470"/>
      <c r="X214" s="396"/>
      <c r="Y214" s="474"/>
      <c r="Z214" s="464"/>
      <c r="AC214" s="434"/>
      <c r="AD214" s="482"/>
      <c r="AE214" s="394"/>
      <c r="AG214" s="237"/>
      <c r="AH214" s="236"/>
      <c r="AI214" s="235"/>
      <c r="AK214" s="152"/>
      <c r="AM214" s="239"/>
      <c r="AN214" s="243"/>
      <c r="AO214" s="240"/>
      <c r="AQ214" s="241"/>
      <c r="AR214" s="382"/>
      <c r="AT214" s="411"/>
    </row>
    <row r="215" spans="1:49" ht="24.75" customHeight="1" outlineLevel="1" x14ac:dyDescent="0.3">
      <c r="A215" s="587"/>
      <c r="B215" s="587"/>
      <c r="C215" s="585"/>
      <c r="D215" s="588"/>
      <c r="E215" s="588"/>
      <c r="F215" s="583"/>
      <c r="G215" s="591"/>
      <c r="H215" s="583"/>
      <c r="I215" s="583"/>
      <c r="J215" s="583"/>
      <c r="K215" s="545" t="s">
        <v>348</v>
      </c>
      <c r="L215" s="591" t="str">
        <f>VLOOKUP(K215,материалы!$A$5:$G$31,5, FALSE)</f>
        <v>шт.</v>
      </c>
      <c r="M215" s="583">
        <f>VLOOKUP(K215,материалы!$A$5:$G$34,7, FALSE)</f>
        <v>45</v>
      </c>
      <c r="N215" s="583">
        <v>0.25</v>
      </c>
      <c r="O215" s="583">
        <f>ROUND(M215*N215,2)</f>
        <v>11.25</v>
      </c>
      <c r="P215" s="583"/>
      <c r="Q215" s="583"/>
      <c r="R215" s="584"/>
      <c r="S215" s="584"/>
      <c r="T215" s="584"/>
      <c r="U215" s="121"/>
      <c r="V215" s="122"/>
      <c r="W215" s="470"/>
      <c r="X215" s="396"/>
      <c r="Y215" s="474"/>
      <c r="Z215" s="464"/>
      <c r="AC215" s="434"/>
      <c r="AD215" s="482"/>
      <c r="AE215" s="394"/>
      <c r="AG215" s="237"/>
      <c r="AH215" s="236"/>
      <c r="AI215" s="235"/>
      <c r="AK215" s="152"/>
      <c r="AM215" s="239"/>
      <c r="AN215" s="243"/>
      <c r="AO215" s="240"/>
      <c r="AQ215" s="241"/>
      <c r="AR215" s="382"/>
      <c r="AT215" s="411"/>
    </row>
    <row r="216" spans="1:49" outlineLevel="1" x14ac:dyDescent="0.3">
      <c r="A216" s="587"/>
      <c r="B216" s="587"/>
      <c r="C216" s="585"/>
      <c r="D216" s="588"/>
      <c r="E216" s="588"/>
      <c r="F216" s="583"/>
      <c r="G216" s="591"/>
      <c r="H216" s="583"/>
      <c r="I216" s="583"/>
      <c r="J216" s="583"/>
      <c r="K216" s="541" t="s">
        <v>335</v>
      </c>
      <c r="L216" s="591" t="str">
        <f>VLOOKUP(K216,материалы!$A$5:$G$31,5, FALSE)</f>
        <v>кг</v>
      </c>
      <c r="M216" s="583">
        <f>VLOOKUP(K216,материалы!$A$5:$G$34,7, FALSE)</f>
        <v>95</v>
      </c>
      <c r="N216" s="583">
        <v>1E-3</v>
      </c>
      <c r="O216" s="583">
        <f t="shared" ref="O216:O217" si="142">ROUND(M216*N216,2)</f>
        <v>0.1</v>
      </c>
      <c r="P216" s="583"/>
      <c r="Q216" s="583"/>
      <c r="R216" s="584"/>
      <c r="S216" s="584"/>
      <c r="T216" s="584"/>
      <c r="U216" s="121"/>
      <c r="V216" s="122"/>
      <c r="W216" s="470"/>
      <c r="X216" s="396"/>
      <c r="Y216" s="474"/>
      <c r="Z216" s="464"/>
      <c r="AC216" s="434"/>
      <c r="AD216" s="482"/>
      <c r="AE216" s="394"/>
      <c r="AG216" s="237"/>
      <c r="AH216" s="236"/>
      <c r="AI216" s="235"/>
      <c r="AK216" s="152"/>
      <c r="AM216" s="239"/>
      <c r="AN216" s="243"/>
      <c r="AO216" s="240"/>
      <c r="AQ216" s="241"/>
      <c r="AR216" s="382"/>
      <c r="AT216" s="411"/>
    </row>
    <row r="217" spans="1:49" outlineLevel="1" x14ac:dyDescent="0.3">
      <c r="A217" s="587"/>
      <c r="B217" s="587"/>
      <c r="C217" s="585"/>
      <c r="D217" s="588"/>
      <c r="E217" s="588"/>
      <c r="F217" s="583"/>
      <c r="G217" s="591"/>
      <c r="H217" s="583"/>
      <c r="I217" s="583"/>
      <c r="J217" s="583"/>
      <c r="K217" s="541" t="s">
        <v>336</v>
      </c>
      <c r="L217" s="591" t="str">
        <f>VLOOKUP(K217,материалы!$A$5:$G$31,5, FALSE)</f>
        <v>кг</v>
      </c>
      <c r="M217" s="583">
        <f>VLOOKUP(K217,материалы!$A$5:$G$34,7, FALSE)</f>
        <v>80</v>
      </c>
      <c r="N217" s="583">
        <v>0.01</v>
      </c>
      <c r="O217" s="583">
        <f t="shared" si="142"/>
        <v>0.8</v>
      </c>
      <c r="P217" s="583"/>
      <c r="Q217" s="583"/>
      <c r="R217" s="584"/>
      <c r="S217" s="584"/>
      <c r="T217" s="584"/>
      <c r="U217" s="121"/>
      <c r="V217" s="122"/>
      <c r="W217" s="470"/>
      <c r="X217" s="396"/>
      <c r="Y217" s="474"/>
      <c r="Z217" s="464"/>
      <c r="AC217" s="434"/>
      <c r="AD217" s="482"/>
      <c r="AE217" s="394"/>
      <c r="AG217" s="237"/>
      <c r="AH217" s="236"/>
      <c r="AI217" s="235"/>
      <c r="AK217" s="152"/>
      <c r="AM217" s="239"/>
      <c r="AN217" s="243"/>
      <c r="AO217" s="240"/>
      <c r="AQ217" s="241"/>
      <c r="AR217" s="382"/>
      <c r="AT217" s="411"/>
    </row>
    <row r="218" spans="1:49" ht="42" customHeight="1" x14ac:dyDescent="0.3">
      <c r="A218" s="587" t="s">
        <v>510</v>
      </c>
      <c r="B218" s="587" t="s">
        <v>232</v>
      </c>
      <c r="C218" s="585" t="s">
        <v>241</v>
      </c>
      <c r="D218" s="588" t="s">
        <v>244</v>
      </c>
      <c r="E218" s="588" t="s">
        <v>169</v>
      </c>
      <c r="F218" s="583">
        <f>VLOOKUP(E218,'условия, ФОТ'!$A$14:$I$28,9, FALSE)</f>
        <v>326.24</v>
      </c>
      <c r="G218" s="591">
        <v>2.5</v>
      </c>
      <c r="H218" s="583">
        <f t="shared" si="107"/>
        <v>815.6</v>
      </c>
      <c r="I218" s="583">
        <f t="shared" si="30"/>
        <v>246.31</v>
      </c>
      <c r="J218" s="583">
        <f t="shared" si="103"/>
        <v>1061.9100000000001</v>
      </c>
      <c r="K218" s="589"/>
      <c r="L218" s="583"/>
      <c r="M218" s="583"/>
      <c r="N218" s="583"/>
      <c r="O218" s="583">
        <f>SUM(O219:O223)</f>
        <v>30.98</v>
      </c>
      <c r="P218" s="583">
        <f t="shared" si="110"/>
        <v>1092.8900000000001</v>
      </c>
      <c r="Q218" s="583">
        <f t="shared" si="10"/>
        <v>846.99</v>
      </c>
      <c r="R218" s="584">
        <f>ROUND(T218/1.2,2)</f>
        <v>2450</v>
      </c>
      <c r="S218" s="584">
        <f t="shared" si="11"/>
        <v>490</v>
      </c>
      <c r="T218" s="584">
        <f>ROUND((P218+Q218)*(1+Y218)*1.2,0)</f>
        <v>2940</v>
      </c>
      <c r="U218" s="121">
        <v>1562</v>
      </c>
      <c r="V218" s="122">
        <f t="shared" si="55"/>
        <v>88.220230473751599</v>
      </c>
      <c r="W218" s="511">
        <v>2940</v>
      </c>
      <c r="X218" s="398">
        <f>ROUND((P218+Q218)*1.2,2)</f>
        <v>2327.86</v>
      </c>
      <c r="Y218" s="474">
        <f t="shared" ref="Y218" si="143">ROUND((W218/X218)*100%-100%,4)</f>
        <v>0.26300000000000001</v>
      </c>
      <c r="Z218" s="464" t="e">
        <f>#REF!*Y218</f>
        <v>#REF!</v>
      </c>
      <c r="AB218" s="404">
        <v>1194.27</v>
      </c>
      <c r="AC218" s="434"/>
      <c r="AD218" s="478">
        <f>T218-U218</f>
        <v>1378</v>
      </c>
      <c r="AE218" s="394"/>
      <c r="AG218" s="237">
        <v>-1.5699999999999999E-2</v>
      </c>
      <c r="AH218" s="236">
        <f t="shared" si="139"/>
        <v>1.0157</v>
      </c>
      <c r="AI218" s="235">
        <v>1.05</v>
      </c>
      <c r="AK218" s="152">
        <f>ROUND(W218*AI218,2)</f>
        <v>3087</v>
      </c>
      <c r="AM218" s="239">
        <v>1.034</v>
      </c>
      <c r="AN218" s="243">
        <v>-1.5699999999999999E-2</v>
      </c>
      <c r="AO218" s="240" t="e">
        <f>#REF!-AM218</f>
        <v>#REF!</v>
      </c>
      <c r="AQ218" s="241">
        <f>Y218-AN218</f>
        <v>0.2787</v>
      </c>
      <c r="AR218" s="382">
        <v>1274</v>
      </c>
      <c r="AS218" s="388" t="b">
        <f>W218=AR218</f>
        <v>0</v>
      </c>
      <c r="AT218" s="411" t="e">
        <f>ROUND(W218/T218*100-100,2)+#REF!</f>
        <v>#REF!</v>
      </c>
      <c r="AW218">
        <f>ROUND(T218/W218,3)</f>
        <v>1</v>
      </c>
    </row>
    <row r="219" spans="1:49" ht="24.75" customHeight="1" outlineLevel="1" x14ac:dyDescent="0.3">
      <c r="A219" s="587"/>
      <c r="B219" s="587"/>
      <c r="C219" s="585"/>
      <c r="D219" s="588"/>
      <c r="E219" s="588"/>
      <c r="F219" s="583"/>
      <c r="G219" s="591"/>
      <c r="H219" s="583"/>
      <c r="I219" s="583"/>
      <c r="J219" s="540" t="s">
        <v>385</v>
      </c>
      <c r="K219" s="545" t="s">
        <v>341</v>
      </c>
      <c r="L219" s="591" t="str">
        <f>VLOOKUP(K219,материалы!$A$5:$G$31,5, FALSE)</f>
        <v>кг</v>
      </c>
      <c r="M219" s="583">
        <f>VLOOKUP(K219,материалы!$A$5:$G$34,7, FALSE)</f>
        <v>950</v>
      </c>
      <c r="N219" s="583">
        <v>5.0000000000000001E-3</v>
      </c>
      <c r="O219" s="583">
        <f>ROUND(M219*N219,2)</f>
        <v>4.75</v>
      </c>
      <c r="P219" s="583"/>
      <c r="Q219" s="583"/>
      <c r="R219" s="584"/>
      <c r="S219" s="584"/>
      <c r="T219" s="584"/>
      <c r="U219" s="121"/>
      <c r="V219" s="122"/>
      <c r="W219" s="470"/>
      <c r="X219" s="396"/>
      <c r="Y219" s="474"/>
      <c r="Z219" s="464"/>
      <c r="AC219" s="434"/>
      <c r="AD219" s="482"/>
      <c r="AE219" s="394"/>
      <c r="AG219" s="237"/>
      <c r="AH219" s="236"/>
      <c r="AI219" s="235"/>
      <c r="AK219" s="152"/>
      <c r="AM219" s="239"/>
      <c r="AN219" s="243"/>
      <c r="AO219" s="240"/>
      <c r="AQ219" s="241"/>
      <c r="AR219" s="382"/>
      <c r="AT219" s="411"/>
    </row>
    <row r="220" spans="1:49" ht="24.75" customHeight="1" outlineLevel="1" x14ac:dyDescent="0.3">
      <c r="A220" s="587"/>
      <c r="B220" s="587"/>
      <c r="C220" s="585"/>
      <c r="D220" s="588"/>
      <c r="E220" s="588"/>
      <c r="F220" s="583"/>
      <c r="G220" s="591"/>
      <c r="H220" s="583"/>
      <c r="I220" s="583"/>
      <c r="J220" s="540"/>
      <c r="K220" s="545" t="s">
        <v>339</v>
      </c>
      <c r="L220" s="591" t="str">
        <f>VLOOKUP(K220,материалы!$A$5:$G$31,5, FALSE)</f>
        <v>кг</v>
      </c>
      <c r="M220" s="583">
        <f>VLOOKUP(K220,материалы!$A$5:$G$34,7, FALSE)</f>
        <v>281.57</v>
      </c>
      <c r="N220" s="583">
        <v>0.05</v>
      </c>
      <c r="O220" s="583">
        <f>ROUND(M220*N220,2)</f>
        <v>14.08</v>
      </c>
      <c r="P220" s="583"/>
      <c r="Q220" s="583"/>
      <c r="R220" s="584"/>
      <c r="S220" s="584"/>
      <c r="T220" s="584"/>
      <c r="U220" s="121"/>
      <c r="V220" s="122"/>
      <c r="W220" s="470"/>
      <c r="X220" s="396"/>
      <c r="Y220" s="474"/>
      <c r="Z220" s="464"/>
      <c r="AC220" s="434"/>
      <c r="AD220" s="482"/>
      <c r="AE220" s="394"/>
      <c r="AG220" s="237"/>
      <c r="AH220" s="236"/>
      <c r="AI220" s="235"/>
      <c r="AK220" s="152"/>
      <c r="AM220" s="239"/>
      <c r="AN220" s="243"/>
      <c r="AO220" s="240"/>
      <c r="AQ220" s="241"/>
      <c r="AR220" s="382"/>
      <c r="AT220" s="411"/>
    </row>
    <row r="221" spans="1:49" ht="29.25" customHeight="1" outlineLevel="1" x14ac:dyDescent="0.3">
      <c r="A221" s="587"/>
      <c r="B221" s="587"/>
      <c r="C221" s="585"/>
      <c r="D221" s="588"/>
      <c r="E221" s="588"/>
      <c r="F221" s="583"/>
      <c r="G221" s="591"/>
      <c r="H221" s="583"/>
      <c r="I221" s="583"/>
      <c r="J221" s="583"/>
      <c r="K221" s="545" t="s">
        <v>348</v>
      </c>
      <c r="L221" s="591" t="str">
        <f>VLOOKUP(K221,материалы!$A$5:$G$31,5, FALSE)</f>
        <v>шт.</v>
      </c>
      <c r="M221" s="583">
        <f>VLOOKUP(K221,материалы!$A$5:$G$34,7, FALSE)</f>
        <v>45</v>
      </c>
      <c r="N221" s="583">
        <v>0.25</v>
      </c>
      <c r="O221" s="583">
        <f>ROUND(M221*N221,2)</f>
        <v>11.25</v>
      </c>
      <c r="P221" s="583"/>
      <c r="Q221" s="583"/>
      <c r="R221" s="584"/>
      <c r="S221" s="584"/>
      <c r="T221" s="584"/>
      <c r="U221" s="121"/>
      <c r="V221" s="122"/>
      <c r="W221" s="470"/>
      <c r="X221" s="396"/>
      <c r="Y221" s="474"/>
      <c r="Z221" s="464"/>
      <c r="AC221" s="434"/>
      <c r="AD221" s="482"/>
      <c r="AE221" s="394"/>
      <c r="AG221" s="237"/>
      <c r="AH221" s="236"/>
      <c r="AI221" s="235"/>
      <c r="AK221" s="152"/>
      <c r="AM221" s="239"/>
      <c r="AN221" s="243"/>
      <c r="AO221" s="240"/>
      <c r="AQ221" s="241"/>
      <c r="AR221" s="382"/>
      <c r="AT221" s="411"/>
    </row>
    <row r="222" spans="1:49" outlineLevel="1" x14ac:dyDescent="0.3">
      <c r="A222" s="587"/>
      <c r="B222" s="587"/>
      <c r="C222" s="585"/>
      <c r="D222" s="588"/>
      <c r="E222" s="588"/>
      <c r="F222" s="583"/>
      <c r="G222" s="591"/>
      <c r="H222" s="583"/>
      <c r="I222" s="583"/>
      <c r="J222" s="583"/>
      <c r="K222" s="541" t="s">
        <v>335</v>
      </c>
      <c r="L222" s="591" t="str">
        <f>VLOOKUP(K222,материалы!$A$5:$G$31,5, FALSE)</f>
        <v>кг</v>
      </c>
      <c r="M222" s="583">
        <f>VLOOKUP(K222,материалы!$A$5:$G$34,7, FALSE)</f>
        <v>95</v>
      </c>
      <c r="N222" s="583">
        <v>1E-3</v>
      </c>
      <c r="O222" s="583">
        <f t="shared" ref="O222:O223" si="144">ROUND(M222*N222,2)</f>
        <v>0.1</v>
      </c>
      <c r="P222" s="583"/>
      <c r="Q222" s="583"/>
      <c r="R222" s="584"/>
      <c r="S222" s="584"/>
      <c r="T222" s="584"/>
      <c r="U222" s="121"/>
      <c r="V222" s="122"/>
      <c r="W222" s="470"/>
      <c r="X222" s="396"/>
      <c r="Y222" s="474"/>
      <c r="Z222" s="464"/>
      <c r="AC222" s="434"/>
      <c r="AD222" s="482"/>
      <c r="AE222" s="394"/>
      <c r="AG222" s="237"/>
      <c r="AH222" s="236"/>
      <c r="AI222" s="235"/>
      <c r="AK222" s="152"/>
      <c r="AM222" s="239"/>
      <c r="AN222" s="243"/>
      <c r="AO222" s="240"/>
      <c r="AQ222" s="241"/>
      <c r="AR222" s="382"/>
      <c r="AT222" s="411"/>
    </row>
    <row r="223" spans="1:49" outlineLevel="1" x14ac:dyDescent="0.3">
      <c r="A223" s="587"/>
      <c r="B223" s="587"/>
      <c r="C223" s="585"/>
      <c r="D223" s="588"/>
      <c r="E223" s="588"/>
      <c r="F223" s="583"/>
      <c r="G223" s="591"/>
      <c r="H223" s="583"/>
      <c r="I223" s="583"/>
      <c r="J223" s="583"/>
      <c r="K223" s="541" t="s">
        <v>336</v>
      </c>
      <c r="L223" s="591" t="str">
        <f>VLOOKUP(K223,материалы!$A$5:$G$31,5, FALSE)</f>
        <v>кг</v>
      </c>
      <c r="M223" s="583">
        <f>VLOOKUP(K223,материалы!$A$5:$G$34,7, FALSE)</f>
        <v>80</v>
      </c>
      <c r="N223" s="583">
        <v>0.01</v>
      </c>
      <c r="O223" s="583">
        <f t="shared" si="144"/>
        <v>0.8</v>
      </c>
      <c r="P223" s="583"/>
      <c r="Q223" s="583"/>
      <c r="R223" s="584"/>
      <c r="S223" s="584"/>
      <c r="T223" s="584"/>
      <c r="U223" s="121"/>
      <c r="V223" s="122"/>
      <c r="W223" s="470"/>
      <c r="X223" s="396"/>
      <c r="Y223" s="474"/>
      <c r="Z223" s="464"/>
      <c r="AC223" s="434"/>
      <c r="AD223" s="482"/>
      <c r="AE223" s="394"/>
      <c r="AG223" s="237"/>
      <c r="AH223" s="236"/>
      <c r="AI223" s="235"/>
      <c r="AK223" s="152"/>
      <c r="AM223" s="239"/>
      <c r="AN223" s="243"/>
      <c r="AO223" s="240"/>
      <c r="AQ223" s="241"/>
      <c r="AR223" s="382"/>
      <c r="AT223" s="411"/>
    </row>
    <row r="224" spans="1:49" ht="21.75" customHeight="1" x14ac:dyDescent="0.3">
      <c r="A224" s="587" t="s">
        <v>511</v>
      </c>
      <c r="B224" s="587" t="s">
        <v>233</v>
      </c>
      <c r="C224" s="585" t="s">
        <v>242</v>
      </c>
      <c r="D224" s="583" t="s">
        <v>244</v>
      </c>
      <c r="E224" s="588" t="s">
        <v>169</v>
      </c>
      <c r="F224" s="583">
        <f>VLOOKUP(E224,'условия, ФОТ'!$A$14:$I$28,9, FALSE)</f>
        <v>326.24</v>
      </c>
      <c r="G224" s="591">
        <v>1.2</v>
      </c>
      <c r="H224" s="583">
        <f t="shared" si="107"/>
        <v>391.49</v>
      </c>
      <c r="I224" s="583">
        <f t="shared" si="30"/>
        <v>118.23</v>
      </c>
      <c r="J224" s="583">
        <f t="shared" si="103"/>
        <v>509.72</v>
      </c>
      <c r="K224" s="589"/>
      <c r="L224" s="583"/>
      <c r="M224" s="583"/>
      <c r="N224" s="583"/>
      <c r="O224" s="583"/>
      <c r="P224" s="583">
        <f t="shared" si="110"/>
        <v>509.72</v>
      </c>
      <c r="Q224" s="583">
        <f t="shared" si="10"/>
        <v>395.03</v>
      </c>
      <c r="R224" s="584">
        <f>ROUND(T224/1.2,2)</f>
        <v>1341.67</v>
      </c>
      <c r="S224" s="584">
        <f t="shared" si="11"/>
        <v>268.33</v>
      </c>
      <c r="T224" s="584">
        <f>ROUND((P224+Q224)*(1+Y224)*1.2,0)</f>
        <v>1610</v>
      </c>
      <c r="U224" s="121">
        <v>718</v>
      </c>
      <c r="V224" s="122">
        <f t="shared" si="55"/>
        <v>124.23398328690806</v>
      </c>
      <c r="W224" s="511">
        <v>1610</v>
      </c>
      <c r="X224" s="398">
        <f>ROUND((P224+Q224)*1.2,2)</f>
        <v>1085.7</v>
      </c>
      <c r="Y224" s="474">
        <f t="shared" ref="Y224" si="145">ROUND((W224/X224)*100%-100%,4)</f>
        <v>0.4829</v>
      </c>
      <c r="Z224" s="464" t="e">
        <f>#REF!*Y224</f>
        <v>#REF!</v>
      </c>
      <c r="AB224" s="404">
        <v>537.68000000000006</v>
      </c>
      <c r="AC224" s="434"/>
      <c r="AD224" s="478">
        <f>T224-U224</f>
        <v>892</v>
      </c>
      <c r="AE224" s="394"/>
      <c r="AG224" s="237">
        <v>-3.09E-2</v>
      </c>
      <c r="AH224" s="236">
        <f t="shared" si="139"/>
        <v>1.0308999999999999</v>
      </c>
      <c r="AI224" s="235">
        <v>1.0660000000000001</v>
      </c>
      <c r="AK224" s="152">
        <f>ROUND(W224*AI224,2)</f>
        <v>1716.26</v>
      </c>
      <c r="AM224" s="239">
        <v>1.034</v>
      </c>
      <c r="AN224" s="243">
        <v>-3.09E-2</v>
      </c>
      <c r="AO224" s="240" t="e">
        <f>#REF!-AM224</f>
        <v>#REF!</v>
      </c>
      <c r="AQ224" s="241">
        <f>Y224-AN224</f>
        <v>0.51380000000000003</v>
      </c>
      <c r="AR224" s="382">
        <v>582</v>
      </c>
      <c r="AS224" s="388" t="b">
        <f>W224=AR224</f>
        <v>0</v>
      </c>
      <c r="AT224" s="411" t="e">
        <f>ROUND(W224/T224*100-100,2)+#REF!</f>
        <v>#REF!</v>
      </c>
      <c r="AW224">
        <f>ROUND(T224/W224,3)</f>
        <v>1</v>
      </c>
    </row>
    <row r="225" spans="1:49" ht="14.25" customHeight="1" x14ac:dyDescent="0.25">
      <c r="A225" s="852" t="s">
        <v>512</v>
      </c>
      <c r="B225" s="866" t="s">
        <v>235</v>
      </c>
      <c r="C225" s="803" t="s">
        <v>243</v>
      </c>
      <c r="D225" s="819" t="s">
        <v>244</v>
      </c>
      <c r="E225" s="598" t="s">
        <v>169</v>
      </c>
      <c r="F225" s="568">
        <f>VLOOKUP(E225,'условия, ФОТ'!$A$14:$I$28,9, FALSE)</f>
        <v>326.24</v>
      </c>
      <c r="G225" s="599">
        <f>1.2+0.68</f>
        <v>1.88</v>
      </c>
      <c r="H225" s="822">
        <f>ROUND((F225*G225+F226*G226),2)</f>
        <v>923.42</v>
      </c>
      <c r="I225" s="822">
        <f>ROUND(H225*$I$5,2)</f>
        <v>278.87</v>
      </c>
      <c r="J225" s="822">
        <f>H225+I225</f>
        <v>1202.29</v>
      </c>
      <c r="K225" s="832"/>
      <c r="L225" s="822"/>
      <c r="M225" s="822"/>
      <c r="N225" s="822"/>
      <c r="O225" s="822">
        <f>SUM(O227:O233)</f>
        <v>185.07000000000002</v>
      </c>
      <c r="P225" s="822">
        <f>J225+O225</f>
        <v>1387.36</v>
      </c>
      <c r="Q225" s="822">
        <f t="shared" si="10"/>
        <v>1075.2</v>
      </c>
      <c r="R225" s="830">
        <f>ROUND(T225/1.2,2)</f>
        <v>3651.67</v>
      </c>
      <c r="S225" s="829">
        <f t="shared" si="11"/>
        <v>730.33</v>
      </c>
      <c r="T225" s="829">
        <f>ROUND((P225+Q225)*(1+Y225)*1.2,0)</f>
        <v>4382</v>
      </c>
      <c r="U225" s="823">
        <v>1853</v>
      </c>
      <c r="V225" s="796">
        <f t="shared" si="55"/>
        <v>136.48138154344304</v>
      </c>
      <c r="W225" s="791">
        <v>0</v>
      </c>
      <c r="X225" s="891">
        <v>1686.55</v>
      </c>
      <c r="Y225" s="770">
        <f>Y224</f>
        <v>0.4829</v>
      </c>
      <c r="Z225" s="776" t="e">
        <f>#REF!*Y225</f>
        <v>#REF!</v>
      </c>
      <c r="AB225" s="404">
        <v>1505.5040000000001</v>
      </c>
      <c r="AC225" s="741"/>
      <c r="AD225" s="763">
        <f>T225-U225</f>
        <v>2529</v>
      </c>
      <c r="AE225" s="394"/>
      <c r="AG225" s="759">
        <v>7.3200000000000001E-2</v>
      </c>
      <c r="AH225" s="751">
        <f t="shared" si="139"/>
        <v>7.3200000000000001E-2</v>
      </c>
      <c r="AI225" s="751">
        <v>0</v>
      </c>
      <c r="AK225" s="879"/>
      <c r="AM225" s="759">
        <v>1.034</v>
      </c>
      <c r="AN225" s="877">
        <v>7.3200000000000001E-2</v>
      </c>
      <c r="AO225" s="751" t="e">
        <f>#REF!-AM225</f>
        <v>#REF!</v>
      </c>
      <c r="AQ225" s="747">
        <f>Y225-AN225</f>
        <v>0.40970000000000001</v>
      </c>
      <c r="AR225" s="741">
        <v>1505</v>
      </c>
      <c r="AS225" s="884" t="b">
        <f>W225=AR225</f>
        <v>0</v>
      </c>
      <c r="AT225" s="411" t="e">
        <f>ROUND(W225/T225*100-100,2)+#REF!</f>
        <v>#REF!</v>
      </c>
      <c r="AW225" t="e">
        <f>ROUND(T225/W225,3)</f>
        <v>#DIV/0!</v>
      </c>
    </row>
    <row r="226" spans="1:49" ht="15.75" customHeight="1" x14ac:dyDescent="0.25">
      <c r="A226" s="852"/>
      <c r="B226" s="866"/>
      <c r="C226" s="803"/>
      <c r="D226" s="819"/>
      <c r="E226" s="598" t="s">
        <v>174</v>
      </c>
      <c r="F226" s="568">
        <f>VLOOKUP(E226,'условия, ФОТ'!$A$14:$I$28,9, FALSE)</f>
        <v>456.01</v>
      </c>
      <c r="G226" s="599">
        <v>0.68</v>
      </c>
      <c r="H226" s="822">
        <f t="shared" ref="H226:H235" si="146">ROUND(F226*G226,2)</f>
        <v>310.08999999999997</v>
      </c>
      <c r="I226" s="822">
        <f t="shared" ref="I226" si="147">ROUND(H226*$I$5,2)</f>
        <v>93.65</v>
      </c>
      <c r="J226" s="822">
        <f t="shared" ref="J226" si="148">H226+I226</f>
        <v>403.74</v>
      </c>
      <c r="K226" s="832"/>
      <c r="L226" s="822"/>
      <c r="M226" s="822"/>
      <c r="N226" s="822"/>
      <c r="O226" s="822"/>
      <c r="P226" s="822"/>
      <c r="Q226" s="822">
        <f t="shared" si="10"/>
        <v>0</v>
      </c>
      <c r="R226" s="831"/>
      <c r="S226" s="829">
        <f t="shared" si="11"/>
        <v>0</v>
      </c>
      <c r="T226" s="829">
        <f>ROUND((P226+Q226)*(1+$R$5)*1.18,0)</f>
        <v>0</v>
      </c>
      <c r="U226" s="824">
        <v>0</v>
      </c>
      <c r="V226" s="796"/>
      <c r="W226" s="792">
        <v>0</v>
      </c>
      <c r="X226" s="892"/>
      <c r="Y226" s="770"/>
      <c r="Z226" s="777"/>
      <c r="AC226" s="741"/>
      <c r="AD226" s="764"/>
      <c r="AE226" s="394"/>
      <c r="AG226" s="760"/>
      <c r="AH226" s="752"/>
      <c r="AI226" s="752"/>
      <c r="AK226" s="880"/>
      <c r="AM226" s="760"/>
      <c r="AN226" s="878"/>
      <c r="AO226" s="752"/>
      <c r="AQ226" s="748"/>
      <c r="AR226" s="741"/>
      <c r="AS226" s="884"/>
      <c r="AT226" s="411"/>
    </row>
    <row r="227" spans="1:49" ht="22.5" customHeight="1" outlineLevel="1" x14ac:dyDescent="0.3">
      <c r="A227" s="587"/>
      <c r="B227" s="592"/>
      <c r="C227" s="585"/>
      <c r="D227" s="588"/>
      <c r="E227" s="588"/>
      <c r="F227" s="583"/>
      <c r="G227" s="591"/>
      <c r="H227" s="583"/>
      <c r="I227" s="583"/>
      <c r="J227" s="540" t="s">
        <v>385</v>
      </c>
      <c r="K227" s="545" t="s">
        <v>330</v>
      </c>
      <c r="L227" s="591" t="str">
        <f>VLOOKUP(K227,материалы!$A$5:$G$31,5, FALSE)</f>
        <v>м3</v>
      </c>
      <c r="M227" s="583">
        <f>VLOOKUP(K227,материалы!$A$5:$G$34,7, FALSE)</f>
        <v>116.67</v>
      </c>
      <c r="N227" s="583">
        <v>0.15</v>
      </c>
      <c r="O227" s="583">
        <f t="shared" ref="O227:O233" si="149">ROUND(M227*N227,2)</f>
        <v>17.5</v>
      </c>
      <c r="P227" s="583"/>
      <c r="Q227" s="583"/>
      <c r="R227" s="584"/>
      <c r="S227" s="584"/>
      <c r="T227" s="584"/>
      <c r="U227" s="121"/>
      <c r="V227" s="122"/>
      <c r="W227" s="392"/>
      <c r="X227" s="396"/>
      <c r="Y227" s="474"/>
      <c r="Z227" s="464"/>
      <c r="AC227" s="434"/>
      <c r="AD227" s="482"/>
      <c r="AE227" s="394"/>
      <c r="AG227" s="237"/>
      <c r="AH227" s="236"/>
      <c r="AI227" s="235"/>
      <c r="AK227" s="152"/>
      <c r="AM227" s="239"/>
      <c r="AN227" s="243"/>
      <c r="AO227" s="240"/>
      <c r="AQ227" s="241"/>
      <c r="AR227" s="382"/>
      <c r="AT227" s="411"/>
    </row>
    <row r="228" spans="1:49" ht="21" customHeight="1" outlineLevel="1" x14ac:dyDescent="0.3">
      <c r="A228" s="587"/>
      <c r="B228" s="592"/>
      <c r="C228" s="585"/>
      <c r="D228" s="588"/>
      <c r="E228" s="588"/>
      <c r="F228" s="583"/>
      <c r="G228" s="591"/>
      <c r="H228" s="583"/>
      <c r="I228" s="583"/>
      <c r="J228" s="583"/>
      <c r="K228" s="545" t="s">
        <v>329</v>
      </c>
      <c r="L228" s="591" t="str">
        <f>VLOOKUP(K228,материалы!$A$5:$G$31,5, FALSE)</f>
        <v>м3</v>
      </c>
      <c r="M228" s="583">
        <f>VLOOKUP(K228,материалы!$A$5:$G$34,7, FALSE)</f>
        <v>1033.33</v>
      </c>
      <c r="N228" s="591">
        <v>8.7499999999999994E-2</v>
      </c>
      <c r="O228" s="583">
        <f t="shared" si="149"/>
        <v>90.42</v>
      </c>
      <c r="P228" s="583"/>
      <c r="Q228" s="583"/>
      <c r="R228" s="584"/>
      <c r="S228" s="584"/>
      <c r="T228" s="584"/>
      <c r="U228" s="121"/>
      <c r="V228" s="122"/>
      <c r="W228" s="392"/>
      <c r="X228" s="396"/>
      <c r="Y228" s="474"/>
      <c r="Z228" s="464"/>
      <c r="AC228" s="434"/>
      <c r="AD228" s="482"/>
      <c r="AE228" s="394"/>
      <c r="AG228" s="237"/>
      <c r="AH228" s="236"/>
      <c r="AI228" s="235"/>
      <c r="AK228" s="152"/>
      <c r="AM228" s="239"/>
      <c r="AN228" s="243"/>
      <c r="AO228" s="240"/>
      <c r="AQ228" s="241"/>
      <c r="AR228" s="382"/>
      <c r="AT228" s="411"/>
    </row>
    <row r="229" spans="1:49" ht="38.25" customHeight="1" outlineLevel="1" x14ac:dyDescent="0.3">
      <c r="A229" s="587"/>
      <c r="B229" s="592"/>
      <c r="C229" s="585"/>
      <c r="D229" s="588"/>
      <c r="E229" s="588"/>
      <c r="F229" s="583"/>
      <c r="G229" s="591"/>
      <c r="H229" s="583"/>
      <c r="I229" s="583"/>
      <c r="J229" s="583"/>
      <c r="K229" s="545" t="s">
        <v>347</v>
      </c>
      <c r="L229" s="591" t="str">
        <f>VLOOKUP(K229,материалы!$A$5:$G$31,5, FALSE)</f>
        <v>кг</v>
      </c>
      <c r="M229" s="583">
        <f>VLOOKUP(K229,материалы!$A$5:$G$34,7, FALSE)</f>
        <v>300</v>
      </c>
      <c r="N229" s="583">
        <v>0.1</v>
      </c>
      <c r="O229" s="583">
        <f t="shared" si="149"/>
        <v>30</v>
      </c>
      <c r="P229" s="583"/>
      <c r="Q229" s="583"/>
      <c r="R229" s="584"/>
      <c r="S229" s="584"/>
      <c r="T229" s="584"/>
      <c r="U229" s="121"/>
      <c r="V229" s="122"/>
      <c r="W229" s="392"/>
      <c r="X229" s="396"/>
      <c r="Y229" s="474"/>
      <c r="Z229" s="464"/>
      <c r="AC229" s="434"/>
      <c r="AD229" s="482"/>
      <c r="AE229" s="394"/>
      <c r="AG229" s="237"/>
      <c r="AH229" s="236"/>
      <c r="AI229" s="235"/>
      <c r="AK229" s="152"/>
      <c r="AM229" s="239"/>
      <c r="AN229" s="243"/>
      <c r="AO229" s="240"/>
      <c r="AQ229" s="241"/>
      <c r="AR229" s="382"/>
      <c r="AT229" s="411"/>
    </row>
    <row r="230" spans="1:49" ht="26.25" customHeight="1" outlineLevel="1" x14ac:dyDescent="0.3">
      <c r="A230" s="587"/>
      <c r="B230" s="592"/>
      <c r="C230" s="585"/>
      <c r="D230" s="588"/>
      <c r="E230" s="588"/>
      <c r="F230" s="583"/>
      <c r="G230" s="591"/>
      <c r="H230" s="583"/>
      <c r="I230" s="583"/>
      <c r="J230" s="583"/>
      <c r="K230" s="545" t="s">
        <v>348</v>
      </c>
      <c r="L230" s="591" t="str">
        <f>VLOOKUP(K230,материалы!$A$5:$G$31,5, FALSE)</f>
        <v>шт.</v>
      </c>
      <c r="M230" s="583">
        <f>VLOOKUP(K230,материалы!$A$5:$G$34,7, FALSE)</f>
        <v>45</v>
      </c>
      <c r="N230" s="583">
        <v>0.25</v>
      </c>
      <c r="O230" s="583">
        <f t="shared" si="149"/>
        <v>11.25</v>
      </c>
      <c r="P230" s="583"/>
      <c r="Q230" s="583"/>
      <c r="R230" s="584"/>
      <c r="S230" s="584"/>
      <c r="T230" s="584"/>
      <c r="U230" s="121"/>
      <c r="V230" s="122"/>
      <c r="W230" s="392"/>
      <c r="X230" s="396"/>
      <c r="Y230" s="474"/>
      <c r="Z230" s="464"/>
      <c r="AC230" s="434"/>
      <c r="AD230" s="482"/>
      <c r="AE230" s="394"/>
      <c r="AG230" s="237"/>
      <c r="AH230" s="236"/>
      <c r="AI230" s="235"/>
      <c r="AK230" s="152"/>
      <c r="AM230" s="239"/>
      <c r="AN230" s="243"/>
      <c r="AO230" s="240"/>
      <c r="AQ230" s="241"/>
      <c r="AR230" s="382"/>
      <c r="AT230" s="411"/>
    </row>
    <row r="231" spans="1:49" ht="24.75" customHeight="1" outlineLevel="1" x14ac:dyDescent="0.3">
      <c r="A231" s="587"/>
      <c r="B231" s="592"/>
      <c r="C231" s="585"/>
      <c r="D231" s="588"/>
      <c r="E231" s="588"/>
      <c r="F231" s="583"/>
      <c r="G231" s="591"/>
      <c r="H231" s="583"/>
      <c r="I231" s="583"/>
      <c r="J231" s="583"/>
      <c r="K231" s="545" t="s">
        <v>358</v>
      </c>
      <c r="L231" s="591" t="str">
        <f>VLOOKUP(K231,материалы!$A$5:$G$31,5, FALSE)</f>
        <v>шт.</v>
      </c>
      <c r="M231" s="583">
        <f>VLOOKUP(K231,материалы!$A$5:$G$34,7, FALSE)</f>
        <v>35</v>
      </c>
      <c r="N231" s="583">
        <v>1</v>
      </c>
      <c r="O231" s="583">
        <f t="shared" si="149"/>
        <v>35</v>
      </c>
      <c r="P231" s="583"/>
      <c r="Q231" s="583"/>
      <c r="R231" s="584"/>
      <c r="S231" s="584"/>
      <c r="T231" s="584"/>
      <c r="U231" s="121"/>
      <c r="V231" s="122"/>
      <c r="W231" s="392"/>
      <c r="X231" s="396"/>
      <c r="Y231" s="474"/>
      <c r="Z231" s="464"/>
      <c r="AC231" s="434"/>
      <c r="AD231" s="482"/>
      <c r="AE231" s="394"/>
      <c r="AG231" s="237"/>
      <c r="AH231" s="236"/>
      <c r="AI231" s="235"/>
      <c r="AK231" s="152"/>
      <c r="AM231" s="239"/>
      <c r="AN231" s="243"/>
      <c r="AO231" s="240"/>
      <c r="AQ231" s="241"/>
      <c r="AR231" s="382"/>
      <c r="AT231" s="411"/>
    </row>
    <row r="232" spans="1:49" ht="15.75" customHeight="1" outlineLevel="1" x14ac:dyDescent="0.3">
      <c r="A232" s="587"/>
      <c r="B232" s="592"/>
      <c r="C232" s="585"/>
      <c r="D232" s="588"/>
      <c r="E232" s="588"/>
      <c r="F232" s="583"/>
      <c r="G232" s="591"/>
      <c r="H232" s="583"/>
      <c r="I232" s="583"/>
      <c r="J232" s="583"/>
      <c r="K232" s="541" t="s">
        <v>335</v>
      </c>
      <c r="L232" s="591" t="str">
        <f>VLOOKUP(K232,материалы!$A$5:$G$31,5, FALSE)</f>
        <v>кг</v>
      </c>
      <c r="M232" s="583">
        <f>VLOOKUP(K232,материалы!$A$5:$G$34,7, FALSE)</f>
        <v>95</v>
      </c>
      <c r="N232" s="583">
        <v>1E-3</v>
      </c>
      <c r="O232" s="583">
        <f t="shared" si="149"/>
        <v>0.1</v>
      </c>
      <c r="P232" s="583"/>
      <c r="Q232" s="583"/>
      <c r="R232" s="584"/>
      <c r="S232" s="584"/>
      <c r="T232" s="584"/>
      <c r="U232" s="121"/>
      <c r="V232" s="122"/>
      <c r="W232" s="392"/>
      <c r="X232" s="396"/>
      <c r="Y232" s="474"/>
      <c r="Z232" s="464"/>
      <c r="AC232" s="434"/>
      <c r="AD232" s="482"/>
      <c r="AE232" s="394"/>
      <c r="AG232" s="237"/>
      <c r="AH232" s="236"/>
      <c r="AI232" s="235"/>
      <c r="AK232" s="152"/>
      <c r="AM232" s="239"/>
      <c r="AN232" s="243"/>
      <c r="AO232" s="240"/>
      <c r="AQ232" s="241"/>
      <c r="AR232" s="382"/>
      <c r="AT232" s="411"/>
    </row>
    <row r="233" spans="1:49" ht="15.75" customHeight="1" outlineLevel="1" x14ac:dyDescent="0.3">
      <c r="A233" s="587"/>
      <c r="B233" s="592"/>
      <c r="C233" s="585"/>
      <c r="D233" s="588"/>
      <c r="E233" s="588"/>
      <c r="F233" s="583"/>
      <c r="G233" s="591"/>
      <c r="H233" s="583"/>
      <c r="I233" s="583"/>
      <c r="J233" s="583"/>
      <c r="K233" s="541" t="s">
        <v>336</v>
      </c>
      <c r="L233" s="591" t="str">
        <f>VLOOKUP(K233,материалы!$A$5:$G$31,5, FALSE)</f>
        <v>кг</v>
      </c>
      <c r="M233" s="583">
        <f>VLOOKUP(K233,материалы!$A$5:$G$34,7, FALSE)</f>
        <v>80</v>
      </c>
      <c r="N233" s="583">
        <v>0.01</v>
      </c>
      <c r="O233" s="583">
        <f t="shared" si="149"/>
        <v>0.8</v>
      </c>
      <c r="P233" s="583"/>
      <c r="Q233" s="583"/>
      <c r="R233" s="584"/>
      <c r="S233" s="584"/>
      <c r="T233" s="584"/>
      <c r="U233" s="121"/>
      <c r="V233" s="122"/>
      <c r="W233" s="392"/>
      <c r="X233" s="396"/>
      <c r="Y233" s="474"/>
      <c r="Z233" s="464"/>
      <c r="AC233" s="434"/>
      <c r="AD233" s="482"/>
      <c r="AE233" s="394"/>
      <c r="AG233" s="237"/>
      <c r="AH233" s="236"/>
      <c r="AI233" s="235"/>
      <c r="AK233" s="152"/>
      <c r="AM233" s="239"/>
      <c r="AN233" s="243"/>
      <c r="AO233" s="240"/>
      <c r="AQ233" s="241"/>
      <c r="AR233" s="382"/>
      <c r="AT233" s="411"/>
    </row>
    <row r="234" spans="1:49" ht="17.25" customHeight="1" x14ac:dyDescent="0.25">
      <c r="A234" s="804" t="s">
        <v>513</v>
      </c>
      <c r="B234" s="812" t="s">
        <v>237</v>
      </c>
      <c r="C234" s="800" t="s">
        <v>70</v>
      </c>
      <c r="D234" s="805" t="s">
        <v>236</v>
      </c>
      <c r="E234" s="588" t="s">
        <v>169</v>
      </c>
      <c r="F234" s="583">
        <f>VLOOKUP(E234,'условия, ФОТ'!$A$14:$I$28,9, FALSE)</f>
        <v>326.24</v>
      </c>
      <c r="G234" s="591">
        <f>0.72+1.2</f>
        <v>1.92</v>
      </c>
      <c r="H234" s="797">
        <f>ROUND((F234*G234+F235*G235),2)</f>
        <v>936.47</v>
      </c>
      <c r="I234" s="797">
        <f t="shared" si="30"/>
        <v>282.81</v>
      </c>
      <c r="J234" s="797">
        <f t="shared" si="103"/>
        <v>1219.28</v>
      </c>
      <c r="K234" s="814"/>
      <c r="L234" s="797"/>
      <c r="M234" s="797"/>
      <c r="N234" s="797"/>
      <c r="O234" s="797">
        <f>SUM(O236:O242)</f>
        <v>185.07000000000002</v>
      </c>
      <c r="P234" s="820">
        <f t="shared" si="110"/>
        <v>1404.35</v>
      </c>
      <c r="Q234" s="820">
        <f t="shared" si="10"/>
        <v>1088.3699999999999</v>
      </c>
      <c r="R234" s="798">
        <f>ROUND(T234/1.2,2)</f>
        <v>2677.5</v>
      </c>
      <c r="S234" s="798">
        <f>ROUND(R234*$S$5,2)</f>
        <v>535.5</v>
      </c>
      <c r="T234" s="798">
        <f>ROUND((P234+Q234)*(1+Y234)*1.2,0)</f>
        <v>3213</v>
      </c>
      <c r="U234" s="823">
        <v>1877</v>
      </c>
      <c r="V234" s="796">
        <f t="shared" si="55"/>
        <v>71.17741076185402</v>
      </c>
      <c r="W234" s="791">
        <v>0</v>
      </c>
      <c r="X234" s="842">
        <v>1686.55</v>
      </c>
      <c r="Y234" s="770">
        <v>7.4200000000000002E-2</v>
      </c>
      <c r="Z234" s="776" t="e">
        <f>#REF!*Y234</f>
        <v>#REF!</v>
      </c>
      <c r="AB234" s="404">
        <v>1524.116</v>
      </c>
      <c r="AC234" s="741"/>
      <c r="AD234" s="763">
        <f>T234-U234</f>
        <v>1336</v>
      </c>
      <c r="AE234" s="394"/>
      <c r="AG234" s="759">
        <v>7.2400000000000006E-2</v>
      </c>
      <c r="AH234" s="751">
        <f t="shared" si="139"/>
        <v>7.2400000000000006E-2</v>
      </c>
      <c r="AI234" s="751">
        <v>0</v>
      </c>
      <c r="AK234" s="879"/>
      <c r="AM234" s="759">
        <v>1.034</v>
      </c>
      <c r="AN234" s="877">
        <v>7.2400000000000006E-2</v>
      </c>
      <c r="AO234" s="751" t="e">
        <f>#REF!-AM234</f>
        <v>#REF!</v>
      </c>
      <c r="AQ234" s="747">
        <f>Y234-AN234</f>
        <v>1.799999999999996E-3</v>
      </c>
      <c r="AR234" s="741">
        <v>1524</v>
      </c>
      <c r="AS234" s="884" t="b">
        <f>W234=AR234</f>
        <v>0</v>
      </c>
      <c r="AT234" s="411" t="e">
        <f>ROUND(W234/T234*100-100,2)+#REF!</f>
        <v>#REF!</v>
      </c>
      <c r="AW234" t="e">
        <f>ROUND(T234/W234,3)</f>
        <v>#DIV/0!</v>
      </c>
    </row>
    <row r="235" spans="1:49" ht="26.25" customHeight="1" x14ac:dyDescent="0.25">
      <c r="A235" s="804"/>
      <c r="B235" s="812"/>
      <c r="C235" s="800"/>
      <c r="D235" s="805"/>
      <c r="E235" s="588" t="s">
        <v>174</v>
      </c>
      <c r="F235" s="583">
        <f>VLOOKUP(E235,'условия, ФОТ'!$A$14:$I$28,9, FALSE)</f>
        <v>456.01</v>
      </c>
      <c r="G235" s="591">
        <v>0.68</v>
      </c>
      <c r="H235" s="797">
        <f t="shared" si="146"/>
        <v>310.08999999999997</v>
      </c>
      <c r="I235" s="797">
        <f t="shared" si="30"/>
        <v>93.65</v>
      </c>
      <c r="J235" s="797">
        <f t="shared" si="103"/>
        <v>403.74</v>
      </c>
      <c r="K235" s="814"/>
      <c r="L235" s="797"/>
      <c r="M235" s="797"/>
      <c r="N235" s="797"/>
      <c r="O235" s="797"/>
      <c r="P235" s="834"/>
      <c r="Q235" s="834"/>
      <c r="R235" s="798">
        <f t="shared" ref="R235" si="150">ROUND(T235/1.18,2)</f>
        <v>0</v>
      </c>
      <c r="S235" s="798">
        <f t="shared" si="11"/>
        <v>0</v>
      </c>
      <c r="T235" s="798">
        <f>ROUND((P235+Q235)*(1+$R$5)*1.18,0)</f>
        <v>0</v>
      </c>
      <c r="U235" s="824">
        <v>0</v>
      </c>
      <c r="V235" s="796"/>
      <c r="W235" s="792">
        <v>0</v>
      </c>
      <c r="X235" s="842"/>
      <c r="Y235" s="770"/>
      <c r="Z235" s="777"/>
      <c r="AC235" s="741"/>
      <c r="AD235" s="764"/>
      <c r="AE235" s="394"/>
      <c r="AG235" s="760"/>
      <c r="AH235" s="752"/>
      <c r="AI235" s="752"/>
      <c r="AK235" s="880"/>
      <c r="AM235" s="760"/>
      <c r="AN235" s="878"/>
      <c r="AO235" s="752"/>
      <c r="AQ235" s="748"/>
      <c r="AR235" s="741"/>
      <c r="AS235" s="884"/>
      <c r="AT235" s="411"/>
    </row>
    <row r="236" spans="1:49" ht="19.5" customHeight="1" outlineLevel="1" x14ac:dyDescent="0.3">
      <c r="A236" s="587"/>
      <c r="B236" s="592"/>
      <c r="C236" s="585"/>
      <c r="D236" s="588"/>
      <c r="E236" s="588"/>
      <c r="F236" s="583"/>
      <c r="G236" s="591"/>
      <c r="H236" s="583"/>
      <c r="I236" s="583"/>
      <c r="J236" s="540" t="s">
        <v>385</v>
      </c>
      <c r="K236" s="545" t="s">
        <v>330</v>
      </c>
      <c r="L236" s="591" t="str">
        <f>VLOOKUP(K236,материалы!$A$5:$G$31,5, FALSE)</f>
        <v>м3</v>
      </c>
      <c r="M236" s="583">
        <f>VLOOKUP(K236,материалы!$A$5:$G$34,7, FALSE)</f>
        <v>116.67</v>
      </c>
      <c r="N236" s="583">
        <v>0.15</v>
      </c>
      <c r="O236" s="583">
        <f t="shared" ref="O236:O242" si="151">ROUND(M236*N236,2)</f>
        <v>17.5</v>
      </c>
      <c r="P236" s="583"/>
      <c r="Q236" s="583"/>
      <c r="R236" s="584"/>
      <c r="S236" s="584"/>
      <c r="T236" s="584"/>
      <c r="U236" s="121"/>
      <c r="V236" s="122"/>
      <c r="W236" s="392"/>
      <c r="X236" s="396"/>
      <c r="Y236" s="474"/>
      <c r="Z236" s="464"/>
      <c r="AC236" s="434"/>
      <c r="AD236" s="482"/>
      <c r="AE236" s="394"/>
      <c r="AG236" s="237"/>
      <c r="AH236" s="236"/>
      <c r="AI236" s="235"/>
      <c r="AK236" s="152"/>
      <c r="AM236" s="239"/>
      <c r="AN236" s="243"/>
      <c r="AO236" s="240"/>
      <c r="AQ236" s="241"/>
      <c r="AR236" s="382"/>
      <c r="AT236" s="411"/>
    </row>
    <row r="237" spans="1:49" ht="19.5" customHeight="1" outlineLevel="1" x14ac:dyDescent="0.3">
      <c r="A237" s="587"/>
      <c r="B237" s="592"/>
      <c r="C237" s="585"/>
      <c r="D237" s="588"/>
      <c r="E237" s="588"/>
      <c r="F237" s="583"/>
      <c r="G237" s="591"/>
      <c r="H237" s="583"/>
      <c r="I237" s="583"/>
      <c r="J237" s="583"/>
      <c r="K237" s="545" t="s">
        <v>329</v>
      </c>
      <c r="L237" s="591" t="str">
        <f>VLOOKUP(K237,материалы!$A$5:$G$31,5, FALSE)</f>
        <v>м3</v>
      </c>
      <c r="M237" s="583">
        <f>VLOOKUP(K237,материалы!$A$5:$G$34,7, FALSE)</f>
        <v>1033.33</v>
      </c>
      <c r="N237" s="591">
        <v>8.7499999999999994E-2</v>
      </c>
      <c r="O237" s="583">
        <f t="shared" si="151"/>
        <v>90.42</v>
      </c>
      <c r="P237" s="583"/>
      <c r="Q237" s="583"/>
      <c r="R237" s="584"/>
      <c r="S237" s="584"/>
      <c r="T237" s="584"/>
      <c r="U237" s="121"/>
      <c r="V237" s="122"/>
      <c r="W237" s="392"/>
      <c r="X237" s="396"/>
      <c r="Y237" s="474"/>
      <c r="Z237" s="464"/>
      <c r="AC237" s="434"/>
      <c r="AD237" s="482"/>
      <c r="AE237" s="394"/>
      <c r="AG237" s="237"/>
      <c r="AH237" s="236"/>
      <c r="AI237" s="235"/>
      <c r="AK237" s="152"/>
      <c r="AM237" s="239"/>
      <c r="AN237" s="243"/>
      <c r="AO237" s="240"/>
      <c r="AQ237" s="241"/>
      <c r="AR237" s="382"/>
      <c r="AT237" s="411"/>
    </row>
    <row r="238" spans="1:49" ht="41.25" customHeight="1" outlineLevel="1" x14ac:dyDescent="0.3">
      <c r="A238" s="587"/>
      <c r="B238" s="592"/>
      <c r="C238" s="585"/>
      <c r="D238" s="588"/>
      <c r="E238" s="588"/>
      <c r="F238" s="583"/>
      <c r="G238" s="591"/>
      <c r="H238" s="583"/>
      <c r="I238" s="583"/>
      <c r="J238" s="583"/>
      <c r="K238" s="545" t="s">
        <v>347</v>
      </c>
      <c r="L238" s="591" t="str">
        <f>VLOOKUP(K238,материалы!$A$5:$G$31,5, FALSE)</f>
        <v>кг</v>
      </c>
      <c r="M238" s="583">
        <f>VLOOKUP(K238,материалы!$A$5:$G$34,7, FALSE)</f>
        <v>300</v>
      </c>
      <c r="N238" s="583">
        <v>0.1</v>
      </c>
      <c r="O238" s="583">
        <f t="shared" si="151"/>
        <v>30</v>
      </c>
      <c r="P238" s="583"/>
      <c r="Q238" s="583"/>
      <c r="R238" s="584"/>
      <c r="S238" s="584"/>
      <c r="T238" s="584"/>
      <c r="U238" s="121"/>
      <c r="V238" s="122"/>
      <c r="W238" s="392"/>
      <c r="X238" s="396"/>
      <c r="Y238" s="474"/>
      <c r="Z238" s="464"/>
      <c r="AC238" s="434"/>
      <c r="AD238" s="482"/>
      <c r="AE238" s="394"/>
      <c r="AG238" s="237"/>
      <c r="AH238" s="236"/>
      <c r="AI238" s="235"/>
      <c r="AK238" s="152"/>
      <c r="AM238" s="239"/>
      <c r="AN238" s="243"/>
      <c r="AO238" s="240"/>
      <c r="AQ238" s="241"/>
      <c r="AR238" s="382"/>
      <c r="AT238" s="411"/>
    </row>
    <row r="239" spans="1:49" ht="36.75" customHeight="1" outlineLevel="1" x14ac:dyDescent="0.3">
      <c r="A239" s="587"/>
      <c r="B239" s="592"/>
      <c r="C239" s="585"/>
      <c r="D239" s="588"/>
      <c r="E239" s="588"/>
      <c r="F239" s="583"/>
      <c r="G239" s="591"/>
      <c r="H239" s="583"/>
      <c r="I239" s="583"/>
      <c r="J239" s="583"/>
      <c r="K239" s="545" t="s">
        <v>348</v>
      </c>
      <c r="L239" s="591" t="str">
        <f>VLOOKUP(K239,материалы!$A$5:$G$31,5, FALSE)</f>
        <v>шт.</v>
      </c>
      <c r="M239" s="583">
        <f>VLOOKUP(K239,материалы!$A$5:$G$34,7, FALSE)</f>
        <v>45</v>
      </c>
      <c r="N239" s="583">
        <v>0.25</v>
      </c>
      <c r="O239" s="583">
        <f t="shared" si="151"/>
        <v>11.25</v>
      </c>
      <c r="P239" s="583"/>
      <c r="Q239" s="583"/>
      <c r="R239" s="584"/>
      <c r="S239" s="584"/>
      <c r="T239" s="584"/>
      <c r="U239" s="121"/>
      <c r="V239" s="122"/>
      <c r="W239" s="392"/>
      <c r="X239" s="396"/>
      <c r="Y239" s="474"/>
      <c r="Z239" s="464"/>
      <c r="AC239" s="434"/>
      <c r="AD239" s="482"/>
      <c r="AE239" s="394"/>
      <c r="AG239" s="237"/>
      <c r="AH239" s="236"/>
      <c r="AI239" s="235"/>
      <c r="AK239" s="152"/>
      <c r="AM239" s="239"/>
      <c r="AN239" s="243"/>
      <c r="AO239" s="240"/>
      <c r="AQ239" s="241"/>
      <c r="AR239" s="382"/>
      <c r="AT239" s="411"/>
    </row>
    <row r="240" spans="1:49" ht="28.5" customHeight="1" outlineLevel="1" x14ac:dyDescent="0.3">
      <c r="A240" s="587"/>
      <c r="B240" s="592"/>
      <c r="C240" s="585"/>
      <c r="D240" s="588"/>
      <c r="E240" s="588"/>
      <c r="F240" s="583"/>
      <c r="G240" s="591"/>
      <c r="H240" s="583"/>
      <c r="I240" s="583"/>
      <c r="J240" s="583"/>
      <c r="K240" s="545" t="s">
        <v>358</v>
      </c>
      <c r="L240" s="591" t="str">
        <f>VLOOKUP(K240,материалы!$A$5:$G$31,5, FALSE)</f>
        <v>шт.</v>
      </c>
      <c r="M240" s="583">
        <f>VLOOKUP(K240,материалы!$A$5:$G$34,7, FALSE)</f>
        <v>35</v>
      </c>
      <c r="N240" s="583">
        <v>1</v>
      </c>
      <c r="O240" s="583">
        <f t="shared" si="151"/>
        <v>35</v>
      </c>
      <c r="P240" s="583"/>
      <c r="Q240" s="583"/>
      <c r="R240" s="584"/>
      <c r="S240" s="584"/>
      <c r="T240" s="584"/>
      <c r="U240" s="121"/>
      <c r="V240" s="122"/>
      <c r="W240" s="392"/>
      <c r="X240" s="396"/>
      <c r="Y240" s="474"/>
      <c r="Z240" s="464"/>
      <c r="AC240" s="434"/>
      <c r="AD240" s="482"/>
      <c r="AE240" s="394"/>
      <c r="AG240" s="237"/>
      <c r="AH240" s="236"/>
      <c r="AI240" s="235"/>
      <c r="AK240" s="152"/>
      <c r="AM240" s="239"/>
      <c r="AN240" s="243"/>
      <c r="AO240" s="240"/>
      <c r="AQ240" s="241"/>
      <c r="AR240" s="382"/>
      <c r="AT240" s="411"/>
    </row>
    <row r="241" spans="1:49" ht="19.5" customHeight="1" outlineLevel="1" x14ac:dyDescent="0.3">
      <c r="A241" s="587"/>
      <c r="B241" s="592"/>
      <c r="C241" s="585"/>
      <c r="D241" s="588"/>
      <c r="E241" s="588"/>
      <c r="F241" s="583"/>
      <c r="G241" s="591"/>
      <c r="H241" s="583"/>
      <c r="I241" s="583"/>
      <c r="J241" s="583"/>
      <c r="K241" s="541" t="s">
        <v>335</v>
      </c>
      <c r="L241" s="591" t="str">
        <f>VLOOKUP(K241,материалы!$A$5:$G$31,5, FALSE)</f>
        <v>кг</v>
      </c>
      <c r="M241" s="583">
        <f>VLOOKUP(K241,материалы!$A$5:$G$34,7, FALSE)</f>
        <v>95</v>
      </c>
      <c r="N241" s="583">
        <v>1E-3</v>
      </c>
      <c r="O241" s="583">
        <f t="shared" si="151"/>
        <v>0.1</v>
      </c>
      <c r="P241" s="583"/>
      <c r="Q241" s="583"/>
      <c r="R241" s="584"/>
      <c r="S241" s="584"/>
      <c r="T241" s="584"/>
      <c r="U241" s="121"/>
      <c r="V241" s="122"/>
      <c r="W241" s="392"/>
      <c r="X241" s="396"/>
      <c r="Y241" s="474"/>
      <c r="Z241" s="464"/>
      <c r="AC241" s="434"/>
      <c r="AD241" s="482"/>
      <c r="AE241" s="394"/>
      <c r="AG241" s="237"/>
      <c r="AH241" s="236"/>
      <c r="AI241" s="235"/>
      <c r="AK241" s="152"/>
      <c r="AM241" s="239"/>
      <c r="AN241" s="243"/>
      <c r="AO241" s="240"/>
      <c r="AQ241" s="241"/>
      <c r="AR241" s="382"/>
      <c r="AT241" s="411"/>
    </row>
    <row r="242" spans="1:49" ht="19.5" customHeight="1" outlineLevel="1" x14ac:dyDescent="0.3">
      <c r="A242" s="587"/>
      <c r="B242" s="592"/>
      <c r="C242" s="585"/>
      <c r="D242" s="588"/>
      <c r="E242" s="588"/>
      <c r="F242" s="583"/>
      <c r="G242" s="591"/>
      <c r="H242" s="583"/>
      <c r="I242" s="583"/>
      <c r="J242" s="583"/>
      <c r="K242" s="541" t="s">
        <v>336</v>
      </c>
      <c r="L242" s="591" t="str">
        <f>VLOOKUP(K242,материалы!$A$5:$G$31,5, FALSE)</f>
        <v>кг</v>
      </c>
      <c r="M242" s="583">
        <f>VLOOKUP(K242,материалы!$A$5:$G$34,7, FALSE)</f>
        <v>80</v>
      </c>
      <c r="N242" s="583">
        <v>0.01</v>
      </c>
      <c r="O242" s="583">
        <f t="shared" si="151"/>
        <v>0.8</v>
      </c>
      <c r="P242" s="583"/>
      <c r="Q242" s="583"/>
      <c r="R242" s="584"/>
      <c r="S242" s="584"/>
      <c r="T242" s="584"/>
      <c r="U242" s="121"/>
      <c r="V242" s="122"/>
      <c r="W242" s="392"/>
      <c r="X242" s="396"/>
      <c r="Y242" s="474"/>
      <c r="Z242" s="464"/>
      <c r="AC242" s="434"/>
      <c r="AD242" s="482"/>
      <c r="AE242" s="394"/>
      <c r="AG242" s="237"/>
      <c r="AH242" s="236"/>
      <c r="AI242" s="235"/>
      <c r="AK242" s="152"/>
      <c r="AM242" s="239"/>
      <c r="AN242" s="243"/>
      <c r="AO242" s="240"/>
      <c r="AQ242" s="241"/>
      <c r="AR242" s="382"/>
      <c r="AT242" s="411"/>
    </row>
    <row r="243" spans="1:49" x14ac:dyDescent="0.3">
      <c r="A243" s="587" t="s">
        <v>514</v>
      </c>
      <c r="B243" s="587" t="s">
        <v>238</v>
      </c>
      <c r="C243" s="585" t="s">
        <v>245</v>
      </c>
      <c r="D243" s="583" t="s">
        <v>190</v>
      </c>
      <c r="E243" s="588" t="s">
        <v>169</v>
      </c>
      <c r="F243" s="583">
        <f>VLOOKUP(E243,'условия, ФОТ'!$A$14:$I$28,9, FALSE)</f>
        <v>326.24</v>
      </c>
      <c r="G243" s="591">
        <v>0.5</v>
      </c>
      <c r="H243" s="583">
        <f t="shared" si="107"/>
        <v>163.12</v>
      </c>
      <c r="I243" s="583">
        <f t="shared" si="30"/>
        <v>49.26</v>
      </c>
      <c r="J243" s="583">
        <f t="shared" si="103"/>
        <v>212.38</v>
      </c>
      <c r="K243" s="589"/>
      <c r="L243" s="583"/>
      <c r="M243" s="583"/>
      <c r="N243" s="583"/>
      <c r="O243" s="583"/>
      <c r="P243" s="583">
        <f t="shared" si="110"/>
        <v>212.38</v>
      </c>
      <c r="Q243" s="583">
        <f t="shared" ref="Q243:Q340" si="152">ROUND(P243*$Q$5,2)</f>
        <v>164.59</v>
      </c>
      <c r="R243" s="584">
        <f>ROUND(T243/1.2,2)</f>
        <v>558.33000000000004</v>
      </c>
      <c r="S243" s="584">
        <f t="shared" ref="S243:S340" si="153">ROUND(R243*$S$5,2)</f>
        <v>111.67</v>
      </c>
      <c r="T243" s="584">
        <f t="shared" ref="T243:T274" si="154">ROUND((P243+Q243)*(1+Y243)*1.2,0)</f>
        <v>670</v>
      </c>
      <c r="U243" s="121">
        <v>300</v>
      </c>
      <c r="V243" s="122">
        <f t="shared" si="55"/>
        <v>123.33333333333334</v>
      </c>
      <c r="W243" s="479">
        <v>670</v>
      </c>
      <c r="X243" s="398">
        <f>ROUND((P243+Q243)*1.2,2)</f>
        <v>452.36</v>
      </c>
      <c r="Y243" s="474">
        <f t="shared" ref="Y243:Y252" si="155">ROUND((W243/X243)*100%-100%,4)</f>
        <v>0.48110000000000003</v>
      </c>
      <c r="Z243" s="464" t="e">
        <f>#REF!*Y243</f>
        <v>#REF!</v>
      </c>
      <c r="AB243" s="404">
        <v>224.37800000000001</v>
      </c>
      <c r="AC243" s="434"/>
      <c r="AD243" s="478">
        <f t="shared" ref="AD243:AD274" si="156">T243-U243</f>
        <v>370</v>
      </c>
      <c r="AE243" s="394"/>
      <c r="AG243" s="237">
        <v>-2.9399999999999999E-2</v>
      </c>
      <c r="AH243" s="236">
        <f t="shared" si="139"/>
        <v>1.0294000000000001</v>
      </c>
      <c r="AI243" s="235">
        <v>1.0640000000000001</v>
      </c>
      <c r="AK243" s="152">
        <f t="shared" ref="AK243:AK287" si="157">ROUND(W243*AI243,2)</f>
        <v>712.88</v>
      </c>
      <c r="AM243" s="239">
        <v>1.034</v>
      </c>
      <c r="AN243" s="243">
        <v>-2.9399999999999999E-2</v>
      </c>
      <c r="AO243" s="240" t="e">
        <f>#REF!-AM243</f>
        <v>#REF!</v>
      </c>
      <c r="AQ243" s="241">
        <f t="shared" ref="AQ243:AQ274" si="158">Y243-AN243</f>
        <v>0.51050000000000006</v>
      </c>
      <c r="AR243" s="382">
        <v>243</v>
      </c>
      <c r="AS243" s="388" t="b">
        <f t="shared" ref="AS243:AS274" si="159">W243=AR243</f>
        <v>0</v>
      </c>
      <c r="AT243" s="411" t="e">
        <f>ROUND(W243/T243*100-100,2)+#REF!</f>
        <v>#REF!</v>
      </c>
      <c r="AW243">
        <f t="shared" ref="AW243:AW274" si="160">ROUND(T243/W243,3)</f>
        <v>1</v>
      </c>
    </row>
    <row r="244" spans="1:49" x14ac:dyDescent="0.3">
      <c r="A244" s="587" t="s">
        <v>516</v>
      </c>
      <c r="B244" s="587" t="s">
        <v>239</v>
      </c>
      <c r="C244" s="585" t="s">
        <v>71</v>
      </c>
      <c r="D244" s="583" t="s">
        <v>246</v>
      </c>
      <c r="E244" s="588" t="s">
        <v>169</v>
      </c>
      <c r="F244" s="583">
        <f>VLOOKUP(E244,'условия, ФОТ'!$A$14:$I$28,9, FALSE)</f>
        <v>326.24</v>
      </c>
      <c r="G244" s="591">
        <v>2</v>
      </c>
      <c r="H244" s="583">
        <f t="shared" si="107"/>
        <v>652.48</v>
      </c>
      <c r="I244" s="583">
        <f t="shared" si="30"/>
        <v>197.05</v>
      </c>
      <c r="J244" s="583">
        <f t="shared" si="103"/>
        <v>849.53</v>
      </c>
      <c r="K244" s="589"/>
      <c r="L244" s="583"/>
      <c r="M244" s="583"/>
      <c r="N244" s="583"/>
      <c r="O244" s="583"/>
      <c r="P244" s="583">
        <f t="shared" si="110"/>
        <v>849.53</v>
      </c>
      <c r="Q244" s="583">
        <f t="shared" si="152"/>
        <v>658.39</v>
      </c>
      <c r="R244" s="584">
        <f t="shared" ref="R244:R292" si="161">ROUND(T244/1.2,2)</f>
        <v>2233.33</v>
      </c>
      <c r="S244" s="584">
        <f t="shared" si="153"/>
        <v>446.67</v>
      </c>
      <c r="T244" s="584">
        <f t="shared" si="154"/>
        <v>2680</v>
      </c>
      <c r="U244" s="121">
        <v>659</v>
      </c>
      <c r="V244" s="122">
        <f t="shared" si="55"/>
        <v>306.67678300455236</v>
      </c>
      <c r="W244" s="479">
        <v>2680</v>
      </c>
      <c r="X244" s="398">
        <f t="shared" ref="X244:X293" si="162">ROUND((P244+Q244)*1.2,2)</f>
        <v>1809.5</v>
      </c>
      <c r="Y244" s="510">
        <f t="shared" si="155"/>
        <v>0.48110000000000003</v>
      </c>
      <c r="Z244" s="464" t="e">
        <f>#REF!*Y244</f>
        <v>#REF!</v>
      </c>
      <c r="AB244" s="404">
        <v>493.21800000000002</v>
      </c>
      <c r="AC244" s="434"/>
      <c r="AD244" s="478">
        <f t="shared" si="156"/>
        <v>2021</v>
      </c>
      <c r="AE244" s="394"/>
      <c r="AG244" s="237">
        <v>-3.0200000000000001E-2</v>
      </c>
      <c r="AH244" s="236">
        <f t="shared" si="139"/>
        <v>1.0302</v>
      </c>
      <c r="AI244" s="235">
        <v>1.0649999999999999</v>
      </c>
      <c r="AK244" s="152">
        <f t="shared" si="157"/>
        <v>2854.2</v>
      </c>
      <c r="AM244" s="239">
        <v>1.034</v>
      </c>
      <c r="AN244" s="243">
        <v>-3.0200000000000001E-2</v>
      </c>
      <c r="AO244" s="240" t="e">
        <f>#REF!-AM244</f>
        <v>#REF!</v>
      </c>
      <c r="AQ244" s="241">
        <f t="shared" si="158"/>
        <v>0.51129999999999998</v>
      </c>
      <c r="AR244" s="382">
        <v>534</v>
      </c>
      <c r="AS244" s="388" t="b">
        <f t="shared" si="159"/>
        <v>0</v>
      </c>
      <c r="AT244" s="411" t="e">
        <f>ROUND(W244/T244*100-100,2)+#REF!</f>
        <v>#REF!</v>
      </c>
      <c r="AW244">
        <f t="shared" si="160"/>
        <v>1</v>
      </c>
    </row>
    <row r="245" spans="1:49" x14ac:dyDescent="0.3">
      <c r="A245" s="596" t="s">
        <v>515</v>
      </c>
      <c r="B245" s="596" t="s">
        <v>247</v>
      </c>
      <c r="C245" s="597" t="s">
        <v>72</v>
      </c>
      <c r="D245" s="568" t="s">
        <v>203</v>
      </c>
      <c r="E245" s="598" t="s">
        <v>169</v>
      </c>
      <c r="F245" s="568">
        <f>VLOOKUP(E245,'условия, ФОТ'!$A$14:$I$28,9, FALSE)</f>
        <v>326.24</v>
      </c>
      <c r="G245" s="599">
        <v>0.6</v>
      </c>
      <c r="H245" s="568">
        <f t="shared" si="107"/>
        <v>195.74</v>
      </c>
      <c r="I245" s="568">
        <f t="shared" si="30"/>
        <v>59.11</v>
      </c>
      <c r="J245" s="568">
        <f t="shared" si="103"/>
        <v>254.85000000000002</v>
      </c>
      <c r="K245" s="567"/>
      <c r="L245" s="568"/>
      <c r="M245" s="568"/>
      <c r="N245" s="568"/>
      <c r="O245" s="568"/>
      <c r="P245" s="568">
        <f t="shared" si="110"/>
        <v>254.85000000000002</v>
      </c>
      <c r="Q245" s="568">
        <f t="shared" si="152"/>
        <v>197.51</v>
      </c>
      <c r="R245" s="600">
        <f t="shared" si="161"/>
        <v>358.33</v>
      </c>
      <c r="S245" s="600">
        <f t="shared" si="153"/>
        <v>71.67</v>
      </c>
      <c r="T245" s="600">
        <f t="shared" si="154"/>
        <v>430</v>
      </c>
      <c r="U245" s="581">
        <v>359</v>
      </c>
      <c r="V245" s="122">
        <f t="shared" si="55"/>
        <v>19.777158774373248</v>
      </c>
      <c r="W245" s="511">
        <v>430</v>
      </c>
      <c r="X245" s="398">
        <f t="shared" si="162"/>
        <v>542.83000000000004</v>
      </c>
      <c r="Y245" s="510">
        <f t="shared" si="155"/>
        <v>-0.2079</v>
      </c>
      <c r="Z245" s="464" t="e">
        <f>#REF!*Y245</f>
        <v>#REF!</v>
      </c>
      <c r="AB245" s="404">
        <v>268.84000000000003</v>
      </c>
      <c r="AC245" s="434"/>
      <c r="AD245" s="478">
        <f t="shared" si="156"/>
        <v>71</v>
      </c>
      <c r="AE245" s="394"/>
      <c r="AG245" s="237">
        <v>-3.0800000000000001E-2</v>
      </c>
      <c r="AH245" s="236">
        <f t="shared" si="139"/>
        <v>1.0307999999999999</v>
      </c>
      <c r="AI245" s="235">
        <v>1.0660000000000001</v>
      </c>
      <c r="AK245" s="152">
        <f t="shared" si="157"/>
        <v>458.38</v>
      </c>
      <c r="AM245" s="239">
        <v>1.034</v>
      </c>
      <c r="AN245" s="243">
        <v>-3.0800000000000001E-2</v>
      </c>
      <c r="AO245" s="240" t="e">
        <f>#REF!-AM245</f>
        <v>#REF!</v>
      </c>
      <c r="AQ245" s="241">
        <f t="shared" si="158"/>
        <v>-0.17710000000000001</v>
      </c>
      <c r="AR245" s="382">
        <v>291</v>
      </c>
      <c r="AS245" s="388" t="b">
        <f t="shared" si="159"/>
        <v>0</v>
      </c>
      <c r="AT245" s="411" t="e">
        <f>ROUND(W245/T245*100-100,2)+#REF!</f>
        <v>#REF!</v>
      </c>
      <c r="AW245">
        <f t="shared" si="160"/>
        <v>1</v>
      </c>
    </row>
    <row r="246" spans="1:49" x14ac:dyDescent="0.3">
      <c r="A246" s="596" t="s">
        <v>517</v>
      </c>
      <c r="B246" s="596" t="s">
        <v>359</v>
      </c>
      <c r="C246" s="597" t="s">
        <v>73</v>
      </c>
      <c r="D246" s="568" t="s">
        <v>203</v>
      </c>
      <c r="E246" s="598" t="s">
        <v>169</v>
      </c>
      <c r="F246" s="568">
        <f>VLOOKUP(E246,'условия, ФОТ'!$A$14:$I$28,9, FALSE)</f>
        <v>326.24</v>
      </c>
      <c r="G246" s="599">
        <v>1</v>
      </c>
      <c r="H246" s="568">
        <f t="shared" si="107"/>
        <v>326.24</v>
      </c>
      <c r="I246" s="568">
        <f t="shared" si="30"/>
        <v>98.52</v>
      </c>
      <c r="J246" s="568">
        <f t="shared" si="103"/>
        <v>424.76</v>
      </c>
      <c r="K246" s="567"/>
      <c r="L246" s="568"/>
      <c r="M246" s="568"/>
      <c r="N246" s="568"/>
      <c r="O246" s="568"/>
      <c r="P246" s="568">
        <f t="shared" si="110"/>
        <v>424.76</v>
      </c>
      <c r="Q246" s="568">
        <f t="shared" si="152"/>
        <v>329.19</v>
      </c>
      <c r="R246" s="600">
        <f t="shared" si="161"/>
        <v>548.33000000000004</v>
      </c>
      <c r="S246" s="600">
        <f t="shared" si="153"/>
        <v>109.67</v>
      </c>
      <c r="T246" s="600">
        <f t="shared" si="154"/>
        <v>658</v>
      </c>
      <c r="U246" s="581">
        <v>599</v>
      </c>
      <c r="V246" s="122">
        <f t="shared" si="55"/>
        <v>9.8497495826377417</v>
      </c>
      <c r="W246" s="511">
        <v>657.702</v>
      </c>
      <c r="X246" s="398">
        <f t="shared" si="162"/>
        <v>904.74</v>
      </c>
      <c r="Y246" s="510">
        <f t="shared" si="155"/>
        <v>-0.27300000000000002</v>
      </c>
      <c r="Z246" s="464" t="e">
        <f>#REF!*Y246</f>
        <v>#REF!</v>
      </c>
      <c r="AB246" s="404">
        <v>448.75600000000003</v>
      </c>
      <c r="AC246" s="434"/>
      <c r="AD246" s="478">
        <f t="shared" si="156"/>
        <v>59</v>
      </c>
      <c r="AE246" s="394"/>
      <c r="AG246" s="237">
        <v>-2.9399999999999999E-2</v>
      </c>
      <c r="AH246" s="236">
        <f t="shared" si="139"/>
        <v>1.0294000000000001</v>
      </c>
      <c r="AI246" s="235">
        <v>1.0640000000000001</v>
      </c>
      <c r="AK246" s="152">
        <f t="shared" si="157"/>
        <v>699.79</v>
      </c>
      <c r="AM246" s="239">
        <v>1.034</v>
      </c>
      <c r="AN246" s="243">
        <v>-2.9399999999999999E-2</v>
      </c>
      <c r="AO246" s="240" t="e">
        <f>#REF!-AM246</f>
        <v>#REF!</v>
      </c>
      <c r="AQ246" s="241">
        <f t="shared" si="158"/>
        <v>-0.24360000000000001</v>
      </c>
      <c r="AR246" s="382">
        <v>485</v>
      </c>
      <c r="AS246" s="388" t="b">
        <f t="shared" si="159"/>
        <v>0</v>
      </c>
      <c r="AT246" s="411" t="e">
        <f>ROUND(W246/T246*100-100,2)+#REF!</f>
        <v>#REF!</v>
      </c>
      <c r="AW246">
        <f t="shared" si="160"/>
        <v>1</v>
      </c>
    </row>
    <row r="247" spans="1:49" x14ac:dyDescent="0.3">
      <c r="A247" s="587" t="s">
        <v>518</v>
      </c>
      <c r="B247" s="587" t="s">
        <v>248</v>
      </c>
      <c r="C247" s="585" t="s">
        <v>74</v>
      </c>
      <c r="D247" s="583" t="s">
        <v>250</v>
      </c>
      <c r="E247" s="588" t="s">
        <v>169</v>
      </c>
      <c r="F247" s="583">
        <f>VLOOKUP(E247,'условия, ФОТ'!$A$14:$I$28,9, FALSE)</f>
        <v>326.24</v>
      </c>
      <c r="G247" s="591">
        <v>0.7</v>
      </c>
      <c r="H247" s="583">
        <f t="shared" si="107"/>
        <v>228.37</v>
      </c>
      <c r="I247" s="583">
        <f t="shared" si="30"/>
        <v>68.97</v>
      </c>
      <c r="J247" s="583">
        <f t="shared" si="103"/>
        <v>297.34000000000003</v>
      </c>
      <c r="K247" s="589"/>
      <c r="L247" s="583"/>
      <c r="M247" s="583"/>
      <c r="N247" s="583"/>
      <c r="O247" s="583"/>
      <c r="P247" s="583">
        <f t="shared" si="110"/>
        <v>297.34000000000003</v>
      </c>
      <c r="Q247" s="583">
        <f t="shared" si="152"/>
        <v>230.44</v>
      </c>
      <c r="R247" s="584">
        <f t="shared" si="161"/>
        <v>783.33</v>
      </c>
      <c r="S247" s="584">
        <f>ROUND(R247*$S$5,2)</f>
        <v>156.66999999999999</v>
      </c>
      <c r="T247" s="584">
        <f t="shared" si="154"/>
        <v>940</v>
      </c>
      <c r="U247" s="121">
        <v>420</v>
      </c>
      <c r="V247" s="122">
        <f t="shared" si="55"/>
        <v>123.80952380952382</v>
      </c>
      <c r="W247" s="511">
        <v>940</v>
      </c>
      <c r="X247" s="398">
        <f t="shared" si="162"/>
        <v>633.34</v>
      </c>
      <c r="Y247" s="510">
        <f t="shared" si="155"/>
        <v>0.48420000000000002</v>
      </c>
      <c r="Z247" s="464" t="e">
        <f>#REF!*Y247</f>
        <v>#REF!</v>
      </c>
      <c r="AB247" s="404">
        <v>314.33600000000001</v>
      </c>
      <c r="AC247" s="434"/>
      <c r="AD247" s="478">
        <f t="shared" si="156"/>
        <v>520</v>
      </c>
      <c r="AE247" s="394"/>
      <c r="AG247" s="237">
        <v>-2.87E-2</v>
      </c>
      <c r="AH247" s="236">
        <f t="shared" si="139"/>
        <v>1.0286999999999999</v>
      </c>
      <c r="AI247" s="235">
        <v>1.0640000000000001</v>
      </c>
      <c r="AK247" s="152">
        <f t="shared" si="157"/>
        <v>1000.16</v>
      </c>
      <c r="AM247" s="239">
        <v>1.034</v>
      </c>
      <c r="AN247" s="243">
        <v>-2.87E-2</v>
      </c>
      <c r="AO247" s="240" t="e">
        <f>#REF!-AM247</f>
        <v>#REF!</v>
      </c>
      <c r="AQ247" s="241">
        <f t="shared" si="158"/>
        <v>0.51290000000000002</v>
      </c>
      <c r="AR247" s="382">
        <v>340</v>
      </c>
      <c r="AS247" s="388" t="b">
        <f t="shared" si="159"/>
        <v>0</v>
      </c>
      <c r="AT247" s="411" t="e">
        <f>ROUND(W247/T247*100-100,2)+#REF!</f>
        <v>#REF!</v>
      </c>
      <c r="AW247">
        <f t="shared" si="160"/>
        <v>1</v>
      </c>
    </row>
    <row r="248" spans="1:49" x14ac:dyDescent="0.3">
      <c r="A248" s="587" t="s">
        <v>519</v>
      </c>
      <c r="B248" s="587" t="s">
        <v>249</v>
      </c>
      <c r="C248" s="585" t="s">
        <v>75</v>
      </c>
      <c r="D248" s="583" t="s">
        <v>250</v>
      </c>
      <c r="E248" s="588" t="s">
        <v>169</v>
      </c>
      <c r="F248" s="583">
        <f>VLOOKUP(E248,'условия, ФОТ'!$A$14:$I$28,9, FALSE)</f>
        <v>326.24</v>
      </c>
      <c r="G248" s="591">
        <v>0.4</v>
      </c>
      <c r="H248" s="583">
        <f t="shared" si="107"/>
        <v>130.5</v>
      </c>
      <c r="I248" s="583">
        <f t="shared" si="30"/>
        <v>39.409999999999997</v>
      </c>
      <c r="J248" s="583">
        <f t="shared" si="103"/>
        <v>169.91</v>
      </c>
      <c r="K248" s="589"/>
      <c r="L248" s="583"/>
      <c r="M248" s="583"/>
      <c r="N248" s="583"/>
      <c r="O248" s="583"/>
      <c r="P248" s="583">
        <f t="shared" si="110"/>
        <v>169.91</v>
      </c>
      <c r="Q248" s="583">
        <f t="shared" si="152"/>
        <v>131.68</v>
      </c>
      <c r="R248" s="584">
        <f t="shared" si="161"/>
        <v>1200</v>
      </c>
      <c r="S248" s="584">
        <f t="shared" si="153"/>
        <v>240</v>
      </c>
      <c r="T248" s="584">
        <f t="shared" si="154"/>
        <v>1440</v>
      </c>
      <c r="U248" s="121">
        <v>240</v>
      </c>
      <c r="V248" s="122">
        <f t="shared" si="55"/>
        <v>500</v>
      </c>
      <c r="W248" s="511">
        <v>1440</v>
      </c>
      <c r="X248" s="398">
        <f t="shared" si="162"/>
        <v>361.91</v>
      </c>
      <c r="Y248" s="510">
        <f t="shared" si="155"/>
        <v>2.9788999999999999</v>
      </c>
      <c r="Z248" s="464" t="e">
        <f>#REF!*Y248</f>
        <v>#REF!</v>
      </c>
      <c r="AB248" s="404">
        <v>178.88200000000001</v>
      </c>
      <c r="AC248" s="434"/>
      <c r="AD248" s="478">
        <f t="shared" si="156"/>
        <v>1200</v>
      </c>
      <c r="AE248" s="394"/>
      <c r="AG248" s="237">
        <v>-3.2899999999999999E-2</v>
      </c>
      <c r="AH248" s="236">
        <f t="shared" si="139"/>
        <v>1.0328999999999999</v>
      </c>
      <c r="AI248" s="235">
        <v>1.0680000000000001</v>
      </c>
      <c r="AK248" s="152">
        <f t="shared" si="157"/>
        <v>1537.92</v>
      </c>
      <c r="AM248" s="239">
        <v>1.034</v>
      </c>
      <c r="AN248" s="243">
        <v>-3.2899999999999999E-2</v>
      </c>
      <c r="AO248" s="240" t="e">
        <f>#REF!-AM248</f>
        <v>#REF!</v>
      </c>
      <c r="AQ248" s="241">
        <f t="shared" si="158"/>
        <v>3.0118</v>
      </c>
      <c r="AR248" s="382">
        <v>194</v>
      </c>
      <c r="AS248" s="388" t="b">
        <f t="shared" si="159"/>
        <v>0</v>
      </c>
      <c r="AT248" s="411" t="e">
        <f>ROUND(W248/T248*100-100,2)+#REF!</f>
        <v>#REF!</v>
      </c>
      <c r="AW248">
        <f t="shared" si="160"/>
        <v>1</v>
      </c>
    </row>
    <row r="249" spans="1:49" ht="26.25" customHeight="1" x14ac:dyDescent="0.3">
      <c r="A249" s="587" t="s">
        <v>520</v>
      </c>
      <c r="B249" s="587" t="s">
        <v>251</v>
      </c>
      <c r="C249" s="585" t="s">
        <v>76</v>
      </c>
      <c r="D249" s="583" t="s">
        <v>252</v>
      </c>
      <c r="E249" s="588" t="s">
        <v>169</v>
      </c>
      <c r="F249" s="583">
        <f>VLOOKUP(E249,'условия, ФОТ'!$A$14:$I$28,9, FALSE)</f>
        <v>326.24</v>
      </c>
      <c r="G249" s="591">
        <v>0.4</v>
      </c>
      <c r="H249" s="583">
        <f t="shared" si="107"/>
        <v>130.5</v>
      </c>
      <c r="I249" s="583">
        <f t="shared" si="30"/>
        <v>39.409999999999997</v>
      </c>
      <c r="J249" s="583">
        <f t="shared" si="103"/>
        <v>169.91</v>
      </c>
      <c r="K249" s="589"/>
      <c r="L249" s="583"/>
      <c r="M249" s="583"/>
      <c r="N249" s="583"/>
      <c r="O249" s="583"/>
      <c r="P249" s="583">
        <f t="shared" si="110"/>
        <v>169.91</v>
      </c>
      <c r="Q249" s="583">
        <f t="shared" si="152"/>
        <v>131.68</v>
      </c>
      <c r="R249" s="584">
        <f t="shared" si="161"/>
        <v>833.33</v>
      </c>
      <c r="S249" s="584">
        <f t="shared" si="153"/>
        <v>166.67</v>
      </c>
      <c r="T249" s="584">
        <f t="shared" si="154"/>
        <v>1000</v>
      </c>
      <c r="U249" s="121">
        <v>240</v>
      </c>
      <c r="V249" s="122">
        <f t="shared" si="55"/>
        <v>316.66666666666669</v>
      </c>
      <c r="W249" s="511">
        <v>1000</v>
      </c>
      <c r="X249" s="398">
        <f t="shared" si="162"/>
        <v>361.91</v>
      </c>
      <c r="Y249" s="510">
        <f t="shared" si="155"/>
        <v>1.7630999999999999</v>
      </c>
      <c r="Z249" s="464" t="e">
        <f>#REF!*Y249</f>
        <v>#REF!</v>
      </c>
      <c r="AB249" s="404">
        <v>178.88200000000001</v>
      </c>
      <c r="AC249" s="434"/>
      <c r="AD249" s="478">
        <f t="shared" si="156"/>
        <v>760</v>
      </c>
      <c r="AE249" s="394"/>
      <c r="AG249" s="237">
        <v>-3.2899999999999999E-2</v>
      </c>
      <c r="AH249" s="236">
        <f t="shared" si="139"/>
        <v>1.0328999999999999</v>
      </c>
      <c r="AI249" s="235">
        <v>1.0680000000000001</v>
      </c>
      <c r="AK249" s="152">
        <f t="shared" si="157"/>
        <v>1068</v>
      </c>
      <c r="AM249" s="239">
        <v>1.034</v>
      </c>
      <c r="AN249" s="243">
        <v>-3.2899999999999999E-2</v>
      </c>
      <c r="AO249" s="240" t="e">
        <f>#REF!-AM249</f>
        <v>#REF!</v>
      </c>
      <c r="AQ249" s="241">
        <f t="shared" si="158"/>
        <v>1.7959999999999998</v>
      </c>
      <c r="AR249" s="382">
        <v>194</v>
      </c>
      <c r="AS249" s="388" t="b">
        <f t="shared" si="159"/>
        <v>0</v>
      </c>
      <c r="AT249" s="411" t="e">
        <f>ROUND(W249/T249*100-100,2)+#REF!</f>
        <v>#REF!</v>
      </c>
      <c r="AW249">
        <f t="shared" si="160"/>
        <v>1</v>
      </c>
    </row>
    <row r="250" spans="1:49" x14ac:dyDescent="0.3">
      <c r="A250" s="587" t="s">
        <v>521</v>
      </c>
      <c r="B250" s="587" t="s">
        <v>253</v>
      </c>
      <c r="C250" s="585" t="s">
        <v>77</v>
      </c>
      <c r="D250" s="583" t="s">
        <v>254</v>
      </c>
      <c r="E250" s="588" t="s">
        <v>169</v>
      </c>
      <c r="F250" s="583">
        <f>VLOOKUP(E250,'условия, ФОТ'!$A$14:$I$28,9, FALSE)</f>
        <v>326.24</v>
      </c>
      <c r="G250" s="591">
        <v>0.24</v>
      </c>
      <c r="H250" s="583">
        <f t="shared" si="107"/>
        <v>78.3</v>
      </c>
      <c r="I250" s="583">
        <f t="shared" si="30"/>
        <v>23.65</v>
      </c>
      <c r="J250" s="583">
        <f t="shared" si="103"/>
        <v>101.94999999999999</v>
      </c>
      <c r="K250" s="589"/>
      <c r="L250" s="583"/>
      <c r="M250" s="583"/>
      <c r="N250" s="583"/>
      <c r="O250" s="583"/>
      <c r="P250" s="583">
        <f t="shared" si="110"/>
        <v>101.94999999999999</v>
      </c>
      <c r="Q250" s="583">
        <f t="shared" si="152"/>
        <v>79.010000000000005</v>
      </c>
      <c r="R250" s="584">
        <f t="shared" si="161"/>
        <v>558.33000000000004</v>
      </c>
      <c r="S250" s="584">
        <f t="shared" si="153"/>
        <v>111.67</v>
      </c>
      <c r="T250" s="584">
        <f t="shared" si="154"/>
        <v>670</v>
      </c>
      <c r="U250" s="121">
        <v>143</v>
      </c>
      <c r="V250" s="122">
        <f t="shared" si="55"/>
        <v>368.53146853146848</v>
      </c>
      <c r="W250" s="511">
        <v>670</v>
      </c>
      <c r="X250" s="398">
        <f t="shared" si="162"/>
        <v>217.15</v>
      </c>
      <c r="Y250" s="510">
        <f t="shared" si="155"/>
        <v>2.0853999999999999</v>
      </c>
      <c r="Z250" s="464" t="e">
        <f>#REF!*Y250</f>
        <v>#REF!</v>
      </c>
      <c r="AB250" s="404">
        <v>107.536</v>
      </c>
      <c r="AC250" s="434"/>
      <c r="AD250" s="478">
        <f t="shared" si="156"/>
        <v>527</v>
      </c>
      <c r="AE250" s="394"/>
      <c r="AG250" s="237">
        <v>-3.0800000000000001E-2</v>
      </c>
      <c r="AH250" s="236">
        <f t="shared" si="139"/>
        <v>1.0307999999999999</v>
      </c>
      <c r="AI250" s="235">
        <v>1.0660000000000001</v>
      </c>
      <c r="AK250" s="152">
        <f t="shared" si="157"/>
        <v>714.22</v>
      </c>
      <c r="AM250" s="239">
        <v>1.034</v>
      </c>
      <c r="AN250" s="243">
        <v>-3.0800000000000001E-2</v>
      </c>
      <c r="AO250" s="240" t="e">
        <f>#REF!-AM250</f>
        <v>#REF!</v>
      </c>
      <c r="AQ250" s="241">
        <f t="shared" si="158"/>
        <v>2.1162000000000001</v>
      </c>
      <c r="AR250" s="382">
        <v>116</v>
      </c>
      <c r="AS250" s="388" t="b">
        <f t="shared" si="159"/>
        <v>0</v>
      </c>
      <c r="AT250" s="411" t="e">
        <f>ROUND(W250/T250*100-100,2)+#REF!</f>
        <v>#REF!</v>
      </c>
      <c r="AW250">
        <f t="shared" si="160"/>
        <v>1</v>
      </c>
    </row>
    <row r="251" spans="1:49" ht="27" customHeight="1" x14ac:dyDescent="0.3">
      <c r="A251" s="587" t="s">
        <v>522</v>
      </c>
      <c r="B251" s="587" t="s">
        <v>255</v>
      </c>
      <c r="C251" s="585" t="s">
        <v>78</v>
      </c>
      <c r="D251" s="583" t="s">
        <v>203</v>
      </c>
      <c r="E251" s="588" t="s">
        <v>169</v>
      </c>
      <c r="F251" s="583">
        <f>VLOOKUP(E251,'условия, ФОТ'!$A$14:$I$28,9, FALSE)</f>
        <v>326.24</v>
      </c>
      <c r="G251" s="591">
        <v>0.2</v>
      </c>
      <c r="H251" s="583">
        <f t="shared" si="107"/>
        <v>65.25</v>
      </c>
      <c r="I251" s="583">
        <f t="shared" ref="I251:I340" si="163">ROUND(H251*$I$5,2)</f>
        <v>19.71</v>
      </c>
      <c r="J251" s="583">
        <f t="shared" si="103"/>
        <v>84.960000000000008</v>
      </c>
      <c r="K251" s="589"/>
      <c r="L251" s="583"/>
      <c r="M251" s="583"/>
      <c r="N251" s="583"/>
      <c r="O251" s="583"/>
      <c r="P251" s="583">
        <f t="shared" si="110"/>
        <v>84.960000000000008</v>
      </c>
      <c r="Q251" s="583">
        <f t="shared" si="152"/>
        <v>65.84</v>
      </c>
      <c r="R251" s="584">
        <f t="shared" si="161"/>
        <v>162.5</v>
      </c>
      <c r="S251" s="584">
        <f t="shared" si="153"/>
        <v>32.5</v>
      </c>
      <c r="T251" s="584">
        <f t="shared" si="154"/>
        <v>195</v>
      </c>
      <c r="U251" s="519">
        <v>120</v>
      </c>
      <c r="V251" s="537">
        <f t="shared" si="55"/>
        <v>62.5</v>
      </c>
      <c r="W251" s="520">
        <v>0</v>
      </c>
      <c r="X251" s="521">
        <f t="shared" si="162"/>
        <v>180.96</v>
      </c>
      <c r="Y251" s="514">
        <v>7.6200000000000004E-2</v>
      </c>
      <c r="Z251" s="464" t="e">
        <f>#REF!*Y251</f>
        <v>#REF!</v>
      </c>
      <c r="AB251" s="404">
        <v>89.957999999999998</v>
      </c>
      <c r="AC251" s="434"/>
      <c r="AD251" s="478">
        <f t="shared" si="156"/>
        <v>75</v>
      </c>
      <c r="AE251" s="394"/>
      <c r="AG251" s="237">
        <v>-2.7199999999999998E-2</v>
      </c>
      <c r="AH251" s="236">
        <f t="shared" si="139"/>
        <v>1.0271999999999999</v>
      </c>
      <c r="AI251" s="235">
        <v>1.0620000000000001</v>
      </c>
      <c r="AK251" s="152">
        <f t="shared" si="157"/>
        <v>0</v>
      </c>
      <c r="AM251" s="239">
        <v>1.034</v>
      </c>
      <c r="AN251" s="243">
        <v>-2.7199999999999998E-2</v>
      </c>
      <c r="AO251" s="240" t="e">
        <f>#REF!-AM251</f>
        <v>#REF!</v>
      </c>
      <c r="AQ251" s="241">
        <f t="shared" si="158"/>
        <v>0.10340000000000001</v>
      </c>
      <c r="AR251" s="382">
        <v>97</v>
      </c>
      <c r="AS251" s="388" t="b">
        <f t="shared" si="159"/>
        <v>0</v>
      </c>
      <c r="AT251" s="411" t="e">
        <f>ROUND(W251/T251*100-100,2)+#REF!</f>
        <v>#REF!</v>
      </c>
      <c r="AW251" t="e">
        <f t="shared" si="160"/>
        <v>#DIV/0!</v>
      </c>
    </row>
    <row r="252" spans="1:49" x14ac:dyDescent="0.3">
      <c r="A252" s="587" t="s">
        <v>523</v>
      </c>
      <c r="B252" s="587" t="s">
        <v>256</v>
      </c>
      <c r="C252" s="585" t="s">
        <v>79</v>
      </c>
      <c r="D252" s="583" t="s">
        <v>203</v>
      </c>
      <c r="E252" s="588" t="s">
        <v>169</v>
      </c>
      <c r="F252" s="583">
        <f>VLOOKUP(E252,'условия, ФОТ'!$A$14:$I$28,9, FALSE)</f>
        <v>326.24</v>
      </c>
      <c r="G252" s="591">
        <v>0.25</v>
      </c>
      <c r="H252" s="583">
        <f t="shared" si="107"/>
        <v>81.56</v>
      </c>
      <c r="I252" s="583">
        <f t="shared" si="163"/>
        <v>24.63</v>
      </c>
      <c r="J252" s="583">
        <f t="shared" si="103"/>
        <v>106.19</v>
      </c>
      <c r="K252" s="589"/>
      <c r="L252" s="583"/>
      <c r="M252" s="583"/>
      <c r="N252" s="583"/>
      <c r="O252" s="583"/>
      <c r="P252" s="583">
        <f t="shared" si="110"/>
        <v>106.19</v>
      </c>
      <c r="Q252" s="583">
        <f t="shared" si="152"/>
        <v>82.3</v>
      </c>
      <c r="R252" s="584">
        <f t="shared" si="161"/>
        <v>275</v>
      </c>
      <c r="S252" s="584">
        <f t="shared" si="153"/>
        <v>55</v>
      </c>
      <c r="T252" s="584">
        <f t="shared" si="154"/>
        <v>330</v>
      </c>
      <c r="U252" s="519">
        <v>149</v>
      </c>
      <c r="V252" s="537">
        <f t="shared" si="55"/>
        <v>121.47651006711411</v>
      </c>
      <c r="W252" s="520">
        <v>330</v>
      </c>
      <c r="X252" s="521">
        <f t="shared" si="162"/>
        <v>226.19</v>
      </c>
      <c r="Y252" s="573">
        <f t="shared" si="155"/>
        <v>0.45900000000000002</v>
      </c>
      <c r="Z252" s="464" t="e">
        <f>#REF!*Y252</f>
        <v>#REF!</v>
      </c>
      <c r="AB252" s="404">
        <v>111.672</v>
      </c>
      <c r="AC252" s="434"/>
      <c r="AD252" s="478">
        <f t="shared" si="156"/>
        <v>181</v>
      </c>
      <c r="AE252" s="394"/>
      <c r="AG252" s="237">
        <v>-3.4000000000000002E-2</v>
      </c>
      <c r="AH252" s="236">
        <f t="shared" si="139"/>
        <v>1.034</v>
      </c>
      <c r="AI252" s="235">
        <v>1.069</v>
      </c>
      <c r="AK252" s="152">
        <f t="shared" si="157"/>
        <v>352.77</v>
      </c>
      <c r="AM252" s="239">
        <v>1.034</v>
      </c>
      <c r="AN252" s="243">
        <v>-3.4000000000000002E-2</v>
      </c>
      <c r="AO252" s="240" t="e">
        <f>#REF!-AM252</f>
        <v>#REF!</v>
      </c>
      <c r="AQ252" s="241">
        <f t="shared" si="158"/>
        <v>0.49299999999999999</v>
      </c>
      <c r="AR252" s="382">
        <v>121</v>
      </c>
      <c r="AS252" s="388" t="b">
        <f t="shared" si="159"/>
        <v>0</v>
      </c>
      <c r="AT252" s="411" t="e">
        <f>ROUND(W252/T252*100-100,2)+#REF!</f>
        <v>#REF!</v>
      </c>
      <c r="AW252">
        <f t="shared" si="160"/>
        <v>1</v>
      </c>
    </row>
    <row r="253" spans="1:49" x14ac:dyDescent="0.3">
      <c r="A253" s="587" t="s">
        <v>524</v>
      </c>
      <c r="B253" s="587" t="s">
        <v>257</v>
      </c>
      <c r="C253" s="585" t="s">
        <v>80</v>
      </c>
      <c r="D253" s="583" t="s">
        <v>258</v>
      </c>
      <c r="E253" s="588" t="s">
        <v>169</v>
      </c>
      <c r="F253" s="583">
        <f>VLOOKUP(E253,'условия, ФОТ'!$A$14:$I$28,9, FALSE)</f>
        <v>326.24</v>
      </c>
      <c r="G253" s="591">
        <v>1</v>
      </c>
      <c r="H253" s="583">
        <f t="shared" si="107"/>
        <v>326.24</v>
      </c>
      <c r="I253" s="583">
        <f t="shared" si="163"/>
        <v>98.52</v>
      </c>
      <c r="J253" s="583">
        <f t="shared" si="103"/>
        <v>424.76</v>
      </c>
      <c r="K253" s="589"/>
      <c r="L253" s="583"/>
      <c r="M253" s="583"/>
      <c r="N253" s="583"/>
      <c r="O253" s="583"/>
      <c r="P253" s="583">
        <f t="shared" si="110"/>
        <v>424.76</v>
      </c>
      <c r="Q253" s="583">
        <f t="shared" si="152"/>
        <v>329.19</v>
      </c>
      <c r="R253" s="584">
        <f t="shared" si="161"/>
        <v>1116.67</v>
      </c>
      <c r="S253" s="584">
        <f t="shared" si="153"/>
        <v>223.33</v>
      </c>
      <c r="T253" s="584">
        <f t="shared" si="154"/>
        <v>1340</v>
      </c>
      <c r="U253" s="121">
        <v>599</v>
      </c>
      <c r="V253" s="122">
        <f t="shared" si="55"/>
        <v>123.70617696160267</v>
      </c>
      <c r="W253" s="511">
        <v>1340</v>
      </c>
      <c r="X253" s="398">
        <f t="shared" si="162"/>
        <v>904.74</v>
      </c>
      <c r="Y253" s="474">
        <f t="shared" ref="Y253:Y290" si="164">ROUND((W253/X253)*100%-100%,4)</f>
        <v>0.48110000000000003</v>
      </c>
      <c r="Z253" s="464" t="e">
        <f>#REF!*Y253</f>
        <v>#REF!</v>
      </c>
      <c r="AB253" s="404">
        <v>448.75600000000003</v>
      </c>
      <c r="AC253" s="434"/>
      <c r="AD253" s="478">
        <f t="shared" si="156"/>
        <v>741</v>
      </c>
      <c r="AE253" s="394"/>
      <c r="AG253" s="237">
        <v>-2.9399999999999999E-2</v>
      </c>
      <c r="AH253" s="236">
        <f t="shared" si="139"/>
        <v>1.0294000000000001</v>
      </c>
      <c r="AI253" s="235">
        <v>1.0640000000000001</v>
      </c>
      <c r="AK253" s="152">
        <f t="shared" si="157"/>
        <v>1425.76</v>
      </c>
      <c r="AM253" s="239">
        <v>1.034</v>
      </c>
      <c r="AN253" s="243">
        <v>-2.9399999999999999E-2</v>
      </c>
      <c r="AO253" s="240" t="e">
        <f>#REF!-AM253</f>
        <v>#REF!</v>
      </c>
      <c r="AQ253" s="241">
        <f t="shared" si="158"/>
        <v>0.51050000000000006</v>
      </c>
      <c r="AR253" s="382">
        <v>485</v>
      </c>
      <c r="AS253" s="388" t="b">
        <f t="shared" si="159"/>
        <v>0</v>
      </c>
      <c r="AT253" s="411" t="e">
        <f>ROUND(W253/T253*100-100,2)+#REF!</f>
        <v>#REF!</v>
      </c>
      <c r="AW253">
        <f t="shared" si="160"/>
        <v>1</v>
      </c>
    </row>
    <row r="254" spans="1:49" x14ac:dyDescent="0.3">
      <c r="A254" s="587" t="s">
        <v>525</v>
      </c>
      <c r="B254" s="587" t="s">
        <v>260</v>
      </c>
      <c r="C254" s="585" t="s">
        <v>81</v>
      </c>
      <c r="D254" s="583" t="s">
        <v>193</v>
      </c>
      <c r="E254" s="588" t="s">
        <v>169</v>
      </c>
      <c r="F254" s="583">
        <f>VLOOKUP(E254,'условия, ФОТ'!$A$14:$I$28,9, FALSE)</f>
        <v>326.24</v>
      </c>
      <c r="G254" s="591">
        <v>0.54</v>
      </c>
      <c r="H254" s="583">
        <f t="shared" si="107"/>
        <v>176.17</v>
      </c>
      <c r="I254" s="583">
        <f t="shared" si="163"/>
        <v>53.2</v>
      </c>
      <c r="J254" s="583">
        <f t="shared" si="103"/>
        <v>229.37</v>
      </c>
      <c r="K254" s="589"/>
      <c r="L254" s="583"/>
      <c r="M254" s="583"/>
      <c r="N254" s="583"/>
      <c r="O254" s="583"/>
      <c r="P254" s="583">
        <f t="shared" si="110"/>
        <v>229.37</v>
      </c>
      <c r="Q254" s="583">
        <f>ROUND(P254*$Q$5,2)</f>
        <v>177.76</v>
      </c>
      <c r="R254" s="584">
        <f t="shared" si="161"/>
        <v>600</v>
      </c>
      <c r="S254" s="584">
        <f t="shared" si="153"/>
        <v>120</v>
      </c>
      <c r="T254" s="584">
        <f t="shared" si="154"/>
        <v>720</v>
      </c>
      <c r="U254" s="121">
        <v>323</v>
      </c>
      <c r="V254" s="122">
        <f t="shared" si="55"/>
        <v>122.91021671826624</v>
      </c>
      <c r="W254" s="511">
        <v>720</v>
      </c>
      <c r="X254" s="398">
        <f>ROUND((P254+Q254)*1.2,2)</f>
        <v>488.56</v>
      </c>
      <c r="Y254" s="510">
        <f t="shared" si="164"/>
        <v>0.47370000000000001</v>
      </c>
      <c r="Z254" s="464" t="e">
        <f>#REF!*Y254</f>
        <v>#REF!</v>
      </c>
      <c r="AB254" s="404">
        <v>241.95600000000002</v>
      </c>
      <c r="AC254" s="434"/>
      <c r="AD254" s="478">
        <f t="shared" si="156"/>
        <v>397</v>
      </c>
      <c r="AE254" s="394"/>
      <c r="AG254" s="237">
        <v>-3.0800000000000001E-2</v>
      </c>
      <c r="AH254" s="236">
        <f t="shared" si="139"/>
        <v>1.0307999999999999</v>
      </c>
      <c r="AI254" s="235">
        <v>1.0660000000000001</v>
      </c>
      <c r="AK254" s="152">
        <f t="shared" si="157"/>
        <v>767.52</v>
      </c>
      <c r="AM254" s="239">
        <v>1.034</v>
      </c>
      <c r="AN254" s="243">
        <v>-3.0800000000000001E-2</v>
      </c>
      <c r="AO254" s="240" t="e">
        <f>#REF!-AM254</f>
        <v>#REF!</v>
      </c>
      <c r="AQ254" s="241">
        <f t="shared" si="158"/>
        <v>0.50450000000000006</v>
      </c>
      <c r="AR254" s="382">
        <v>262</v>
      </c>
      <c r="AS254" s="388" t="b">
        <f t="shared" si="159"/>
        <v>0</v>
      </c>
      <c r="AT254" s="411" t="e">
        <f>ROUND(W254/T254*100-100,2)+#REF!</f>
        <v>#REF!</v>
      </c>
      <c r="AW254">
        <f t="shared" si="160"/>
        <v>1</v>
      </c>
    </row>
    <row r="255" spans="1:49" x14ac:dyDescent="0.3">
      <c r="A255" s="587" t="s">
        <v>526</v>
      </c>
      <c r="B255" s="587" t="s">
        <v>260</v>
      </c>
      <c r="C255" s="585" t="s">
        <v>82</v>
      </c>
      <c r="D255" s="583" t="s">
        <v>261</v>
      </c>
      <c r="E255" s="588" t="s">
        <v>169</v>
      </c>
      <c r="F255" s="583">
        <f>VLOOKUP(E255,'условия, ФОТ'!$A$14:$I$28,9, FALSE)</f>
        <v>326.24</v>
      </c>
      <c r="G255" s="591">
        <f>0.11*13</f>
        <v>1.43</v>
      </c>
      <c r="H255" s="583">
        <f t="shared" si="107"/>
        <v>466.52</v>
      </c>
      <c r="I255" s="583">
        <f t="shared" si="163"/>
        <v>140.88999999999999</v>
      </c>
      <c r="J255" s="583">
        <f t="shared" si="103"/>
        <v>607.41</v>
      </c>
      <c r="K255" s="589"/>
      <c r="L255" s="583"/>
      <c r="M255" s="583"/>
      <c r="N255" s="583"/>
      <c r="O255" s="583"/>
      <c r="P255" s="583">
        <f>J255+O255</f>
        <v>607.41</v>
      </c>
      <c r="Q255" s="583">
        <f t="shared" si="152"/>
        <v>470.74</v>
      </c>
      <c r="R255" s="584">
        <f t="shared" si="161"/>
        <v>1589.17</v>
      </c>
      <c r="S255" s="584">
        <f t="shared" si="153"/>
        <v>317.83</v>
      </c>
      <c r="T255" s="584">
        <f>ROUND((P255+Q255)*(1+Y255)*1.2,0)</f>
        <v>1907</v>
      </c>
      <c r="U255" s="525">
        <v>857</v>
      </c>
      <c r="V255" s="538">
        <f t="shared" si="55"/>
        <v>122.52042007001168</v>
      </c>
      <c r="W255" s="526">
        <v>1907</v>
      </c>
      <c r="X255" s="527">
        <f>ROUND((P255+Q255)*1.2,2)</f>
        <v>1293.78</v>
      </c>
      <c r="Y255" s="528">
        <f t="shared" si="164"/>
        <v>0.47399999999999998</v>
      </c>
      <c r="Z255" s="464" t="e">
        <f>#REF!*Y255</f>
        <v>#REF!</v>
      </c>
      <c r="AB255" s="404">
        <v>641.08000000000004</v>
      </c>
      <c r="AC255" s="434"/>
      <c r="AD255" s="478">
        <f t="shared" si="156"/>
        <v>1050</v>
      </c>
      <c r="AE255" s="394"/>
      <c r="AG255" s="237">
        <v>-3.04E-2</v>
      </c>
      <c r="AH255" s="236">
        <f t="shared" si="139"/>
        <v>1.0304</v>
      </c>
      <c r="AI255" s="235">
        <v>1.0649999999999999</v>
      </c>
      <c r="AK255" s="152">
        <f t="shared" si="157"/>
        <v>2030.96</v>
      </c>
      <c r="AM255" s="239">
        <v>1.034</v>
      </c>
      <c r="AN255" s="243">
        <v>-3.04E-2</v>
      </c>
      <c r="AO255" s="240" t="e">
        <f>#REF!-AM255</f>
        <v>#REF!</v>
      </c>
      <c r="AQ255" s="241">
        <f t="shared" si="158"/>
        <v>0.50439999999999996</v>
      </c>
      <c r="AR255" s="382">
        <v>694</v>
      </c>
      <c r="AS255" s="388" t="b">
        <f t="shared" si="159"/>
        <v>0</v>
      </c>
      <c r="AT255" s="411" t="e">
        <f>ROUND(W255/T255*100-100,2)+#REF!</f>
        <v>#REF!</v>
      </c>
      <c r="AW255">
        <f t="shared" si="160"/>
        <v>1</v>
      </c>
    </row>
    <row r="256" spans="1:49" ht="36.950000000000003" customHeight="1" x14ac:dyDescent="0.3">
      <c r="A256" s="587" t="s">
        <v>527</v>
      </c>
      <c r="B256" s="587" t="s">
        <v>262</v>
      </c>
      <c r="C256" s="585" t="s">
        <v>83</v>
      </c>
      <c r="D256" s="583" t="s">
        <v>197</v>
      </c>
      <c r="E256" s="588" t="s">
        <v>169</v>
      </c>
      <c r="F256" s="583">
        <f>VLOOKUP(E256,'условия, ФОТ'!$A$14:$I$28,9, FALSE)</f>
        <v>326.24</v>
      </c>
      <c r="G256" s="591">
        <v>0.5</v>
      </c>
      <c r="H256" s="583">
        <f t="shared" si="107"/>
        <v>163.12</v>
      </c>
      <c r="I256" s="583">
        <f t="shared" si="163"/>
        <v>49.26</v>
      </c>
      <c r="J256" s="583">
        <f t="shared" si="103"/>
        <v>212.38</v>
      </c>
      <c r="K256" s="589"/>
      <c r="L256" s="583"/>
      <c r="M256" s="583"/>
      <c r="N256" s="583"/>
      <c r="O256" s="583"/>
      <c r="P256" s="583">
        <f t="shared" si="110"/>
        <v>212.38</v>
      </c>
      <c r="Q256" s="583">
        <f t="shared" si="152"/>
        <v>164.59</v>
      </c>
      <c r="R256" s="584">
        <f t="shared" si="161"/>
        <v>558.33000000000004</v>
      </c>
      <c r="S256" s="584">
        <f t="shared" si="153"/>
        <v>111.67</v>
      </c>
      <c r="T256" s="584">
        <f t="shared" si="154"/>
        <v>670</v>
      </c>
      <c r="U256" s="121">
        <v>300</v>
      </c>
      <c r="V256" s="122">
        <f t="shared" si="55"/>
        <v>123.33333333333334</v>
      </c>
      <c r="W256" s="511">
        <v>670</v>
      </c>
      <c r="X256" s="398">
        <f t="shared" si="162"/>
        <v>452.36</v>
      </c>
      <c r="Y256" s="474">
        <f t="shared" si="164"/>
        <v>0.48110000000000003</v>
      </c>
      <c r="Z256" s="464" t="e">
        <f>#REF!*Y256</f>
        <v>#REF!</v>
      </c>
      <c r="AB256" s="404">
        <v>224.37800000000001</v>
      </c>
      <c r="AC256" s="434"/>
      <c r="AD256" s="478">
        <f t="shared" si="156"/>
        <v>370</v>
      </c>
      <c r="AE256" s="394"/>
      <c r="AG256" s="237">
        <v>-2.9399999999999999E-2</v>
      </c>
      <c r="AH256" s="236">
        <f t="shared" si="139"/>
        <v>1.0294000000000001</v>
      </c>
      <c r="AI256" s="235">
        <v>1.0640000000000001</v>
      </c>
      <c r="AK256" s="152">
        <f t="shared" si="157"/>
        <v>712.88</v>
      </c>
      <c r="AM256" s="239">
        <v>1.034</v>
      </c>
      <c r="AN256" s="243">
        <v>-2.9399999999999999E-2</v>
      </c>
      <c r="AO256" s="240" t="e">
        <f>#REF!-AM256</f>
        <v>#REF!</v>
      </c>
      <c r="AQ256" s="241">
        <f t="shared" si="158"/>
        <v>0.51050000000000006</v>
      </c>
      <c r="AR256" s="382">
        <v>243</v>
      </c>
      <c r="AS256" s="388" t="b">
        <f t="shared" si="159"/>
        <v>0</v>
      </c>
      <c r="AT256" s="411" t="e">
        <f>ROUND(W256/T256*100-100,2)+#REF!</f>
        <v>#REF!</v>
      </c>
      <c r="AW256">
        <f t="shared" si="160"/>
        <v>1</v>
      </c>
    </row>
    <row r="257" spans="1:49" x14ac:dyDescent="0.3">
      <c r="A257" s="587" t="s">
        <v>528</v>
      </c>
      <c r="B257" s="587" t="s">
        <v>263</v>
      </c>
      <c r="C257" s="585" t="s">
        <v>84</v>
      </c>
      <c r="D257" s="583" t="s">
        <v>197</v>
      </c>
      <c r="E257" s="588" t="s">
        <v>169</v>
      </c>
      <c r="F257" s="583">
        <f>VLOOKUP(E257,'условия, ФОТ'!$A$14:$I$28,9, FALSE)</f>
        <v>326.24</v>
      </c>
      <c r="G257" s="591">
        <v>0.67</v>
      </c>
      <c r="H257" s="583">
        <f t="shared" si="107"/>
        <v>218.58</v>
      </c>
      <c r="I257" s="583">
        <f t="shared" si="163"/>
        <v>66.010000000000005</v>
      </c>
      <c r="J257" s="583">
        <f t="shared" si="103"/>
        <v>284.59000000000003</v>
      </c>
      <c r="K257" s="589"/>
      <c r="L257" s="583"/>
      <c r="M257" s="583"/>
      <c r="N257" s="583"/>
      <c r="O257" s="583"/>
      <c r="P257" s="583">
        <f t="shared" si="110"/>
        <v>284.59000000000003</v>
      </c>
      <c r="Q257" s="583">
        <f t="shared" si="152"/>
        <v>220.56</v>
      </c>
      <c r="R257" s="584">
        <f t="shared" si="161"/>
        <v>750</v>
      </c>
      <c r="S257" s="584">
        <f>ROUND(R257*$S$5,2)</f>
        <v>150</v>
      </c>
      <c r="T257" s="584">
        <f t="shared" si="154"/>
        <v>900</v>
      </c>
      <c r="U257" s="121">
        <v>401</v>
      </c>
      <c r="V257" s="122">
        <f t="shared" si="55"/>
        <v>124.43890274314217</v>
      </c>
      <c r="W257" s="511">
        <v>900</v>
      </c>
      <c r="X257" s="398">
        <f t="shared" si="162"/>
        <v>606.17999999999995</v>
      </c>
      <c r="Y257" s="510">
        <f t="shared" si="164"/>
        <v>0.48470000000000002</v>
      </c>
      <c r="Z257" s="464" t="e">
        <f>#REF!*Y257</f>
        <v>#REF!</v>
      </c>
      <c r="AB257" s="404">
        <v>300.89400000000001</v>
      </c>
      <c r="AC257" s="434"/>
      <c r="AD257" s="478">
        <f t="shared" si="156"/>
        <v>499</v>
      </c>
      <c r="AE257" s="394"/>
      <c r="AG257" s="237">
        <v>-2.87E-2</v>
      </c>
      <c r="AH257" s="236">
        <f t="shared" si="139"/>
        <v>1.0286999999999999</v>
      </c>
      <c r="AI257" s="235">
        <v>1.0640000000000001</v>
      </c>
      <c r="AK257" s="152">
        <f t="shared" si="157"/>
        <v>957.6</v>
      </c>
      <c r="AM257" s="239">
        <v>1.034</v>
      </c>
      <c r="AN257" s="243">
        <v>-2.87E-2</v>
      </c>
      <c r="AO257" s="240" t="e">
        <f>#REF!-AM257</f>
        <v>#REF!</v>
      </c>
      <c r="AQ257" s="241">
        <f t="shared" si="158"/>
        <v>0.51339999999999997</v>
      </c>
      <c r="AR257" s="382">
        <v>325</v>
      </c>
      <c r="AS257" s="388" t="b">
        <f t="shared" si="159"/>
        <v>0</v>
      </c>
      <c r="AT257" s="411" t="e">
        <f>ROUND(W257/T257*100-100,2)+#REF!</f>
        <v>#REF!</v>
      </c>
      <c r="AW257">
        <f t="shared" si="160"/>
        <v>1</v>
      </c>
    </row>
    <row r="258" spans="1:49" x14ac:dyDescent="0.3">
      <c r="A258" s="587" t="s">
        <v>529</v>
      </c>
      <c r="B258" s="587" t="s">
        <v>264</v>
      </c>
      <c r="C258" s="585" t="s">
        <v>85</v>
      </c>
      <c r="D258" s="583" t="s">
        <v>197</v>
      </c>
      <c r="E258" s="588" t="s">
        <v>169</v>
      </c>
      <c r="F258" s="583">
        <f>VLOOKUP(E258,'условия, ФОТ'!$A$14:$I$28,9, FALSE)</f>
        <v>326.24</v>
      </c>
      <c r="G258" s="591">
        <v>0.24</v>
      </c>
      <c r="H258" s="583">
        <f t="shared" si="107"/>
        <v>78.3</v>
      </c>
      <c r="I258" s="583">
        <f t="shared" si="163"/>
        <v>23.65</v>
      </c>
      <c r="J258" s="583">
        <f t="shared" si="103"/>
        <v>101.94999999999999</v>
      </c>
      <c r="K258" s="589"/>
      <c r="L258" s="583"/>
      <c r="M258" s="583"/>
      <c r="N258" s="583"/>
      <c r="O258" s="583"/>
      <c r="P258" s="583">
        <f t="shared" si="110"/>
        <v>101.94999999999999</v>
      </c>
      <c r="Q258" s="583">
        <f t="shared" si="152"/>
        <v>79.010000000000005</v>
      </c>
      <c r="R258" s="584">
        <f t="shared" si="161"/>
        <v>266.67</v>
      </c>
      <c r="S258" s="584">
        <f t="shared" si="153"/>
        <v>53.33</v>
      </c>
      <c r="T258" s="584">
        <f t="shared" si="154"/>
        <v>320</v>
      </c>
      <c r="U258" s="121">
        <v>143</v>
      </c>
      <c r="V258" s="122">
        <f t="shared" si="55"/>
        <v>123.77622377622379</v>
      </c>
      <c r="W258" s="511">
        <v>320</v>
      </c>
      <c r="X258" s="398">
        <f>ROUND((P258+Q258)*1.2,2)</f>
        <v>217.15</v>
      </c>
      <c r="Y258" s="510">
        <f t="shared" si="164"/>
        <v>0.47360000000000002</v>
      </c>
      <c r="Z258" s="464" t="e">
        <f>#REF!*Y258</f>
        <v>#REF!</v>
      </c>
      <c r="AB258" s="404">
        <v>107.536</v>
      </c>
      <c r="AC258" s="434"/>
      <c r="AD258" s="478">
        <f t="shared" si="156"/>
        <v>177</v>
      </c>
      <c r="AE258" s="394"/>
      <c r="AG258" s="237">
        <v>-3.0800000000000001E-2</v>
      </c>
      <c r="AH258" s="236">
        <f t="shared" si="139"/>
        <v>1.0307999999999999</v>
      </c>
      <c r="AI258" s="235">
        <v>1.0660000000000001</v>
      </c>
      <c r="AK258" s="152">
        <f t="shared" si="157"/>
        <v>341.12</v>
      </c>
      <c r="AM258" s="239">
        <v>1.034</v>
      </c>
      <c r="AN258" s="243">
        <v>-3.0800000000000001E-2</v>
      </c>
      <c r="AO258" s="240" t="e">
        <f>#REF!-AM258</f>
        <v>#REF!</v>
      </c>
      <c r="AQ258" s="241">
        <f t="shared" si="158"/>
        <v>0.50440000000000007</v>
      </c>
      <c r="AR258" s="382">
        <v>116</v>
      </c>
      <c r="AS258" s="388" t="b">
        <f t="shared" si="159"/>
        <v>0</v>
      </c>
      <c r="AT258" s="411" t="e">
        <f>ROUND(W258/T258*100-100,2)+#REF!</f>
        <v>#REF!</v>
      </c>
      <c r="AW258">
        <f t="shared" si="160"/>
        <v>1</v>
      </c>
    </row>
    <row r="259" spans="1:49" x14ac:dyDescent="0.3">
      <c r="A259" s="587" t="s">
        <v>530</v>
      </c>
      <c r="B259" s="587" t="s">
        <v>265</v>
      </c>
      <c r="C259" s="585" t="s">
        <v>86</v>
      </c>
      <c r="D259" s="583" t="s">
        <v>259</v>
      </c>
      <c r="E259" s="588" t="s">
        <v>169</v>
      </c>
      <c r="F259" s="583">
        <f>VLOOKUP(E259,'условия, ФОТ'!$A$14:$I$28,9, FALSE)</f>
        <v>326.24</v>
      </c>
      <c r="G259" s="591">
        <v>0.51</v>
      </c>
      <c r="H259" s="583">
        <f t="shared" ref="H259:H340" si="165">ROUND(F259*G259,2)</f>
        <v>166.38</v>
      </c>
      <c r="I259" s="583">
        <f t="shared" si="163"/>
        <v>50.25</v>
      </c>
      <c r="J259" s="583">
        <f t="shared" ref="J259:J340" si="166">H259+I259</f>
        <v>216.63</v>
      </c>
      <c r="K259" s="589"/>
      <c r="L259" s="583"/>
      <c r="M259" s="583"/>
      <c r="N259" s="583"/>
      <c r="O259" s="583"/>
      <c r="P259" s="583">
        <f t="shared" ref="P259:P340" si="167">J259+O259</f>
        <v>216.63</v>
      </c>
      <c r="Q259" s="583">
        <f t="shared" si="152"/>
        <v>167.89</v>
      </c>
      <c r="R259" s="584">
        <f t="shared" si="161"/>
        <v>566.66999999999996</v>
      </c>
      <c r="S259" s="584">
        <f t="shared" si="153"/>
        <v>113.33</v>
      </c>
      <c r="T259" s="584">
        <f t="shared" si="154"/>
        <v>680</v>
      </c>
      <c r="U259" s="121">
        <v>306</v>
      </c>
      <c r="V259" s="122">
        <f t="shared" ref="V259:V336" si="168">T259/U259*100-100</f>
        <v>122.22222222222223</v>
      </c>
      <c r="W259" s="511">
        <v>680</v>
      </c>
      <c r="X259" s="398">
        <f t="shared" si="162"/>
        <v>461.42</v>
      </c>
      <c r="Y259" s="510">
        <f t="shared" si="164"/>
        <v>0.47370000000000001</v>
      </c>
      <c r="Z259" s="464" t="e">
        <f>#REF!*Y259</f>
        <v>#REF!</v>
      </c>
      <c r="AB259" s="404">
        <v>228.51400000000001</v>
      </c>
      <c r="AC259" s="434"/>
      <c r="AD259" s="478">
        <f t="shared" si="156"/>
        <v>374</v>
      </c>
      <c r="AE259" s="394"/>
      <c r="AG259" s="237">
        <v>-3.09E-2</v>
      </c>
      <c r="AH259" s="236">
        <f t="shared" si="139"/>
        <v>1.0308999999999999</v>
      </c>
      <c r="AI259" s="235">
        <v>1.0660000000000001</v>
      </c>
      <c r="AK259" s="152">
        <f t="shared" si="157"/>
        <v>724.88</v>
      </c>
      <c r="AM259" s="239">
        <v>1.034</v>
      </c>
      <c r="AN259" s="243">
        <v>-3.09E-2</v>
      </c>
      <c r="AO259" s="240" t="e">
        <f>#REF!-AM259</f>
        <v>#REF!</v>
      </c>
      <c r="AQ259" s="241">
        <f t="shared" si="158"/>
        <v>0.50460000000000005</v>
      </c>
      <c r="AR259" s="382">
        <v>248</v>
      </c>
      <c r="AS259" s="388" t="b">
        <f t="shared" si="159"/>
        <v>0</v>
      </c>
      <c r="AT259" s="411" t="e">
        <f>ROUND(W259/T259*100-100,2)+#REF!</f>
        <v>#REF!</v>
      </c>
      <c r="AW259">
        <f t="shared" si="160"/>
        <v>1</v>
      </c>
    </row>
    <row r="260" spans="1:49" x14ac:dyDescent="0.3">
      <c r="A260" s="587" t="s">
        <v>531</v>
      </c>
      <c r="B260" s="587" t="s">
        <v>35</v>
      </c>
      <c r="C260" s="585" t="s">
        <v>441</v>
      </c>
      <c r="D260" s="583" t="s">
        <v>442</v>
      </c>
      <c r="E260" s="588" t="s">
        <v>169</v>
      </c>
      <c r="F260" s="583">
        <f>VLOOKUP(E260,'условия, ФОТ'!$A$14:$I$28,9, FALSE)</f>
        <v>326.24</v>
      </c>
      <c r="G260" s="591">
        <v>0.51</v>
      </c>
      <c r="H260" s="583">
        <f t="shared" si="165"/>
        <v>166.38</v>
      </c>
      <c r="I260" s="583">
        <f t="shared" si="163"/>
        <v>50.25</v>
      </c>
      <c r="J260" s="583">
        <f t="shared" si="166"/>
        <v>216.63</v>
      </c>
      <c r="K260" s="589"/>
      <c r="L260" s="583"/>
      <c r="M260" s="583"/>
      <c r="N260" s="583"/>
      <c r="O260" s="583"/>
      <c r="P260" s="583">
        <f t="shared" si="167"/>
        <v>216.63</v>
      </c>
      <c r="Q260" s="583">
        <f t="shared" si="152"/>
        <v>167.89</v>
      </c>
      <c r="R260" s="584">
        <f t="shared" si="161"/>
        <v>415</v>
      </c>
      <c r="S260" s="584">
        <f t="shared" si="153"/>
        <v>83</v>
      </c>
      <c r="T260" s="584">
        <f>ROUND((P260+Q260)*(1+Y260)*1.2,0)</f>
        <v>498</v>
      </c>
      <c r="U260" s="519">
        <v>306</v>
      </c>
      <c r="V260" s="537"/>
      <c r="W260" s="520">
        <v>0</v>
      </c>
      <c r="X260" s="521">
        <f t="shared" si="162"/>
        <v>461.42</v>
      </c>
      <c r="Y260" s="514">
        <v>7.9100000000000004E-2</v>
      </c>
      <c r="Z260" s="464" t="e">
        <f>#REF!*Y260</f>
        <v>#REF!</v>
      </c>
      <c r="AB260" s="404">
        <v>228.51400000000001</v>
      </c>
      <c r="AC260" s="434"/>
      <c r="AD260" s="478">
        <f t="shared" si="156"/>
        <v>192</v>
      </c>
      <c r="AE260" s="394"/>
      <c r="AG260" s="237">
        <v>-3.09E-2</v>
      </c>
      <c r="AH260" s="236">
        <f t="shared" si="139"/>
        <v>1.0308999999999999</v>
      </c>
      <c r="AI260" s="235">
        <v>1.0660000000000001</v>
      </c>
      <c r="AK260" s="152">
        <f t="shared" si="157"/>
        <v>0</v>
      </c>
      <c r="AM260" s="239">
        <v>1.034</v>
      </c>
      <c r="AN260" s="243">
        <v>-3.09E-2</v>
      </c>
      <c r="AO260" s="240" t="e">
        <f>#REF!-AM260</f>
        <v>#REF!</v>
      </c>
      <c r="AQ260" s="241">
        <f t="shared" si="158"/>
        <v>0.11</v>
      </c>
      <c r="AR260" s="382">
        <v>248</v>
      </c>
      <c r="AS260" s="388" t="b">
        <f t="shared" si="159"/>
        <v>0</v>
      </c>
      <c r="AT260" s="411" t="e">
        <f>ROUND(W260/T260*100-100,2)+#REF!</f>
        <v>#REF!</v>
      </c>
      <c r="AW260" t="e">
        <f t="shared" si="160"/>
        <v>#DIV/0!</v>
      </c>
    </row>
    <row r="261" spans="1:49" x14ac:dyDescent="0.3">
      <c r="A261" s="587" t="s">
        <v>532</v>
      </c>
      <c r="B261" s="587" t="s">
        <v>266</v>
      </c>
      <c r="C261" s="585" t="s">
        <v>87</v>
      </c>
      <c r="D261" s="583" t="s">
        <v>267</v>
      </c>
      <c r="E261" s="588" t="s">
        <v>169</v>
      </c>
      <c r="F261" s="583">
        <f>VLOOKUP(E261,'условия, ФОТ'!$A$14:$I$28,9, FALSE)</f>
        <v>326.24</v>
      </c>
      <c r="G261" s="591">
        <v>0.33</v>
      </c>
      <c r="H261" s="583">
        <f t="shared" si="165"/>
        <v>107.66</v>
      </c>
      <c r="I261" s="583">
        <f t="shared" si="163"/>
        <v>32.51</v>
      </c>
      <c r="J261" s="583">
        <f t="shared" si="166"/>
        <v>140.16999999999999</v>
      </c>
      <c r="K261" s="589"/>
      <c r="L261" s="583"/>
      <c r="M261" s="583"/>
      <c r="N261" s="583"/>
      <c r="O261" s="583"/>
      <c r="P261" s="583">
        <f t="shared" si="167"/>
        <v>140.16999999999999</v>
      </c>
      <c r="Q261" s="583">
        <f t="shared" si="152"/>
        <v>108.63</v>
      </c>
      <c r="R261" s="584">
        <f t="shared" si="161"/>
        <v>366.67</v>
      </c>
      <c r="S261" s="584">
        <f t="shared" si="153"/>
        <v>73.33</v>
      </c>
      <c r="T261" s="584">
        <f t="shared" si="154"/>
        <v>440</v>
      </c>
      <c r="U261" s="121">
        <v>197</v>
      </c>
      <c r="V261" s="122">
        <f t="shared" si="168"/>
        <v>123.35025380710661</v>
      </c>
      <c r="W261" s="511">
        <v>440</v>
      </c>
      <c r="X261" s="398">
        <f t="shared" si="162"/>
        <v>298.56</v>
      </c>
      <c r="Y261" s="474">
        <f t="shared" si="164"/>
        <v>0.47370000000000001</v>
      </c>
      <c r="Z261" s="464" t="e">
        <f>#REF!*Y261</f>
        <v>#REF!</v>
      </c>
      <c r="AB261" s="404">
        <v>147.86199999999999</v>
      </c>
      <c r="AC261" s="434"/>
      <c r="AD261" s="478">
        <f t="shared" si="156"/>
        <v>243</v>
      </c>
      <c r="AE261" s="394"/>
      <c r="AG261" s="237">
        <v>-3.09E-2</v>
      </c>
      <c r="AH261" s="236">
        <f t="shared" si="139"/>
        <v>1.0308999999999999</v>
      </c>
      <c r="AI261" s="235">
        <v>1.0660000000000001</v>
      </c>
      <c r="AK261" s="152">
        <f t="shared" si="157"/>
        <v>469.04</v>
      </c>
      <c r="AM261" s="239">
        <v>1.034</v>
      </c>
      <c r="AN261" s="243">
        <v>-3.09E-2</v>
      </c>
      <c r="AO261" s="240" t="e">
        <f>#REF!-AM261</f>
        <v>#REF!</v>
      </c>
      <c r="AQ261" s="241">
        <f t="shared" si="158"/>
        <v>0.50460000000000005</v>
      </c>
      <c r="AR261" s="382">
        <v>160</v>
      </c>
      <c r="AS261" s="388" t="b">
        <f t="shared" si="159"/>
        <v>0</v>
      </c>
      <c r="AT261" s="411" t="e">
        <f>ROUND(W261/T261*100-100,2)+#REF!</f>
        <v>#REF!</v>
      </c>
      <c r="AW261">
        <f t="shared" si="160"/>
        <v>1</v>
      </c>
    </row>
    <row r="262" spans="1:49" x14ac:dyDescent="0.3">
      <c r="A262" s="587" t="s">
        <v>533</v>
      </c>
      <c r="B262" s="587" t="s">
        <v>35</v>
      </c>
      <c r="C262" s="585" t="s">
        <v>440</v>
      </c>
      <c r="D262" s="583" t="s">
        <v>203</v>
      </c>
      <c r="E262" s="588" t="s">
        <v>169</v>
      </c>
      <c r="F262" s="583">
        <f>VLOOKUP(E262,'условия, ФОТ'!$A$14:$I$28,9, FALSE)</f>
        <v>326.24</v>
      </c>
      <c r="G262" s="591">
        <v>0.33</v>
      </c>
      <c r="H262" s="583">
        <f t="shared" ref="H262" si="169">ROUND(F262*G262,2)</f>
        <v>107.66</v>
      </c>
      <c r="I262" s="583">
        <f t="shared" ref="I262" si="170">ROUND(H262*$I$5,2)</f>
        <v>32.51</v>
      </c>
      <c r="J262" s="583">
        <f t="shared" ref="J262" si="171">H262+I262</f>
        <v>140.16999999999999</v>
      </c>
      <c r="K262" s="589"/>
      <c r="L262" s="583"/>
      <c r="M262" s="583"/>
      <c r="N262" s="583"/>
      <c r="O262" s="583"/>
      <c r="P262" s="583">
        <f t="shared" ref="P262" si="172">J262+O262</f>
        <v>140.16999999999999</v>
      </c>
      <c r="Q262" s="583">
        <f t="shared" ref="Q262" si="173">ROUND(P262*$Q$5,2)</f>
        <v>108.63</v>
      </c>
      <c r="R262" s="584">
        <f t="shared" si="161"/>
        <v>566.66999999999996</v>
      </c>
      <c r="S262" s="584">
        <f t="shared" ref="S262" si="174">ROUND(R262*$S$5,2)</f>
        <v>113.33</v>
      </c>
      <c r="T262" s="584">
        <f t="shared" si="154"/>
        <v>680</v>
      </c>
      <c r="U262" s="519">
        <v>197</v>
      </c>
      <c r="V262" s="537"/>
      <c r="W262" s="515">
        <v>680</v>
      </c>
      <c r="X262" s="398">
        <f>ROUND((P262+Q262)*1.2,2)</f>
        <v>298.56</v>
      </c>
      <c r="Y262" s="514">
        <f t="shared" si="164"/>
        <v>1.2776000000000001</v>
      </c>
      <c r="Z262" s="464" t="e">
        <f>#REF!*Y262</f>
        <v>#REF!</v>
      </c>
      <c r="AB262" s="404">
        <v>147.86199999999999</v>
      </c>
      <c r="AC262" s="434"/>
      <c r="AD262" s="478">
        <f t="shared" si="156"/>
        <v>483</v>
      </c>
      <c r="AE262" s="394"/>
      <c r="AG262" s="237">
        <v>-3.09E-2</v>
      </c>
      <c r="AH262" s="236">
        <f t="shared" si="139"/>
        <v>1.0308999999999999</v>
      </c>
      <c r="AI262" s="235">
        <v>1.0660000000000001</v>
      </c>
      <c r="AK262" s="152">
        <f t="shared" si="157"/>
        <v>724.88</v>
      </c>
      <c r="AM262" s="239">
        <v>1.034</v>
      </c>
      <c r="AN262" s="243">
        <v>-3.09E-2</v>
      </c>
      <c r="AO262" s="240" t="e">
        <f>#REF!-AM262</f>
        <v>#REF!</v>
      </c>
      <c r="AQ262" s="241">
        <f t="shared" si="158"/>
        <v>1.3085</v>
      </c>
      <c r="AR262" s="382">
        <v>160</v>
      </c>
      <c r="AS262" s="388" t="b">
        <f t="shared" si="159"/>
        <v>0</v>
      </c>
      <c r="AT262" s="411" t="e">
        <f>ROUND(W262/T262*100-100,2)+#REF!</f>
        <v>#REF!</v>
      </c>
      <c r="AW262">
        <f t="shared" si="160"/>
        <v>1</v>
      </c>
    </row>
    <row r="263" spans="1:49" x14ac:dyDescent="0.3">
      <c r="A263" s="587" t="s">
        <v>534</v>
      </c>
      <c r="B263" s="587" t="s">
        <v>268</v>
      </c>
      <c r="C263" s="585" t="s">
        <v>88</v>
      </c>
      <c r="D263" s="583" t="s">
        <v>199</v>
      </c>
      <c r="E263" s="588" t="s">
        <v>169</v>
      </c>
      <c r="F263" s="583">
        <f>VLOOKUP(E263,'условия, ФОТ'!$A$14:$I$28,9, FALSE)</f>
        <v>326.24</v>
      </c>
      <c r="G263" s="591">
        <v>0.5</v>
      </c>
      <c r="H263" s="583">
        <f t="shared" si="165"/>
        <v>163.12</v>
      </c>
      <c r="I263" s="583">
        <f t="shared" si="163"/>
        <v>49.26</v>
      </c>
      <c r="J263" s="583">
        <f t="shared" si="166"/>
        <v>212.38</v>
      </c>
      <c r="K263" s="589"/>
      <c r="L263" s="583"/>
      <c r="M263" s="583"/>
      <c r="N263" s="583"/>
      <c r="O263" s="583"/>
      <c r="P263" s="583">
        <f t="shared" si="167"/>
        <v>212.38</v>
      </c>
      <c r="Q263" s="583">
        <f t="shared" si="152"/>
        <v>164.59</v>
      </c>
      <c r="R263" s="584">
        <f t="shared" si="161"/>
        <v>558.33000000000004</v>
      </c>
      <c r="S263" s="584">
        <f t="shared" si="153"/>
        <v>111.67</v>
      </c>
      <c r="T263" s="584">
        <f t="shared" si="154"/>
        <v>670</v>
      </c>
      <c r="U263" s="121">
        <v>300</v>
      </c>
      <c r="V263" s="122">
        <f t="shared" si="168"/>
        <v>123.33333333333334</v>
      </c>
      <c r="W263" s="511">
        <v>670</v>
      </c>
      <c r="X263" s="398">
        <f t="shared" si="162"/>
        <v>452.36</v>
      </c>
      <c r="Y263" s="474">
        <f t="shared" si="164"/>
        <v>0.48110000000000003</v>
      </c>
      <c r="Z263" s="464" t="e">
        <f>#REF!*Y263</f>
        <v>#REF!</v>
      </c>
      <c r="AB263" s="404">
        <v>224.37800000000001</v>
      </c>
      <c r="AC263" s="434"/>
      <c r="AD263" s="478">
        <f t="shared" si="156"/>
        <v>370</v>
      </c>
      <c r="AE263" s="394"/>
      <c r="AG263" s="237">
        <v>-2.9399999999999999E-2</v>
      </c>
      <c r="AH263" s="236">
        <f t="shared" si="139"/>
        <v>1.0294000000000001</v>
      </c>
      <c r="AI263" s="235">
        <v>1.0640000000000001</v>
      </c>
      <c r="AK263" s="152">
        <f t="shared" si="157"/>
        <v>712.88</v>
      </c>
      <c r="AM263" s="239">
        <v>1.034</v>
      </c>
      <c r="AN263" s="243">
        <v>-2.9399999999999999E-2</v>
      </c>
      <c r="AO263" s="240" t="e">
        <f>#REF!-AM263</f>
        <v>#REF!</v>
      </c>
      <c r="AQ263" s="241">
        <f t="shared" si="158"/>
        <v>0.51050000000000006</v>
      </c>
      <c r="AR263" s="382">
        <v>243</v>
      </c>
      <c r="AS263" s="388" t="b">
        <f t="shared" si="159"/>
        <v>0</v>
      </c>
      <c r="AT263" s="411" t="e">
        <f>ROUND(W263/T263*100-100,2)+#REF!</f>
        <v>#REF!</v>
      </c>
      <c r="AW263">
        <f t="shared" si="160"/>
        <v>1</v>
      </c>
    </row>
    <row r="264" spans="1:49" x14ac:dyDescent="0.3">
      <c r="A264" s="587" t="s">
        <v>535</v>
      </c>
      <c r="B264" s="587" t="s">
        <v>269</v>
      </c>
      <c r="C264" s="585" t="s">
        <v>89</v>
      </c>
      <c r="D264" s="583" t="s">
        <v>199</v>
      </c>
      <c r="E264" s="588" t="s">
        <v>169</v>
      </c>
      <c r="F264" s="583">
        <f>VLOOKUP(E264,'условия, ФОТ'!$A$14:$I$28,9, FALSE)</f>
        <v>326.24</v>
      </c>
      <c r="G264" s="591">
        <v>0.33</v>
      </c>
      <c r="H264" s="583">
        <f t="shared" si="165"/>
        <v>107.66</v>
      </c>
      <c r="I264" s="583">
        <f t="shared" si="163"/>
        <v>32.51</v>
      </c>
      <c r="J264" s="583">
        <f t="shared" si="166"/>
        <v>140.16999999999999</v>
      </c>
      <c r="K264" s="589"/>
      <c r="L264" s="583"/>
      <c r="M264" s="583"/>
      <c r="N264" s="583"/>
      <c r="O264" s="583"/>
      <c r="P264" s="583">
        <f t="shared" si="167"/>
        <v>140.16999999999999</v>
      </c>
      <c r="Q264" s="583">
        <f t="shared" si="152"/>
        <v>108.63</v>
      </c>
      <c r="R264" s="584">
        <f t="shared" si="161"/>
        <v>366.67</v>
      </c>
      <c r="S264" s="584">
        <f t="shared" si="153"/>
        <v>73.33</v>
      </c>
      <c r="T264" s="584">
        <f t="shared" si="154"/>
        <v>440</v>
      </c>
      <c r="U264" s="121">
        <v>197</v>
      </c>
      <c r="V264" s="122">
        <f t="shared" si="168"/>
        <v>123.35025380710661</v>
      </c>
      <c r="W264" s="511">
        <v>440</v>
      </c>
      <c r="X264" s="398">
        <f t="shared" si="162"/>
        <v>298.56</v>
      </c>
      <c r="Y264" s="510">
        <f t="shared" si="164"/>
        <v>0.47370000000000001</v>
      </c>
      <c r="Z264" s="464" t="e">
        <f>#REF!*Y264</f>
        <v>#REF!</v>
      </c>
      <c r="AB264" s="404">
        <v>147.86199999999999</v>
      </c>
      <c r="AC264" s="434"/>
      <c r="AD264" s="478">
        <f t="shared" si="156"/>
        <v>243</v>
      </c>
      <c r="AE264" s="394"/>
      <c r="AG264" s="237">
        <v>-3.09E-2</v>
      </c>
      <c r="AH264" s="236">
        <f t="shared" si="139"/>
        <v>1.0308999999999999</v>
      </c>
      <c r="AI264" s="235">
        <v>1.0660000000000001</v>
      </c>
      <c r="AK264" s="152">
        <f t="shared" si="157"/>
        <v>469.04</v>
      </c>
      <c r="AM264" s="239">
        <v>1.034</v>
      </c>
      <c r="AN264" s="243">
        <v>-3.09E-2</v>
      </c>
      <c r="AO264" s="240" t="e">
        <f>#REF!-AM264</f>
        <v>#REF!</v>
      </c>
      <c r="AQ264" s="241">
        <f t="shared" si="158"/>
        <v>0.50460000000000005</v>
      </c>
      <c r="AR264" s="382">
        <v>160</v>
      </c>
      <c r="AS264" s="388" t="b">
        <f t="shared" si="159"/>
        <v>0</v>
      </c>
      <c r="AT264" s="411" t="e">
        <f>ROUND(W264/T264*100-100,2)+#REF!</f>
        <v>#REF!</v>
      </c>
      <c r="AW264">
        <f t="shared" si="160"/>
        <v>1</v>
      </c>
    </row>
    <row r="265" spans="1:49" ht="25.5" x14ac:dyDescent="0.3">
      <c r="A265" s="587" t="s">
        <v>536</v>
      </c>
      <c r="B265" s="587" t="s">
        <v>270</v>
      </c>
      <c r="C265" s="585" t="s">
        <v>90</v>
      </c>
      <c r="D265" s="583" t="s">
        <v>199</v>
      </c>
      <c r="E265" s="588" t="s">
        <v>169</v>
      </c>
      <c r="F265" s="583">
        <f>VLOOKUP(E265,'условия, ФОТ'!$A$14:$I$28,9, FALSE)</f>
        <v>326.24</v>
      </c>
      <c r="G265" s="591">
        <v>1</v>
      </c>
      <c r="H265" s="583">
        <f t="shared" si="165"/>
        <v>326.24</v>
      </c>
      <c r="I265" s="583">
        <f t="shared" si="163"/>
        <v>98.52</v>
      </c>
      <c r="J265" s="583">
        <f t="shared" si="166"/>
        <v>424.76</v>
      </c>
      <c r="K265" s="589"/>
      <c r="L265" s="583"/>
      <c r="M265" s="583"/>
      <c r="N265" s="583"/>
      <c r="O265" s="583"/>
      <c r="P265" s="583">
        <f t="shared" si="167"/>
        <v>424.76</v>
      </c>
      <c r="Q265" s="583">
        <f t="shared" si="152"/>
        <v>329.19</v>
      </c>
      <c r="R265" s="584">
        <f t="shared" si="161"/>
        <v>1116.67</v>
      </c>
      <c r="S265" s="584">
        <f t="shared" si="153"/>
        <v>223.33</v>
      </c>
      <c r="T265" s="584">
        <f t="shared" si="154"/>
        <v>1340</v>
      </c>
      <c r="U265" s="121">
        <v>599</v>
      </c>
      <c r="V265" s="122">
        <f t="shared" si="168"/>
        <v>123.70617696160267</v>
      </c>
      <c r="W265" s="511">
        <v>1340</v>
      </c>
      <c r="X265" s="398">
        <f t="shared" si="162"/>
        <v>904.74</v>
      </c>
      <c r="Y265" s="510">
        <f t="shared" si="164"/>
        <v>0.48110000000000003</v>
      </c>
      <c r="Z265" s="464" t="e">
        <f>#REF!*Y265</f>
        <v>#REF!</v>
      </c>
      <c r="AB265" s="404">
        <v>448.75600000000003</v>
      </c>
      <c r="AC265" s="434"/>
      <c r="AD265" s="478">
        <f t="shared" si="156"/>
        <v>741</v>
      </c>
      <c r="AE265" s="394"/>
      <c r="AG265" s="237">
        <v>-2.9399999999999999E-2</v>
      </c>
      <c r="AH265" s="236">
        <f t="shared" ref="AH265:AH330" si="175">IF(AG265&lt;0,-AG265+1,AG265)</f>
        <v>1.0294000000000001</v>
      </c>
      <c r="AI265" s="235">
        <v>1.0640000000000001</v>
      </c>
      <c r="AK265" s="152">
        <f t="shared" si="157"/>
        <v>1425.76</v>
      </c>
      <c r="AM265" s="239">
        <v>1.034</v>
      </c>
      <c r="AN265" s="243">
        <v>-2.9399999999999999E-2</v>
      </c>
      <c r="AO265" s="240" t="e">
        <f>#REF!-AM265</f>
        <v>#REF!</v>
      </c>
      <c r="AQ265" s="241">
        <f t="shared" si="158"/>
        <v>0.51050000000000006</v>
      </c>
      <c r="AR265" s="382">
        <v>485</v>
      </c>
      <c r="AS265" s="388" t="b">
        <f t="shared" si="159"/>
        <v>0</v>
      </c>
      <c r="AT265" s="411" t="e">
        <f>ROUND(W265/T265*100-100,2)+#REF!</f>
        <v>#REF!</v>
      </c>
      <c r="AW265">
        <f t="shared" si="160"/>
        <v>1</v>
      </c>
    </row>
    <row r="266" spans="1:49" x14ac:dyDescent="0.3">
      <c r="A266" s="587" t="s">
        <v>537</v>
      </c>
      <c r="B266" s="587" t="s">
        <v>271</v>
      </c>
      <c r="C266" s="585" t="s">
        <v>91</v>
      </c>
      <c r="D266" s="583" t="s">
        <v>272</v>
      </c>
      <c r="E266" s="588" t="s">
        <v>169</v>
      </c>
      <c r="F266" s="583">
        <f>VLOOKUP(E266,'условия, ФОТ'!$A$14:$I$28,9, FALSE)</f>
        <v>326.24</v>
      </c>
      <c r="G266" s="591">
        <v>0.25</v>
      </c>
      <c r="H266" s="583">
        <f t="shared" si="165"/>
        <v>81.56</v>
      </c>
      <c r="I266" s="583">
        <f t="shared" si="163"/>
        <v>24.63</v>
      </c>
      <c r="J266" s="583">
        <f t="shared" si="166"/>
        <v>106.19</v>
      </c>
      <c r="K266" s="589"/>
      <c r="L266" s="583"/>
      <c r="M266" s="583"/>
      <c r="N266" s="583"/>
      <c r="O266" s="583"/>
      <c r="P266" s="583">
        <f t="shared" si="167"/>
        <v>106.19</v>
      </c>
      <c r="Q266" s="583">
        <f t="shared" si="152"/>
        <v>82.3</v>
      </c>
      <c r="R266" s="584">
        <f t="shared" si="161"/>
        <v>275</v>
      </c>
      <c r="S266" s="584">
        <f t="shared" si="153"/>
        <v>55</v>
      </c>
      <c r="T266" s="584">
        <f t="shared" si="154"/>
        <v>330</v>
      </c>
      <c r="U266" s="121">
        <v>149</v>
      </c>
      <c r="V266" s="122">
        <f t="shared" si="168"/>
        <v>121.47651006711411</v>
      </c>
      <c r="W266" s="511">
        <v>330</v>
      </c>
      <c r="X266" s="398">
        <f t="shared" si="162"/>
        <v>226.19</v>
      </c>
      <c r="Y266" s="510">
        <f t="shared" si="164"/>
        <v>0.45900000000000002</v>
      </c>
      <c r="Z266" s="464" t="e">
        <f>#REF!*Y266</f>
        <v>#REF!</v>
      </c>
      <c r="AB266" s="404">
        <v>111.672</v>
      </c>
      <c r="AC266" s="434"/>
      <c r="AD266" s="478">
        <f t="shared" si="156"/>
        <v>181</v>
      </c>
      <c r="AE266" s="394"/>
      <c r="AG266" s="237">
        <v>-3.4000000000000002E-2</v>
      </c>
      <c r="AH266" s="236">
        <f t="shared" si="175"/>
        <v>1.034</v>
      </c>
      <c r="AI266" s="235">
        <v>1.069</v>
      </c>
      <c r="AK266" s="152">
        <f t="shared" si="157"/>
        <v>352.77</v>
      </c>
      <c r="AM266" s="239">
        <v>1.034</v>
      </c>
      <c r="AN266" s="243">
        <v>-3.4000000000000002E-2</v>
      </c>
      <c r="AO266" s="240" t="e">
        <f>#REF!-AM266</f>
        <v>#REF!</v>
      </c>
      <c r="AQ266" s="241">
        <f t="shared" si="158"/>
        <v>0.49299999999999999</v>
      </c>
      <c r="AR266" s="382">
        <v>121</v>
      </c>
      <c r="AS266" s="388" t="b">
        <f t="shared" si="159"/>
        <v>0</v>
      </c>
      <c r="AT266" s="411" t="e">
        <f>ROUND(W266/T266*100-100,2)+#REF!</f>
        <v>#REF!</v>
      </c>
      <c r="AW266">
        <f t="shared" si="160"/>
        <v>1</v>
      </c>
    </row>
    <row r="267" spans="1:49" x14ac:dyDescent="0.3">
      <c r="A267" s="587" t="s">
        <v>538</v>
      </c>
      <c r="B267" s="587" t="s">
        <v>273</v>
      </c>
      <c r="C267" s="585" t="s">
        <v>92</v>
      </c>
      <c r="D267" s="583" t="s">
        <v>274</v>
      </c>
      <c r="E267" s="588" t="s">
        <v>169</v>
      </c>
      <c r="F267" s="583">
        <f>VLOOKUP(E267,'условия, ФОТ'!$A$14:$I$28,9, FALSE)</f>
        <v>326.24</v>
      </c>
      <c r="G267" s="591">
        <v>0.1</v>
      </c>
      <c r="H267" s="583">
        <f t="shared" si="165"/>
        <v>32.619999999999997</v>
      </c>
      <c r="I267" s="583">
        <f t="shared" si="163"/>
        <v>9.85</v>
      </c>
      <c r="J267" s="583">
        <f t="shared" si="166"/>
        <v>42.47</v>
      </c>
      <c r="K267" s="589"/>
      <c r="L267" s="583"/>
      <c r="M267" s="583"/>
      <c r="N267" s="583"/>
      <c r="O267" s="583"/>
      <c r="P267" s="583">
        <f t="shared" si="167"/>
        <v>42.47</v>
      </c>
      <c r="Q267" s="583">
        <f t="shared" si="152"/>
        <v>32.909999999999997</v>
      </c>
      <c r="R267" s="584">
        <f t="shared" si="161"/>
        <v>108.33</v>
      </c>
      <c r="S267" s="584">
        <f>ROUND(R267*$S$5,2)</f>
        <v>21.67</v>
      </c>
      <c r="T267" s="584">
        <f t="shared" si="154"/>
        <v>130</v>
      </c>
      <c r="U267" s="121">
        <v>60</v>
      </c>
      <c r="V267" s="122">
        <f t="shared" si="168"/>
        <v>116.66666666666666</v>
      </c>
      <c r="W267" s="511">
        <v>130</v>
      </c>
      <c r="X267" s="398">
        <f t="shared" si="162"/>
        <v>90.46</v>
      </c>
      <c r="Y267" s="510">
        <f t="shared" si="164"/>
        <v>0.43709999999999999</v>
      </c>
      <c r="Z267" s="464" t="e">
        <f>#REF!*Y267</f>
        <v>#REF!</v>
      </c>
      <c r="AB267" s="404">
        <v>44.462000000000003</v>
      </c>
      <c r="AC267" s="434"/>
      <c r="AD267" s="478">
        <f t="shared" si="156"/>
        <v>70</v>
      </c>
      <c r="AE267" s="394"/>
      <c r="AG267" s="237">
        <v>-3.8100000000000002E-2</v>
      </c>
      <c r="AH267" s="236">
        <f t="shared" si="175"/>
        <v>1.0381</v>
      </c>
      <c r="AI267" s="235">
        <v>1.073</v>
      </c>
      <c r="AK267" s="152">
        <f t="shared" si="157"/>
        <v>139.49</v>
      </c>
      <c r="AM267" s="239">
        <v>1.034</v>
      </c>
      <c r="AN267" s="243">
        <v>-3.8100000000000002E-2</v>
      </c>
      <c r="AO267" s="240" t="e">
        <f>#REF!-AM267</f>
        <v>#REF!</v>
      </c>
      <c r="AQ267" s="241">
        <f t="shared" si="158"/>
        <v>0.47520000000000001</v>
      </c>
      <c r="AR267" s="382">
        <v>49</v>
      </c>
      <c r="AS267" s="388" t="b">
        <f t="shared" si="159"/>
        <v>0</v>
      </c>
      <c r="AT267" s="411" t="e">
        <f>ROUND(W267/T267*100-100,2)+#REF!</f>
        <v>#REF!</v>
      </c>
      <c r="AW267">
        <f t="shared" si="160"/>
        <v>1</v>
      </c>
    </row>
    <row r="268" spans="1:49" x14ac:dyDescent="0.3">
      <c r="A268" s="587" t="s">
        <v>539</v>
      </c>
      <c r="B268" s="587" t="s">
        <v>276</v>
      </c>
      <c r="C268" s="585" t="s">
        <v>93</v>
      </c>
      <c r="D268" s="583" t="s">
        <v>275</v>
      </c>
      <c r="E268" s="588" t="s">
        <v>169</v>
      </c>
      <c r="F268" s="583">
        <f>VLOOKUP(E268,'условия, ФОТ'!$A$14:$I$28,9, FALSE)</f>
        <v>326.24</v>
      </c>
      <c r="G268" s="591">
        <v>0.52</v>
      </c>
      <c r="H268" s="583">
        <f t="shared" si="165"/>
        <v>169.64</v>
      </c>
      <c r="I268" s="583">
        <f t="shared" si="163"/>
        <v>51.23</v>
      </c>
      <c r="J268" s="583">
        <f t="shared" si="166"/>
        <v>220.86999999999998</v>
      </c>
      <c r="K268" s="589"/>
      <c r="L268" s="583"/>
      <c r="M268" s="583"/>
      <c r="N268" s="583"/>
      <c r="O268" s="583"/>
      <c r="P268" s="583">
        <f t="shared" si="167"/>
        <v>220.86999999999998</v>
      </c>
      <c r="Q268" s="583">
        <f t="shared" si="152"/>
        <v>171.17</v>
      </c>
      <c r="R268" s="584">
        <f t="shared" si="161"/>
        <v>583.33000000000004</v>
      </c>
      <c r="S268" s="584">
        <f t="shared" si="153"/>
        <v>116.67</v>
      </c>
      <c r="T268" s="584">
        <f t="shared" si="154"/>
        <v>700</v>
      </c>
      <c r="U268" s="121">
        <v>311</v>
      </c>
      <c r="V268" s="122">
        <f t="shared" si="168"/>
        <v>125.08038585209005</v>
      </c>
      <c r="W268" s="511">
        <v>700</v>
      </c>
      <c r="X268" s="398">
        <f t="shared" si="162"/>
        <v>470.45</v>
      </c>
      <c r="Y268" s="510">
        <f t="shared" si="164"/>
        <v>0.4879</v>
      </c>
      <c r="Z268" s="464" t="e">
        <f>#REF!*Y268</f>
        <v>#REF!</v>
      </c>
      <c r="AB268" s="404">
        <v>233.684</v>
      </c>
      <c r="AC268" s="434"/>
      <c r="AD268" s="478">
        <f t="shared" si="156"/>
        <v>389</v>
      </c>
      <c r="AE268" s="394"/>
      <c r="AG268" s="237">
        <v>-2.8000000000000001E-2</v>
      </c>
      <c r="AH268" s="236">
        <f t="shared" si="175"/>
        <v>1.028</v>
      </c>
      <c r="AI268" s="235">
        <v>1.0629999999999999</v>
      </c>
      <c r="AK268" s="152">
        <f t="shared" si="157"/>
        <v>744.1</v>
      </c>
      <c r="AM268" s="239">
        <v>1.034</v>
      </c>
      <c r="AN268" s="243">
        <v>-2.8000000000000001E-2</v>
      </c>
      <c r="AO268" s="240" t="e">
        <f>#REF!-AM268</f>
        <v>#REF!</v>
      </c>
      <c r="AQ268" s="241">
        <f t="shared" si="158"/>
        <v>0.51590000000000003</v>
      </c>
      <c r="AR268" s="382">
        <v>252</v>
      </c>
      <c r="AS268" s="388" t="b">
        <f t="shared" si="159"/>
        <v>0</v>
      </c>
      <c r="AT268" s="411" t="e">
        <f>ROUND(W268/T268*100-100,2)+#REF!</f>
        <v>#REF!</v>
      </c>
      <c r="AW268">
        <f t="shared" si="160"/>
        <v>1</v>
      </c>
    </row>
    <row r="269" spans="1:49" x14ac:dyDescent="0.3">
      <c r="A269" s="587" t="s">
        <v>540</v>
      </c>
      <c r="B269" s="587" t="s">
        <v>277</v>
      </c>
      <c r="C269" s="585" t="s">
        <v>94</v>
      </c>
      <c r="D269" s="583" t="s">
        <v>275</v>
      </c>
      <c r="E269" s="588" t="s">
        <v>169</v>
      </c>
      <c r="F269" s="583">
        <f>VLOOKUP(E269,'условия, ФОТ'!$A$14:$I$28,9, FALSE)</f>
        <v>326.24</v>
      </c>
      <c r="G269" s="591">
        <v>0.32</v>
      </c>
      <c r="H269" s="583">
        <f t="shared" si="165"/>
        <v>104.4</v>
      </c>
      <c r="I269" s="583">
        <f t="shared" si="163"/>
        <v>31.53</v>
      </c>
      <c r="J269" s="583">
        <f t="shared" si="166"/>
        <v>135.93</v>
      </c>
      <c r="K269" s="589"/>
      <c r="L269" s="583"/>
      <c r="M269" s="583"/>
      <c r="N269" s="583"/>
      <c r="O269" s="583"/>
      <c r="P269" s="583">
        <f t="shared" si="167"/>
        <v>135.93</v>
      </c>
      <c r="Q269" s="583">
        <f t="shared" si="152"/>
        <v>105.35</v>
      </c>
      <c r="R269" s="584">
        <f t="shared" si="161"/>
        <v>358.33</v>
      </c>
      <c r="S269" s="584">
        <f>ROUND(R269*$S$5,2)</f>
        <v>71.67</v>
      </c>
      <c r="T269" s="584">
        <f t="shared" si="154"/>
        <v>430</v>
      </c>
      <c r="U269" s="121">
        <v>191</v>
      </c>
      <c r="V269" s="122">
        <f t="shared" si="168"/>
        <v>125.13089005235599</v>
      </c>
      <c r="W269" s="511">
        <v>430</v>
      </c>
      <c r="X269" s="398">
        <f t="shared" si="162"/>
        <v>289.54000000000002</v>
      </c>
      <c r="Y269" s="510">
        <f t="shared" si="164"/>
        <v>0.48509999999999998</v>
      </c>
      <c r="Z269" s="464" t="e">
        <f>#REF!*Y269</f>
        <v>#REF!</v>
      </c>
      <c r="AB269" s="404">
        <v>143.726</v>
      </c>
      <c r="AC269" s="434"/>
      <c r="AD269" s="478">
        <f t="shared" si="156"/>
        <v>239</v>
      </c>
      <c r="AE269" s="394"/>
      <c r="AG269" s="237">
        <v>-2.86E-2</v>
      </c>
      <c r="AH269" s="236">
        <f t="shared" si="175"/>
        <v>1.0286</v>
      </c>
      <c r="AI269" s="235">
        <v>1.0640000000000001</v>
      </c>
      <c r="AK269" s="152">
        <f t="shared" si="157"/>
        <v>457.52</v>
      </c>
      <c r="AM269" s="239">
        <v>1.034</v>
      </c>
      <c r="AN269" s="243">
        <v>-2.86E-2</v>
      </c>
      <c r="AO269" s="240" t="e">
        <f>#REF!-AM269</f>
        <v>#REF!</v>
      </c>
      <c r="AQ269" s="241">
        <f t="shared" si="158"/>
        <v>0.51369999999999993</v>
      </c>
      <c r="AR269" s="382">
        <v>155</v>
      </c>
      <c r="AS269" s="388" t="b">
        <f t="shared" si="159"/>
        <v>0</v>
      </c>
      <c r="AT269" s="411" t="e">
        <f>ROUND(W269/T269*100-100,2)+#REF!</f>
        <v>#REF!</v>
      </c>
      <c r="AW269">
        <f t="shared" si="160"/>
        <v>1</v>
      </c>
    </row>
    <row r="270" spans="1:49" x14ac:dyDescent="0.3">
      <c r="A270" s="587" t="s">
        <v>541</v>
      </c>
      <c r="B270" s="587" t="s">
        <v>278</v>
      </c>
      <c r="C270" s="585" t="s">
        <v>95</v>
      </c>
      <c r="D270" s="583" t="s">
        <v>211</v>
      </c>
      <c r="E270" s="588" t="s">
        <v>169</v>
      </c>
      <c r="F270" s="583">
        <f>VLOOKUP(E270,'условия, ФОТ'!$A$14:$I$28,9, FALSE)</f>
        <v>326.24</v>
      </c>
      <c r="G270" s="591">
        <v>0.4</v>
      </c>
      <c r="H270" s="583">
        <f t="shared" si="165"/>
        <v>130.5</v>
      </c>
      <c r="I270" s="583">
        <f t="shared" si="163"/>
        <v>39.409999999999997</v>
      </c>
      <c r="J270" s="583">
        <f t="shared" si="166"/>
        <v>169.91</v>
      </c>
      <c r="K270" s="589"/>
      <c r="L270" s="583"/>
      <c r="M270" s="583"/>
      <c r="N270" s="583"/>
      <c r="O270" s="583"/>
      <c r="P270" s="583">
        <f t="shared" si="167"/>
        <v>169.91</v>
      </c>
      <c r="Q270" s="583">
        <f t="shared" si="152"/>
        <v>131.68</v>
      </c>
      <c r="R270" s="584">
        <f t="shared" si="161"/>
        <v>450</v>
      </c>
      <c r="S270" s="584">
        <f t="shared" si="153"/>
        <v>90</v>
      </c>
      <c r="T270" s="584">
        <f t="shared" si="154"/>
        <v>540</v>
      </c>
      <c r="U270" s="121">
        <v>240</v>
      </c>
      <c r="V270" s="122">
        <f t="shared" si="168"/>
        <v>125</v>
      </c>
      <c r="W270" s="511">
        <v>540</v>
      </c>
      <c r="X270" s="398">
        <f t="shared" si="162"/>
        <v>361.91</v>
      </c>
      <c r="Y270" s="510">
        <f t="shared" si="164"/>
        <v>0.49209999999999998</v>
      </c>
      <c r="Z270" s="464" t="e">
        <f>#REF!*Y270</f>
        <v>#REF!</v>
      </c>
      <c r="AB270" s="404">
        <v>178.88200000000001</v>
      </c>
      <c r="AC270" s="434"/>
      <c r="AD270" s="478">
        <f t="shared" si="156"/>
        <v>300</v>
      </c>
      <c r="AE270" s="394"/>
      <c r="AG270" s="237">
        <v>-3.2899999999999999E-2</v>
      </c>
      <c r="AH270" s="236">
        <f t="shared" si="175"/>
        <v>1.0328999999999999</v>
      </c>
      <c r="AI270" s="235">
        <v>1.0680000000000001</v>
      </c>
      <c r="AK270" s="152">
        <f t="shared" si="157"/>
        <v>576.72</v>
      </c>
      <c r="AM270" s="239">
        <v>1.034</v>
      </c>
      <c r="AN270" s="243">
        <v>-3.2899999999999999E-2</v>
      </c>
      <c r="AO270" s="240" t="e">
        <f>#REF!-AM270</f>
        <v>#REF!</v>
      </c>
      <c r="AQ270" s="241">
        <f t="shared" si="158"/>
        <v>0.52500000000000002</v>
      </c>
      <c r="AR270" s="382">
        <v>194</v>
      </c>
      <c r="AS270" s="388" t="b">
        <f t="shared" si="159"/>
        <v>0</v>
      </c>
      <c r="AT270" s="411" t="e">
        <f>ROUND(W270/T270*100-100,2)+#REF!</f>
        <v>#REF!</v>
      </c>
      <c r="AW270">
        <f t="shared" si="160"/>
        <v>1</v>
      </c>
    </row>
    <row r="271" spans="1:49" x14ac:dyDescent="0.3">
      <c r="A271" s="587" t="s">
        <v>542</v>
      </c>
      <c r="B271" s="587" t="s">
        <v>279</v>
      </c>
      <c r="C271" s="585" t="s">
        <v>96</v>
      </c>
      <c r="D271" s="583" t="s">
        <v>211</v>
      </c>
      <c r="E271" s="588" t="s">
        <v>169</v>
      </c>
      <c r="F271" s="583">
        <f>VLOOKUP(E271,'условия, ФОТ'!$A$14:$I$28,9, FALSE)</f>
        <v>326.24</v>
      </c>
      <c r="G271" s="591">
        <v>0.55000000000000004</v>
      </c>
      <c r="H271" s="583">
        <f t="shared" si="165"/>
        <v>179.43</v>
      </c>
      <c r="I271" s="583">
        <f t="shared" si="163"/>
        <v>54.19</v>
      </c>
      <c r="J271" s="583">
        <f t="shared" si="166"/>
        <v>233.62</v>
      </c>
      <c r="K271" s="589"/>
      <c r="L271" s="583"/>
      <c r="M271" s="583"/>
      <c r="N271" s="583"/>
      <c r="O271" s="583"/>
      <c r="P271" s="583">
        <f t="shared" si="167"/>
        <v>233.62</v>
      </c>
      <c r="Q271" s="583">
        <f t="shared" si="152"/>
        <v>181.06</v>
      </c>
      <c r="R271" s="584">
        <f t="shared" si="161"/>
        <v>616.66999999999996</v>
      </c>
      <c r="S271" s="584">
        <f t="shared" si="153"/>
        <v>123.33</v>
      </c>
      <c r="T271" s="584">
        <f t="shared" si="154"/>
        <v>740</v>
      </c>
      <c r="U271" s="121">
        <v>330</v>
      </c>
      <c r="V271" s="122">
        <f t="shared" si="168"/>
        <v>124.24242424242422</v>
      </c>
      <c r="W271" s="511">
        <v>740</v>
      </c>
      <c r="X271" s="398">
        <f t="shared" si="162"/>
        <v>497.62</v>
      </c>
      <c r="Y271" s="510">
        <f t="shared" si="164"/>
        <v>0.48709999999999998</v>
      </c>
      <c r="Z271" s="464" t="e">
        <f>#REF!*Y271</f>
        <v>#REF!</v>
      </c>
      <c r="AB271" s="404">
        <v>247.126</v>
      </c>
      <c r="AC271" s="434"/>
      <c r="AD271" s="478">
        <f t="shared" si="156"/>
        <v>410</v>
      </c>
      <c r="AE271" s="394"/>
      <c r="AG271" s="237">
        <v>-2.8199999999999999E-2</v>
      </c>
      <c r="AH271" s="236">
        <f t="shared" si="175"/>
        <v>1.0282</v>
      </c>
      <c r="AI271" s="235">
        <v>1.0629999999999999</v>
      </c>
      <c r="AK271" s="152">
        <f t="shared" si="157"/>
        <v>786.62</v>
      </c>
      <c r="AM271" s="239">
        <v>1.034</v>
      </c>
      <c r="AN271" s="243">
        <v>-2.8199999999999999E-2</v>
      </c>
      <c r="AO271" s="240" t="e">
        <f>#REF!-AM271</f>
        <v>#REF!</v>
      </c>
      <c r="AQ271" s="241">
        <f t="shared" si="158"/>
        <v>0.51529999999999998</v>
      </c>
      <c r="AR271" s="382">
        <v>267</v>
      </c>
      <c r="AS271" s="388" t="b">
        <f t="shared" si="159"/>
        <v>0</v>
      </c>
      <c r="AT271" s="411" t="e">
        <f>ROUND(W271/T271*100-100,2)+#REF!</f>
        <v>#REF!</v>
      </c>
      <c r="AW271">
        <f t="shared" si="160"/>
        <v>1</v>
      </c>
    </row>
    <row r="272" spans="1:49" ht="25.5" x14ac:dyDescent="0.3">
      <c r="A272" s="587" t="s">
        <v>543</v>
      </c>
      <c r="B272" s="587" t="s">
        <v>280</v>
      </c>
      <c r="C272" s="585" t="s">
        <v>97</v>
      </c>
      <c r="D272" s="583" t="s">
        <v>211</v>
      </c>
      <c r="E272" s="588" t="s">
        <v>169</v>
      </c>
      <c r="F272" s="583">
        <f>VLOOKUP(E272,'условия, ФОТ'!$A$14:$I$28,9, FALSE)</f>
        <v>326.24</v>
      </c>
      <c r="G272" s="591">
        <v>0.75</v>
      </c>
      <c r="H272" s="583">
        <f t="shared" si="165"/>
        <v>244.68</v>
      </c>
      <c r="I272" s="583">
        <f t="shared" si="163"/>
        <v>73.89</v>
      </c>
      <c r="J272" s="583">
        <f t="shared" si="166"/>
        <v>318.57</v>
      </c>
      <c r="K272" s="589"/>
      <c r="L272" s="583"/>
      <c r="M272" s="583"/>
      <c r="N272" s="583"/>
      <c r="O272" s="583"/>
      <c r="P272" s="583">
        <f t="shared" si="167"/>
        <v>318.57</v>
      </c>
      <c r="Q272" s="583">
        <f t="shared" si="152"/>
        <v>246.89</v>
      </c>
      <c r="R272" s="584">
        <f t="shared" si="161"/>
        <v>609.16999999999996</v>
      </c>
      <c r="S272" s="584">
        <f t="shared" si="153"/>
        <v>121.83</v>
      </c>
      <c r="T272" s="584">
        <f t="shared" si="154"/>
        <v>731</v>
      </c>
      <c r="U272" s="519">
        <v>449</v>
      </c>
      <c r="V272" s="537">
        <f t="shared" si="168"/>
        <v>62.806236080178167</v>
      </c>
      <c r="W272" s="520">
        <v>0</v>
      </c>
      <c r="X272" s="521">
        <f t="shared" si="162"/>
        <v>678.55</v>
      </c>
      <c r="Y272" s="514">
        <v>7.6999999999999999E-2</v>
      </c>
      <c r="Z272" s="464" t="e">
        <f>#REF!*Y272</f>
        <v>#REF!</v>
      </c>
      <c r="AB272" s="404">
        <v>336.05</v>
      </c>
      <c r="AC272" s="434"/>
      <c r="AD272" s="478">
        <f t="shared" si="156"/>
        <v>282</v>
      </c>
      <c r="AE272" s="394"/>
      <c r="AG272" s="237">
        <v>-3.09E-2</v>
      </c>
      <c r="AH272" s="236">
        <f t="shared" si="175"/>
        <v>1.0308999999999999</v>
      </c>
      <c r="AI272" s="235">
        <v>1.0660000000000001</v>
      </c>
      <c r="AK272" s="152">
        <f t="shared" si="157"/>
        <v>0</v>
      </c>
      <c r="AM272" s="239">
        <v>1.034</v>
      </c>
      <c r="AN272" s="243">
        <v>-3.09E-2</v>
      </c>
      <c r="AO272" s="240" t="e">
        <f>#REF!-AM272</f>
        <v>#REF!</v>
      </c>
      <c r="AQ272" s="241">
        <f t="shared" si="158"/>
        <v>0.1079</v>
      </c>
      <c r="AR272" s="382">
        <v>364</v>
      </c>
      <c r="AS272" s="388" t="b">
        <f t="shared" si="159"/>
        <v>0</v>
      </c>
      <c r="AT272" s="411" t="e">
        <f>ROUND(W272/T272*100-100,2)+#REF!</f>
        <v>#REF!</v>
      </c>
      <c r="AW272" t="e">
        <f t="shared" si="160"/>
        <v>#DIV/0!</v>
      </c>
    </row>
    <row r="273" spans="1:49" ht="17.25" customHeight="1" x14ac:dyDescent="0.3">
      <c r="A273" s="587" t="s">
        <v>544</v>
      </c>
      <c r="B273" s="587" t="s">
        <v>281</v>
      </c>
      <c r="C273" s="585" t="s">
        <v>98</v>
      </c>
      <c r="D273" s="583" t="s">
        <v>190</v>
      </c>
      <c r="E273" s="588" t="s">
        <v>169</v>
      </c>
      <c r="F273" s="583">
        <f>VLOOKUP(E273,'условия, ФОТ'!$A$14:$I$28,9, FALSE)</f>
        <v>326.24</v>
      </c>
      <c r="G273" s="591">
        <v>0.8</v>
      </c>
      <c r="H273" s="583">
        <f t="shared" si="165"/>
        <v>260.99</v>
      </c>
      <c r="I273" s="583">
        <f t="shared" si="163"/>
        <v>78.819999999999993</v>
      </c>
      <c r="J273" s="583">
        <f t="shared" si="166"/>
        <v>339.81</v>
      </c>
      <c r="K273" s="589"/>
      <c r="L273" s="583"/>
      <c r="M273" s="583"/>
      <c r="N273" s="583"/>
      <c r="O273" s="583"/>
      <c r="P273" s="583">
        <f t="shared" si="167"/>
        <v>339.81</v>
      </c>
      <c r="Q273" s="583">
        <f t="shared" si="152"/>
        <v>263.35000000000002</v>
      </c>
      <c r="R273" s="584">
        <f t="shared" si="161"/>
        <v>891.67</v>
      </c>
      <c r="S273" s="584">
        <f t="shared" si="153"/>
        <v>178.33</v>
      </c>
      <c r="T273" s="584">
        <f t="shared" si="154"/>
        <v>1070</v>
      </c>
      <c r="U273" s="121">
        <v>479</v>
      </c>
      <c r="V273" s="122">
        <f t="shared" si="168"/>
        <v>123.38204592901877</v>
      </c>
      <c r="W273" s="511">
        <v>1070</v>
      </c>
      <c r="X273" s="398">
        <f t="shared" si="162"/>
        <v>723.79</v>
      </c>
      <c r="Y273" s="474">
        <f t="shared" si="164"/>
        <v>0.4783</v>
      </c>
      <c r="Z273" s="464" t="e">
        <f>#REF!*Y273</f>
        <v>#REF!</v>
      </c>
      <c r="AB273" s="404">
        <v>358.798</v>
      </c>
      <c r="AC273" s="434"/>
      <c r="AD273" s="478">
        <f t="shared" si="156"/>
        <v>591</v>
      </c>
      <c r="AE273" s="394"/>
      <c r="AG273" s="237">
        <v>-0.03</v>
      </c>
      <c r="AH273" s="236">
        <f t="shared" si="175"/>
        <v>1.03</v>
      </c>
      <c r="AI273" s="235">
        <v>1.0649999999999999</v>
      </c>
      <c r="AK273" s="152">
        <f t="shared" si="157"/>
        <v>1139.55</v>
      </c>
      <c r="AM273" s="239">
        <v>1.034</v>
      </c>
      <c r="AN273" s="243">
        <v>-0.03</v>
      </c>
      <c r="AO273" s="240" t="e">
        <f>#REF!-AM273</f>
        <v>#REF!</v>
      </c>
      <c r="AQ273" s="241">
        <f t="shared" si="158"/>
        <v>0.50829999999999997</v>
      </c>
      <c r="AR273" s="382">
        <v>388</v>
      </c>
      <c r="AS273" s="388" t="b">
        <f t="shared" si="159"/>
        <v>0</v>
      </c>
      <c r="AT273" s="411" t="e">
        <f>ROUND(W273/T273*100-100,2)+#REF!</f>
        <v>#REF!</v>
      </c>
      <c r="AW273">
        <f t="shared" si="160"/>
        <v>1</v>
      </c>
    </row>
    <row r="274" spans="1:49" ht="31.7" customHeight="1" x14ac:dyDescent="0.3">
      <c r="A274" s="587" t="s">
        <v>545</v>
      </c>
      <c r="B274" s="587" t="s">
        <v>282</v>
      </c>
      <c r="C274" s="585" t="s">
        <v>99</v>
      </c>
      <c r="D274" s="583" t="s">
        <v>211</v>
      </c>
      <c r="E274" s="588" t="s">
        <v>169</v>
      </c>
      <c r="F274" s="583">
        <f>VLOOKUP(E274,'условия, ФОТ'!$A$14:$I$28,9, FALSE)</f>
        <v>326.24</v>
      </c>
      <c r="G274" s="591">
        <v>1</v>
      </c>
      <c r="H274" s="583">
        <f t="shared" si="165"/>
        <v>326.24</v>
      </c>
      <c r="I274" s="583">
        <f t="shared" si="163"/>
        <v>98.52</v>
      </c>
      <c r="J274" s="583">
        <f t="shared" si="166"/>
        <v>424.76</v>
      </c>
      <c r="K274" s="589"/>
      <c r="L274" s="583"/>
      <c r="M274" s="583"/>
      <c r="N274" s="583"/>
      <c r="O274" s="583"/>
      <c r="P274" s="583">
        <f t="shared" si="167"/>
        <v>424.76</v>
      </c>
      <c r="Q274" s="583">
        <f t="shared" si="152"/>
        <v>329.19</v>
      </c>
      <c r="R274" s="584">
        <f t="shared" si="161"/>
        <v>811.67</v>
      </c>
      <c r="S274" s="584">
        <f t="shared" si="153"/>
        <v>162.33000000000001</v>
      </c>
      <c r="T274" s="584">
        <f t="shared" si="154"/>
        <v>974</v>
      </c>
      <c r="U274" s="519">
        <v>599</v>
      </c>
      <c r="V274" s="537">
        <f t="shared" si="168"/>
        <v>62.604340567612695</v>
      </c>
      <c r="W274" s="520">
        <v>0</v>
      </c>
      <c r="X274" s="521">
        <f t="shared" si="162"/>
        <v>904.74</v>
      </c>
      <c r="Y274" s="514">
        <v>7.6300000000000007E-2</v>
      </c>
      <c r="Z274" s="464" t="e">
        <f>#REF!*Y274</f>
        <v>#REF!</v>
      </c>
      <c r="AB274" s="404">
        <v>448.75600000000003</v>
      </c>
      <c r="AC274" s="434"/>
      <c r="AD274" s="478">
        <f t="shared" si="156"/>
        <v>375</v>
      </c>
      <c r="AE274" s="394"/>
      <c r="AG274" s="237">
        <v>-2.9399999999999999E-2</v>
      </c>
      <c r="AH274" s="236">
        <f t="shared" si="175"/>
        <v>1.0294000000000001</v>
      </c>
      <c r="AI274" s="235">
        <v>1.0640000000000001</v>
      </c>
      <c r="AK274" s="152">
        <f t="shared" si="157"/>
        <v>0</v>
      </c>
      <c r="AM274" s="239">
        <v>1.034</v>
      </c>
      <c r="AN274" s="243">
        <v>-2.9399999999999999E-2</v>
      </c>
      <c r="AO274" s="240" t="e">
        <f>#REF!-AM274</f>
        <v>#REF!</v>
      </c>
      <c r="AQ274" s="241">
        <f t="shared" si="158"/>
        <v>0.1057</v>
      </c>
      <c r="AR274" s="382">
        <v>485</v>
      </c>
      <c r="AS274" s="388" t="b">
        <f t="shared" si="159"/>
        <v>0</v>
      </c>
      <c r="AT274" s="411" t="e">
        <f>ROUND(W274/T274*100-100,2)+#REF!</f>
        <v>#REF!</v>
      </c>
      <c r="AW274" t="e">
        <f t="shared" si="160"/>
        <v>#DIV/0!</v>
      </c>
    </row>
    <row r="275" spans="1:49" ht="30.75" customHeight="1" x14ac:dyDescent="0.3">
      <c r="A275" s="587" t="s">
        <v>546</v>
      </c>
      <c r="B275" s="587" t="s">
        <v>283</v>
      </c>
      <c r="C275" s="585" t="s">
        <v>100</v>
      </c>
      <c r="D275" s="583" t="s">
        <v>211</v>
      </c>
      <c r="E275" s="588" t="s">
        <v>169</v>
      </c>
      <c r="F275" s="583">
        <f>VLOOKUP(E275,'условия, ФОТ'!$A$14:$I$28,9, FALSE)</f>
        <v>326.24</v>
      </c>
      <c r="G275" s="591">
        <v>0.25</v>
      </c>
      <c r="H275" s="583">
        <f t="shared" si="165"/>
        <v>81.56</v>
      </c>
      <c r="I275" s="583">
        <f t="shared" si="163"/>
        <v>24.63</v>
      </c>
      <c r="J275" s="583">
        <f t="shared" si="166"/>
        <v>106.19</v>
      </c>
      <c r="K275" s="589"/>
      <c r="L275" s="583"/>
      <c r="M275" s="583"/>
      <c r="N275" s="583"/>
      <c r="O275" s="583"/>
      <c r="P275" s="583">
        <f t="shared" si="167"/>
        <v>106.19</v>
      </c>
      <c r="Q275" s="583">
        <f t="shared" si="152"/>
        <v>82.3</v>
      </c>
      <c r="R275" s="584">
        <f t="shared" si="161"/>
        <v>275</v>
      </c>
      <c r="S275" s="584">
        <f t="shared" si="153"/>
        <v>55</v>
      </c>
      <c r="T275" s="584">
        <f t="shared" ref="T275:T293" si="176">ROUND((P275+Q275)*(1+Y275)*1.2,0)</f>
        <v>330</v>
      </c>
      <c r="U275" s="121">
        <v>149</v>
      </c>
      <c r="V275" s="122">
        <f t="shared" si="168"/>
        <v>121.47651006711411</v>
      </c>
      <c r="W275" s="511">
        <v>330</v>
      </c>
      <c r="X275" s="398">
        <f t="shared" si="162"/>
        <v>226.19</v>
      </c>
      <c r="Y275" s="474">
        <f t="shared" si="164"/>
        <v>0.45900000000000002</v>
      </c>
      <c r="Z275" s="464" t="e">
        <f>#REF!*Y275</f>
        <v>#REF!</v>
      </c>
      <c r="AB275" s="404">
        <v>111.672</v>
      </c>
      <c r="AC275" s="434"/>
      <c r="AD275" s="478">
        <f t="shared" ref="AD275:AD293" si="177">T275-U275</f>
        <v>181</v>
      </c>
      <c r="AE275" s="394"/>
      <c r="AG275" s="237">
        <v>-3.4000000000000002E-2</v>
      </c>
      <c r="AH275" s="236">
        <f t="shared" si="175"/>
        <v>1.034</v>
      </c>
      <c r="AI275" s="235">
        <v>1.069</v>
      </c>
      <c r="AK275" s="152">
        <f t="shared" si="157"/>
        <v>352.77</v>
      </c>
      <c r="AM275" s="239">
        <v>1.034</v>
      </c>
      <c r="AN275" s="243">
        <v>-3.4000000000000002E-2</v>
      </c>
      <c r="AO275" s="240" t="e">
        <f>#REF!-AM275</f>
        <v>#REF!</v>
      </c>
      <c r="AQ275" s="241">
        <f t="shared" ref="AQ275:AQ293" si="178">Y275-AN275</f>
        <v>0.49299999999999999</v>
      </c>
      <c r="AR275" s="382">
        <v>121</v>
      </c>
      <c r="AS275" s="388" t="b">
        <f t="shared" ref="AS275:AS293" si="179">W275=AR275</f>
        <v>0</v>
      </c>
      <c r="AT275" s="411" t="e">
        <f>ROUND(W275/T275*100-100,2)+#REF!</f>
        <v>#REF!</v>
      </c>
      <c r="AW275">
        <f t="shared" ref="AW275:AW293" si="180">ROUND(T275/W275,3)</f>
        <v>1</v>
      </c>
    </row>
    <row r="276" spans="1:49" ht="21.75" customHeight="1" x14ac:dyDescent="0.3">
      <c r="A276" s="587" t="s">
        <v>547</v>
      </c>
      <c r="B276" s="587" t="s">
        <v>284</v>
      </c>
      <c r="C276" s="585" t="s">
        <v>101</v>
      </c>
      <c r="D276" s="583" t="s">
        <v>211</v>
      </c>
      <c r="E276" s="588" t="s">
        <v>169</v>
      </c>
      <c r="F276" s="583">
        <f>VLOOKUP(E276,'условия, ФОТ'!$A$14:$I$28,9, FALSE)</f>
        <v>326.24</v>
      </c>
      <c r="G276" s="591">
        <v>0.25</v>
      </c>
      <c r="H276" s="583">
        <f t="shared" si="165"/>
        <v>81.56</v>
      </c>
      <c r="I276" s="583">
        <f t="shared" si="163"/>
        <v>24.63</v>
      </c>
      <c r="J276" s="583">
        <f t="shared" si="166"/>
        <v>106.19</v>
      </c>
      <c r="K276" s="589"/>
      <c r="L276" s="583"/>
      <c r="M276" s="583"/>
      <c r="N276" s="583"/>
      <c r="O276" s="583"/>
      <c r="P276" s="583">
        <f t="shared" si="167"/>
        <v>106.19</v>
      </c>
      <c r="Q276" s="583">
        <f t="shared" si="152"/>
        <v>82.3</v>
      </c>
      <c r="R276" s="584">
        <f t="shared" si="161"/>
        <v>275</v>
      </c>
      <c r="S276" s="584">
        <f t="shared" si="153"/>
        <v>55</v>
      </c>
      <c r="T276" s="584">
        <f t="shared" si="176"/>
        <v>330</v>
      </c>
      <c r="U276" s="121">
        <v>149</v>
      </c>
      <c r="V276" s="122">
        <f t="shared" si="168"/>
        <v>121.47651006711411</v>
      </c>
      <c r="W276" s="511">
        <v>330</v>
      </c>
      <c r="X276" s="398">
        <f t="shared" si="162"/>
        <v>226.19</v>
      </c>
      <c r="Y276" s="510">
        <f t="shared" si="164"/>
        <v>0.45900000000000002</v>
      </c>
      <c r="Z276" s="464" t="e">
        <f>#REF!*Y276</f>
        <v>#REF!</v>
      </c>
      <c r="AB276" s="404">
        <v>111.672</v>
      </c>
      <c r="AC276" s="434"/>
      <c r="AD276" s="478">
        <f t="shared" si="177"/>
        <v>181</v>
      </c>
      <c r="AE276" s="394"/>
      <c r="AG276" s="237">
        <v>-3.4000000000000002E-2</v>
      </c>
      <c r="AH276" s="236">
        <f t="shared" si="175"/>
        <v>1.034</v>
      </c>
      <c r="AI276" s="235">
        <v>1.069</v>
      </c>
      <c r="AK276" s="152">
        <f t="shared" si="157"/>
        <v>352.77</v>
      </c>
      <c r="AM276" s="239">
        <v>1.034</v>
      </c>
      <c r="AN276" s="243">
        <v>-3.4000000000000002E-2</v>
      </c>
      <c r="AO276" s="240" t="e">
        <f>#REF!-AM276</f>
        <v>#REF!</v>
      </c>
      <c r="AQ276" s="241">
        <f t="shared" si="178"/>
        <v>0.49299999999999999</v>
      </c>
      <c r="AR276" s="382">
        <v>121</v>
      </c>
      <c r="AS276" s="388" t="b">
        <f t="shared" si="179"/>
        <v>0</v>
      </c>
      <c r="AT276" s="411" t="e">
        <f>ROUND(W276/T276*100-100,2)+#REF!</f>
        <v>#REF!</v>
      </c>
      <c r="AW276">
        <f t="shared" si="180"/>
        <v>1</v>
      </c>
    </row>
    <row r="277" spans="1:49" ht="25.5" x14ac:dyDescent="0.3">
      <c r="A277" s="587" t="s">
        <v>548</v>
      </c>
      <c r="B277" s="587" t="s">
        <v>285</v>
      </c>
      <c r="C277" s="585" t="s">
        <v>102</v>
      </c>
      <c r="D277" s="583" t="s">
        <v>211</v>
      </c>
      <c r="E277" s="588" t="s">
        <v>169</v>
      </c>
      <c r="F277" s="583">
        <f>VLOOKUP(E277,'условия, ФОТ'!$A$14:$I$28,9, FALSE)</f>
        <v>326.24</v>
      </c>
      <c r="G277" s="591">
        <v>0.25</v>
      </c>
      <c r="H277" s="583">
        <f t="shared" si="165"/>
        <v>81.56</v>
      </c>
      <c r="I277" s="583">
        <f t="shared" si="163"/>
        <v>24.63</v>
      </c>
      <c r="J277" s="583">
        <f t="shared" si="166"/>
        <v>106.19</v>
      </c>
      <c r="K277" s="589"/>
      <c r="L277" s="583"/>
      <c r="M277" s="583"/>
      <c r="N277" s="583"/>
      <c r="O277" s="583"/>
      <c r="P277" s="583">
        <f t="shared" si="167"/>
        <v>106.19</v>
      </c>
      <c r="Q277" s="583">
        <f t="shared" si="152"/>
        <v>82.3</v>
      </c>
      <c r="R277" s="584">
        <f t="shared" si="161"/>
        <v>275</v>
      </c>
      <c r="S277" s="584">
        <f t="shared" si="153"/>
        <v>55</v>
      </c>
      <c r="T277" s="584">
        <f t="shared" si="176"/>
        <v>330</v>
      </c>
      <c r="U277" s="121">
        <v>149</v>
      </c>
      <c r="V277" s="122">
        <f t="shared" si="168"/>
        <v>121.47651006711411</v>
      </c>
      <c r="W277" s="511">
        <v>330</v>
      </c>
      <c r="X277" s="398">
        <f t="shared" si="162"/>
        <v>226.19</v>
      </c>
      <c r="Y277" s="510">
        <f t="shared" si="164"/>
        <v>0.45900000000000002</v>
      </c>
      <c r="Z277" s="464" t="e">
        <f>#REF!*Y277</f>
        <v>#REF!</v>
      </c>
      <c r="AB277" s="404">
        <v>111.672</v>
      </c>
      <c r="AC277" s="434"/>
      <c r="AD277" s="478">
        <f t="shared" si="177"/>
        <v>181</v>
      </c>
      <c r="AE277" s="394"/>
      <c r="AG277" s="237">
        <v>-3.4000000000000002E-2</v>
      </c>
      <c r="AH277" s="236">
        <f t="shared" si="175"/>
        <v>1.034</v>
      </c>
      <c r="AI277" s="235">
        <v>1.069</v>
      </c>
      <c r="AK277" s="152">
        <f t="shared" si="157"/>
        <v>352.77</v>
      </c>
      <c r="AM277" s="239">
        <v>1.034</v>
      </c>
      <c r="AN277" s="243">
        <v>-3.4000000000000002E-2</v>
      </c>
      <c r="AO277" s="240" t="e">
        <f>#REF!-AM277</f>
        <v>#REF!</v>
      </c>
      <c r="AQ277" s="241">
        <f t="shared" si="178"/>
        <v>0.49299999999999999</v>
      </c>
      <c r="AR277" s="382">
        <v>121</v>
      </c>
      <c r="AS277" s="388" t="b">
        <f t="shared" si="179"/>
        <v>0</v>
      </c>
      <c r="AT277" s="411" t="e">
        <f>ROUND(W277/T277*100-100,2)+#REF!</f>
        <v>#REF!</v>
      </c>
      <c r="AW277">
        <f t="shared" si="180"/>
        <v>1</v>
      </c>
    </row>
    <row r="278" spans="1:49" x14ac:dyDescent="0.3">
      <c r="A278" s="587" t="s">
        <v>549</v>
      </c>
      <c r="B278" s="587" t="s">
        <v>286</v>
      </c>
      <c r="C278" s="585" t="s">
        <v>103</v>
      </c>
      <c r="D278" s="583" t="s">
        <v>211</v>
      </c>
      <c r="E278" s="588" t="s">
        <v>169</v>
      </c>
      <c r="F278" s="583">
        <f>VLOOKUP(E278,'условия, ФОТ'!$A$14:$I$28,9, FALSE)</f>
        <v>326.24</v>
      </c>
      <c r="G278" s="591">
        <v>0.5</v>
      </c>
      <c r="H278" s="583">
        <f t="shared" si="165"/>
        <v>163.12</v>
      </c>
      <c r="I278" s="583">
        <f t="shared" si="163"/>
        <v>49.26</v>
      </c>
      <c r="J278" s="583">
        <f t="shared" si="166"/>
        <v>212.38</v>
      </c>
      <c r="K278" s="589"/>
      <c r="L278" s="583"/>
      <c r="M278" s="583"/>
      <c r="N278" s="583"/>
      <c r="O278" s="583"/>
      <c r="P278" s="583">
        <f t="shared" si="167"/>
        <v>212.38</v>
      </c>
      <c r="Q278" s="583">
        <f t="shared" si="152"/>
        <v>164.59</v>
      </c>
      <c r="R278" s="584">
        <f t="shared" si="161"/>
        <v>558.33000000000004</v>
      </c>
      <c r="S278" s="584">
        <f t="shared" si="153"/>
        <v>111.67</v>
      </c>
      <c r="T278" s="584">
        <f t="shared" si="176"/>
        <v>670</v>
      </c>
      <c r="U278" s="121">
        <v>300</v>
      </c>
      <c r="V278" s="122">
        <f t="shared" si="168"/>
        <v>123.33333333333334</v>
      </c>
      <c r="W278" s="511">
        <v>670</v>
      </c>
      <c r="X278" s="398">
        <f t="shared" si="162"/>
        <v>452.36</v>
      </c>
      <c r="Y278" s="510">
        <f t="shared" si="164"/>
        <v>0.48110000000000003</v>
      </c>
      <c r="Z278" s="464" t="e">
        <f>#REF!*Y278</f>
        <v>#REF!</v>
      </c>
      <c r="AB278" s="404">
        <v>224.37800000000001</v>
      </c>
      <c r="AC278" s="434"/>
      <c r="AD278" s="478">
        <f t="shared" si="177"/>
        <v>370</v>
      </c>
      <c r="AE278" s="394"/>
      <c r="AG278" s="237">
        <v>-2.9399999999999999E-2</v>
      </c>
      <c r="AH278" s="236">
        <f t="shared" si="175"/>
        <v>1.0294000000000001</v>
      </c>
      <c r="AI278" s="235">
        <v>1.0640000000000001</v>
      </c>
      <c r="AK278" s="152">
        <f t="shared" si="157"/>
        <v>712.88</v>
      </c>
      <c r="AM278" s="239">
        <v>1.034</v>
      </c>
      <c r="AN278" s="243">
        <v>-2.9399999999999999E-2</v>
      </c>
      <c r="AO278" s="240" t="e">
        <f>#REF!-AM278</f>
        <v>#REF!</v>
      </c>
      <c r="AQ278" s="241">
        <f t="shared" si="178"/>
        <v>0.51050000000000006</v>
      </c>
      <c r="AR278" s="382">
        <v>243</v>
      </c>
      <c r="AS278" s="388" t="b">
        <f t="shared" si="179"/>
        <v>0</v>
      </c>
      <c r="AT278" s="411" t="e">
        <f>ROUND(W278/T278*100-100,2)+#REF!</f>
        <v>#REF!</v>
      </c>
      <c r="AW278">
        <f t="shared" si="180"/>
        <v>1</v>
      </c>
    </row>
    <row r="279" spans="1:49" x14ac:dyDescent="0.3">
      <c r="A279" s="587" t="s">
        <v>550</v>
      </c>
      <c r="B279" s="587" t="s">
        <v>287</v>
      </c>
      <c r="C279" s="585" t="s">
        <v>104</v>
      </c>
      <c r="D279" s="583" t="s">
        <v>211</v>
      </c>
      <c r="E279" s="588" t="s">
        <v>169</v>
      </c>
      <c r="F279" s="583">
        <f>VLOOKUP(E279,'условия, ФОТ'!$A$14:$I$28,9, FALSE)</f>
        <v>326.24</v>
      </c>
      <c r="G279" s="591">
        <v>0.91</v>
      </c>
      <c r="H279" s="583">
        <f t="shared" si="165"/>
        <v>296.88</v>
      </c>
      <c r="I279" s="583">
        <f t="shared" si="163"/>
        <v>89.66</v>
      </c>
      <c r="J279" s="583">
        <f t="shared" si="166"/>
        <v>386.53999999999996</v>
      </c>
      <c r="K279" s="589"/>
      <c r="L279" s="583"/>
      <c r="M279" s="583"/>
      <c r="N279" s="583"/>
      <c r="O279" s="583"/>
      <c r="P279" s="583">
        <f t="shared" si="167"/>
        <v>386.53999999999996</v>
      </c>
      <c r="Q279" s="583">
        <f t="shared" si="152"/>
        <v>299.57</v>
      </c>
      <c r="R279" s="584">
        <f t="shared" si="161"/>
        <v>1016.67</v>
      </c>
      <c r="S279" s="584">
        <f t="shared" si="153"/>
        <v>203.33</v>
      </c>
      <c r="T279" s="584">
        <f t="shared" si="176"/>
        <v>1220</v>
      </c>
      <c r="U279" s="121">
        <v>546</v>
      </c>
      <c r="V279" s="122">
        <f t="shared" si="168"/>
        <v>123.44322344322345</v>
      </c>
      <c r="W279" s="511">
        <v>1220</v>
      </c>
      <c r="X279" s="398">
        <f t="shared" si="162"/>
        <v>823.33</v>
      </c>
      <c r="Y279" s="510">
        <f t="shared" si="164"/>
        <v>0.48180000000000001</v>
      </c>
      <c r="Z279" s="464" t="e">
        <f>#REF!*Y279</f>
        <v>#REF!</v>
      </c>
      <c r="AB279" s="404">
        <v>408.43</v>
      </c>
      <c r="AC279" s="434"/>
      <c r="AD279" s="478">
        <f t="shared" si="177"/>
        <v>674</v>
      </c>
      <c r="AE279" s="394"/>
      <c r="AG279" s="237">
        <v>-2.92E-2</v>
      </c>
      <c r="AH279" s="236">
        <f t="shared" si="175"/>
        <v>1.0291999999999999</v>
      </c>
      <c r="AI279" s="235">
        <v>1.0640000000000001</v>
      </c>
      <c r="AK279" s="152">
        <f t="shared" si="157"/>
        <v>1298.08</v>
      </c>
      <c r="AM279" s="239">
        <v>1.034</v>
      </c>
      <c r="AN279" s="243">
        <v>-2.92E-2</v>
      </c>
      <c r="AO279" s="240" t="e">
        <f>#REF!-AM279</f>
        <v>#REF!</v>
      </c>
      <c r="AQ279" s="241">
        <f t="shared" si="178"/>
        <v>0.51100000000000001</v>
      </c>
      <c r="AR279" s="382">
        <v>442</v>
      </c>
      <c r="AS279" s="388" t="b">
        <f t="shared" si="179"/>
        <v>0</v>
      </c>
      <c r="AT279" s="411" t="e">
        <f>ROUND(W279/T279*100-100,2)+#REF!</f>
        <v>#REF!</v>
      </c>
      <c r="AW279">
        <f t="shared" si="180"/>
        <v>1</v>
      </c>
    </row>
    <row r="280" spans="1:49" x14ac:dyDescent="0.3">
      <c r="A280" s="587" t="s">
        <v>551</v>
      </c>
      <c r="B280" s="587" t="s">
        <v>288</v>
      </c>
      <c r="C280" s="585" t="s">
        <v>105</v>
      </c>
      <c r="D280" s="583" t="s">
        <v>211</v>
      </c>
      <c r="E280" s="588" t="s">
        <v>169</v>
      </c>
      <c r="F280" s="583">
        <f>VLOOKUP(E280,'условия, ФОТ'!$A$14:$I$28,9, FALSE)</f>
        <v>326.24</v>
      </c>
      <c r="G280" s="591">
        <v>0.72</v>
      </c>
      <c r="H280" s="583">
        <f t="shared" si="165"/>
        <v>234.89</v>
      </c>
      <c r="I280" s="583">
        <f t="shared" si="163"/>
        <v>70.94</v>
      </c>
      <c r="J280" s="583">
        <f t="shared" si="166"/>
        <v>305.83</v>
      </c>
      <c r="K280" s="589"/>
      <c r="L280" s="583"/>
      <c r="M280" s="583"/>
      <c r="N280" s="583"/>
      <c r="O280" s="583"/>
      <c r="P280" s="583">
        <f t="shared" si="167"/>
        <v>305.83</v>
      </c>
      <c r="Q280" s="583">
        <f t="shared" si="152"/>
        <v>237.02</v>
      </c>
      <c r="R280" s="584">
        <f t="shared" si="161"/>
        <v>800</v>
      </c>
      <c r="S280" s="584">
        <f t="shared" si="153"/>
        <v>160</v>
      </c>
      <c r="T280" s="584">
        <f t="shared" si="176"/>
        <v>960</v>
      </c>
      <c r="U280" s="121">
        <v>431</v>
      </c>
      <c r="V280" s="122">
        <f t="shared" si="168"/>
        <v>122.73781902552204</v>
      </c>
      <c r="W280" s="511">
        <v>960</v>
      </c>
      <c r="X280" s="398">
        <f t="shared" si="162"/>
        <v>651.41999999999996</v>
      </c>
      <c r="Y280" s="510">
        <f t="shared" si="164"/>
        <v>0.47370000000000001</v>
      </c>
      <c r="Z280" s="464" t="e">
        <f>#REF!*Y280</f>
        <v>#REF!</v>
      </c>
      <c r="AB280" s="404">
        <v>322.608</v>
      </c>
      <c r="AC280" s="434"/>
      <c r="AD280" s="478">
        <f t="shared" si="177"/>
        <v>529</v>
      </c>
      <c r="AE280" s="394"/>
      <c r="AG280" s="237">
        <v>-3.09E-2</v>
      </c>
      <c r="AH280" s="236">
        <f t="shared" si="175"/>
        <v>1.0308999999999999</v>
      </c>
      <c r="AI280" s="235">
        <v>1.0660000000000001</v>
      </c>
      <c r="AK280" s="152">
        <f t="shared" si="157"/>
        <v>1023.36</v>
      </c>
      <c r="AM280" s="239">
        <v>1.034</v>
      </c>
      <c r="AN280" s="243">
        <v>-3.09E-2</v>
      </c>
      <c r="AO280" s="240" t="e">
        <f>#REF!-AM280</f>
        <v>#REF!</v>
      </c>
      <c r="AQ280" s="241">
        <f t="shared" si="178"/>
        <v>0.50460000000000005</v>
      </c>
      <c r="AR280" s="382">
        <v>349</v>
      </c>
      <c r="AS280" s="388" t="b">
        <f t="shared" si="179"/>
        <v>0</v>
      </c>
      <c r="AT280" s="411" t="e">
        <f>ROUND(W280/T280*100-100,2)+#REF!</f>
        <v>#REF!</v>
      </c>
      <c r="AW280">
        <f t="shared" si="180"/>
        <v>1</v>
      </c>
    </row>
    <row r="281" spans="1:49" ht="25.5" x14ac:dyDescent="0.3">
      <c r="A281" s="587" t="s">
        <v>552</v>
      </c>
      <c r="B281" s="587" t="s">
        <v>289</v>
      </c>
      <c r="C281" s="585" t="s">
        <v>106</v>
      </c>
      <c r="D281" s="583" t="s">
        <v>211</v>
      </c>
      <c r="E281" s="588" t="s">
        <v>169</v>
      </c>
      <c r="F281" s="583">
        <f>VLOOKUP(E281,'условия, ФОТ'!$A$14:$I$28,9, FALSE)</f>
        <v>326.24</v>
      </c>
      <c r="G281" s="591">
        <v>0.42</v>
      </c>
      <c r="H281" s="583">
        <f t="shared" si="165"/>
        <v>137.02000000000001</v>
      </c>
      <c r="I281" s="583">
        <f t="shared" si="163"/>
        <v>41.38</v>
      </c>
      <c r="J281" s="583">
        <f t="shared" si="166"/>
        <v>178.4</v>
      </c>
      <c r="K281" s="589"/>
      <c r="L281" s="583"/>
      <c r="M281" s="583"/>
      <c r="N281" s="583"/>
      <c r="O281" s="583"/>
      <c r="P281" s="583">
        <f t="shared" si="167"/>
        <v>178.4</v>
      </c>
      <c r="Q281" s="583">
        <f t="shared" si="152"/>
        <v>138.26</v>
      </c>
      <c r="R281" s="584">
        <f t="shared" si="161"/>
        <v>466.67</v>
      </c>
      <c r="S281" s="584">
        <f t="shared" si="153"/>
        <v>93.33</v>
      </c>
      <c r="T281" s="584">
        <f t="shared" si="176"/>
        <v>560</v>
      </c>
      <c r="U281" s="121">
        <v>252</v>
      </c>
      <c r="V281" s="122">
        <f t="shared" si="168"/>
        <v>122.22222222222223</v>
      </c>
      <c r="W281" s="511">
        <v>560</v>
      </c>
      <c r="X281" s="398">
        <f t="shared" si="162"/>
        <v>379.99</v>
      </c>
      <c r="Y281" s="510">
        <f t="shared" si="164"/>
        <v>0.47370000000000001</v>
      </c>
      <c r="Z281" s="464" t="e">
        <f>#REF!*Y281</f>
        <v>#REF!</v>
      </c>
      <c r="AB281" s="404">
        <v>188.18800000000002</v>
      </c>
      <c r="AC281" s="434"/>
      <c r="AD281" s="478">
        <f t="shared" si="177"/>
        <v>308</v>
      </c>
      <c r="AE281" s="394"/>
      <c r="AG281" s="237">
        <v>-3.0800000000000001E-2</v>
      </c>
      <c r="AH281" s="236">
        <f t="shared" si="175"/>
        <v>1.0307999999999999</v>
      </c>
      <c r="AI281" s="235">
        <v>1.0660000000000001</v>
      </c>
      <c r="AK281" s="152">
        <f t="shared" si="157"/>
        <v>596.96</v>
      </c>
      <c r="AM281" s="239">
        <v>1.034</v>
      </c>
      <c r="AN281" s="243">
        <v>-3.0800000000000001E-2</v>
      </c>
      <c r="AO281" s="240" t="e">
        <f>#REF!-AM281</f>
        <v>#REF!</v>
      </c>
      <c r="AQ281" s="241">
        <f t="shared" si="178"/>
        <v>0.50450000000000006</v>
      </c>
      <c r="AR281" s="382">
        <v>204</v>
      </c>
      <c r="AS281" s="388" t="b">
        <f t="shared" si="179"/>
        <v>0</v>
      </c>
      <c r="AT281" s="411" t="e">
        <f>ROUND(W281/T281*100-100,2)+#REF!</f>
        <v>#REF!</v>
      </c>
      <c r="AW281">
        <f t="shared" si="180"/>
        <v>1</v>
      </c>
    </row>
    <row r="282" spans="1:49" x14ac:dyDescent="0.3">
      <c r="A282" s="587" t="s">
        <v>553</v>
      </c>
      <c r="B282" s="587" t="s">
        <v>290</v>
      </c>
      <c r="C282" s="585" t="s">
        <v>107</v>
      </c>
      <c r="D282" s="583" t="s">
        <v>211</v>
      </c>
      <c r="E282" s="588" t="s">
        <v>169</v>
      </c>
      <c r="F282" s="583">
        <f>VLOOKUP(E282,'условия, ФОТ'!$A$14:$I$28,9, FALSE)</f>
        <v>326.24</v>
      </c>
      <c r="G282" s="591">
        <v>2</v>
      </c>
      <c r="H282" s="583">
        <f t="shared" si="165"/>
        <v>652.48</v>
      </c>
      <c r="I282" s="583">
        <f t="shared" si="163"/>
        <v>197.05</v>
      </c>
      <c r="J282" s="583">
        <f t="shared" si="166"/>
        <v>849.53</v>
      </c>
      <c r="K282" s="589"/>
      <c r="L282" s="583"/>
      <c r="M282" s="583"/>
      <c r="N282" s="583"/>
      <c r="O282" s="583"/>
      <c r="P282" s="583">
        <f t="shared" si="167"/>
        <v>849.53</v>
      </c>
      <c r="Q282" s="583">
        <f t="shared" si="152"/>
        <v>658.39</v>
      </c>
      <c r="R282" s="584">
        <f t="shared" si="161"/>
        <v>2233.33</v>
      </c>
      <c r="S282" s="584">
        <f t="shared" si="153"/>
        <v>446.67</v>
      </c>
      <c r="T282" s="584">
        <f t="shared" si="176"/>
        <v>2680</v>
      </c>
      <c r="U282" s="121">
        <v>1197</v>
      </c>
      <c r="V282" s="122">
        <f t="shared" si="168"/>
        <v>123.89306599832915</v>
      </c>
      <c r="W282" s="511">
        <v>2680</v>
      </c>
      <c r="X282" s="398">
        <f t="shared" si="162"/>
        <v>1809.5</v>
      </c>
      <c r="Y282" s="510">
        <f t="shared" si="164"/>
        <v>0.48110000000000003</v>
      </c>
      <c r="Z282" s="464" t="e">
        <f>#REF!*Y282</f>
        <v>#REF!</v>
      </c>
      <c r="AB282" s="404">
        <v>896.47800000000007</v>
      </c>
      <c r="AC282" s="434"/>
      <c r="AD282" s="478">
        <f t="shared" si="177"/>
        <v>1483</v>
      </c>
      <c r="AE282" s="394"/>
      <c r="AG282" s="237">
        <v>-3.0499999999999999E-2</v>
      </c>
      <c r="AH282" s="236">
        <f t="shared" si="175"/>
        <v>1.0305</v>
      </c>
      <c r="AI282" s="235">
        <v>1.0660000000000001</v>
      </c>
      <c r="AK282" s="152">
        <f t="shared" si="157"/>
        <v>2856.88</v>
      </c>
      <c r="AM282" s="239">
        <v>1.034</v>
      </c>
      <c r="AN282" s="243">
        <v>-3.0499999999999999E-2</v>
      </c>
      <c r="AO282" s="240" t="e">
        <f>#REF!-AM282</f>
        <v>#REF!</v>
      </c>
      <c r="AQ282" s="241">
        <f t="shared" si="178"/>
        <v>0.51160000000000005</v>
      </c>
      <c r="AR282" s="382">
        <v>970</v>
      </c>
      <c r="AS282" s="388" t="b">
        <f t="shared" si="179"/>
        <v>0</v>
      </c>
      <c r="AT282" s="411" t="e">
        <f>ROUND(W282/T282*100-100,2)+#REF!</f>
        <v>#REF!</v>
      </c>
      <c r="AW282">
        <f t="shared" si="180"/>
        <v>1</v>
      </c>
    </row>
    <row r="283" spans="1:49" x14ac:dyDescent="0.3">
      <c r="A283" s="587" t="s">
        <v>554</v>
      </c>
      <c r="B283" s="587" t="s">
        <v>291</v>
      </c>
      <c r="C283" s="585" t="s">
        <v>108</v>
      </c>
      <c r="D283" s="583" t="s">
        <v>211</v>
      </c>
      <c r="E283" s="588" t="s">
        <v>169</v>
      </c>
      <c r="F283" s="583">
        <f>VLOOKUP(E283,'условия, ФОТ'!$A$14:$I$28,9, FALSE)</f>
        <v>326.24</v>
      </c>
      <c r="G283" s="591">
        <v>0.35</v>
      </c>
      <c r="H283" s="583">
        <f t="shared" si="165"/>
        <v>114.18</v>
      </c>
      <c r="I283" s="583">
        <f t="shared" si="163"/>
        <v>34.479999999999997</v>
      </c>
      <c r="J283" s="583">
        <f t="shared" si="166"/>
        <v>148.66</v>
      </c>
      <c r="K283" s="589"/>
      <c r="L283" s="583"/>
      <c r="M283" s="583"/>
      <c r="N283" s="583"/>
      <c r="O283" s="583"/>
      <c r="P283" s="583">
        <f t="shared" si="167"/>
        <v>148.66</v>
      </c>
      <c r="Q283" s="583">
        <f t="shared" si="152"/>
        <v>115.21</v>
      </c>
      <c r="R283" s="584">
        <f t="shared" si="161"/>
        <v>391.67</v>
      </c>
      <c r="S283" s="584">
        <f t="shared" si="153"/>
        <v>78.33</v>
      </c>
      <c r="T283" s="584">
        <f t="shared" si="176"/>
        <v>470</v>
      </c>
      <c r="U283" s="121">
        <v>210</v>
      </c>
      <c r="V283" s="122">
        <f t="shared" si="168"/>
        <v>123.80952380952382</v>
      </c>
      <c r="W283" s="511">
        <v>470</v>
      </c>
      <c r="X283" s="398">
        <f t="shared" si="162"/>
        <v>316.64</v>
      </c>
      <c r="Y283" s="510">
        <f t="shared" si="164"/>
        <v>0.48430000000000001</v>
      </c>
      <c r="Z283" s="464" t="e">
        <f>#REF!*Y283</f>
        <v>#REF!</v>
      </c>
      <c r="AB283" s="404">
        <v>157.16800000000001</v>
      </c>
      <c r="AC283" s="434"/>
      <c r="AD283" s="478">
        <f t="shared" si="177"/>
        <v>260</v>
      </c>
      <c r="AE283" s="394"/>
      <c r="AG283" s="237">
        <v>-2.87E-2</v>
      </c>
      <c r="AH283" s="236">
        <f t="shared" si="175"/>
        <v>1.0286999999999999</v>
      </c>
      <c r="AI283" s="235">
        <v>1.0640000000000001</v>
      </c>
      <c r="AK283" s="152">
        <f t="shared" si="157"/>
        <v>500.08</v>
      </c>
      <c r="AM283" s="239">
        <v>1.034</v>
      </c>
      <c r="AN283" s="243">
        <v>-2.87E-2</v>
      </c>
      <c r="AO283" s="240" t="e">
        <f>#REF!-AM283</f>
        <v>#REF!</v>
      </c>
      <c r="AQ283" s="241">
        <f t="shared" si="178"/>
        <v>0.51300000000000001</v>
      </c>
      <c r="AR283" s="382">
        <v>170</v>
      </c>
      <c r="AS283" s="388" t="b">
        <f t="shared" si="179"/>
        <v>0</v>
      </c>
      <c r="AT283" s="411" t="e">
        <f>ROUND(W283/T283*100-100,2)+#REF!</f>
        <v>#REF!</v>
      </c>
      <c r="AW283">
        <f t="shared" si="180"/>
        <v>1</v>
      </c>
    </row>
    <row r="284" spans="1:49" x14ac:dyDescent="0.3">
      <c r="A284" s="587" t="s">
        <v>555</v>
      </c>
      <c r="B284" s="587" t="s">
        <v>292</v>
      </c>
      <c r="C284" s="585" t="s">
        <v>109</v>
      </c>
      <c r="D284" s="583" t="s">
        <v>211</v>
      </c>
      <c r="E284" s="588" t="s">
        <v>169</v>
      </c>
      <c r="F284" s="583">
        <f>VLOOKUP(E284,'условия, ФОТ'!$A$14:$I$28,9, FALSE)</f>
        <v>326.24</v>
      </c>
      <c r="G284" s="591">
        <v>0.65</v>
      </c>
      <c r="H284" s="583">
        <f t="shared" si="165"/>
        <v>212.06</v>
      </c>
      <c r="I284" s="583">
        <f t="shared" si="163"/>
        <v>64.040000000000006</v>
      </c>
      <c r="J284" s="583">
        <f t="shared" si="166"/>
        <v>276.10000000000002</v>
      </c>
      <c r="K284" s="589"/>
      <c r="L284" s="583"/>
      <c r="M284" s="583"/>
      <c r="N284" s="583"/>
      <c r="O284" s="583"/>
      <c r="P284" s="583">
        <f t="shared" si="167"/>
        <v>276.10000000000002</v>
      </c>
      <c r="Q284" s="583">
        <f t="shared" si="152"/>
        <v>213.98</v>
      </c>
      <c r="R284" s="584">
        <f t="shared" si="161"/>
        <v>725</v>
      </c>
      <c r="S284" s="584">
        <f t="shared" si="153"/>
        <v>145</v>
      </c>
      <c r="T284" s="584">
        <f t="shared" si="176"/>
        <v>870</v>
      </c>
      <c r="U284" s="121">
        <v>390</v>
      </c>
      <c r="V284" s="122">
        <f t="shared" si="168"/>
        <v>123.07692307692309</v>
      </c>
      <c r="W284" s="511">
        <v>870</v>
      </c>
      <c r="X284" s="398">
        <f t="shared" si="162"/>
        <v>588.1</v>
      </c>
      <c r="Y284" s="510">
        <f t="shared" si="164"/>
        <v>0.4793</v>
      </c>
      <c r="Z284" s="464" t="e">
        <f>#REF!*Y284</f>
        <v>#REF!</v>
      </c>
      <c r="AB284" s="404">
        <v>291.58800000000002</v>
      </c>
      <c r="AC284" s="434"/>
      <c r="AD284" s="478">
        <f t="shared" si="177"/>
        <v>480</v>
      </c>
      <c r="AE284" s="394"/>
      <c r="AG284" s="237">
        <v>-2.9700000000000001E-2</v>
      </c>
      <c r="AH284" s="236">
        <f t="shared" si="175"/>
        <v>1.0297000000000001</v>
      </c>
      <c r="AI284" s="235">
        <v>1.0649999999999999</v>
      </c>
      <c r="AK284" s="152">
        <f t="shared" si="157"/>
        <v>926.55</v>
      </c>
      <c r="AM284" s="239">
        <v>1.034</v>
      </c>
      <c r="AN284" s="243">
        <v>-2.9700000000000001E-2</v>
      </c>
      <c r="AO284" s="240" t="e">
        <f>#REF!-AM284</f>
        <v>#REF!</v>
      </c>
      <c r="AQ284" s="241">
        <f t="shared" si="178"/>
        <v>0.50900000000000001</v>
      </c>
      <c r="AR284" s="382">
        <v>316</v>
      </c>
      <c r="AS284" s="388" t="b">
        <f t="shared" si="179"/>
        <v>0</v>
      </c>
      <c r="AT284" s="411" t="e">
        <f>ROUND(W284/T284*100-100,2)+#REF!</f>
        <v>#REF!</v>
      </c>
      <c r="AW284">
        <f t="shared" si="180"/>
        <v>1</v>
      </c>
    </row>
    <row r="285" spans="1:49" x14ac:dyDescent="0.3">
      <c r="A285" s="587" t="s">
        <v>556</v>
      </c>
      <c r="B285" s="587" t="s">
        <v>293</v>
      </c>
      <c r="C285" s="585" t="s">
        <v>110</v>
      </c>
      <c r="D285" s="583" t="s">
        <v>211</v>
      </c>
      <c r="E285" s="588" t="s">
        <v>169</v>
      </c>
      <c r="F285" s="583">
        <f>VLOOKUP(E285,'условия, ФОТ'!$A$14:$I$28,9, FALSE)</f>
        <v>326.24</v>
      </c>
      <c r="G285" s="591">
        <v>1</v>
      </c>
      <c r="H285" s="583">
        <f t="shared" si="165"/>
        <v>326.24</v>
      </c>
      <c r="I285" s="583">
        <f t="shared" si="163"/>
        <v>98.52</v>
      </c>
      <c r="J285" s="583">
        <f t="shared" si="166"/>
        <v>424.76</v>
      </c>
      <c r="K285" s="589"/>
      <c r="L285" s="583"/>
      <c r="M285" s="583"/>
      <c r="N285" s="583"/>
      <c r="O285" s="583"/>
      <c r="P285" s="583">
        <f t="shared" si="167"/>
        <v>424.76</v>
      </c>
      <c r="Q285" s="583">
        <f t="shared" si="152"/>
        <v>329.19</v>
      </c>
      <c r="R285" s="584">
        <f t="shared" si="161"/>
        <v>811.67</v>
      </c>
      <c r="S285" s="584">
        <f t="shared" si="153"/>
        <v>162.33000000000001</v>
      </c>
      <c r="T285" s="584">
        <f t="shared" si="176"/>
        <v>974</v>
      </c>
      <c r="U285" s="519">
        <v>599</v>
      </c>
      <c r="V285" s="537">
        <f t="shared" si="168"/>
        <v>62.604340567612695</v>
      </c>
      <c r="W285" s="520">
        <v>0</v>
      </c>
      <c r="X285" s="521">
        <f t="shared" si="162"/>
        <v>904.74</v>
      </c>
      <c r="Y285" s="514">
        <v>7.6300000000000007E-2</v>
      </c>
      <c r="Z285" s="464" t="e">
        <f>#REF!*Y285</f>
        <v>#REF!</v>
      </c>
      <c r="AB285" s="404">
        <v>448.75600000000003</v>
      </c>
      <c r="AC285" s="434"/>
      <c r="AD285" s="478">
        <f t="shared" si="177"/>
        <v>375</v>
      </c>
      <c r="AE285" s="394"/>
      <c r="AG285" s="237">
        <v>-2.9399999999999999E-2</v>
      </c>
      <c r="AH285" s="236">
        <f t="shared" si="175"/>
        <v>1.0294000000000001</v>
      </c>
      <c r="AI285" s="235">
        <v>1.0640000000000001</v>
      </c>
      <c r="AK285" s="152">
        <f t="shared" si="157"/>
        <v>0</v>
      </c>
      <c r="AM285" s="239">
        <v>1.034</v>
      </c>
      <c r="AN285" s="243">
        <v>-2.9399999999999999E-2</v>
      </c>
      <c r="AO285" s="240" t="e">
        <f>#REF!-AM285</f>
        <v>#REF!</v>
      </c>
      <c r="AQ285" s="241">
        <f t="shared" si="178"/>
        <v>0.1057</v>
      </c>
      <c r="AR285" s="382">
        <v>485</v>
      </c>
      <c r="AS285" s="388" t="b">
        <f t="shared" si="179"/>
        <v>0</v>
      </c>
      <c r="AT285" s="411" t="e">
        <f>ROUND(W285/T285*100-100,2)+#REF!</f>
        <v>#REF!</v>
      </c>
      <c r="AW285" t="e">
        <f t="shared" si="180"/>
        <v>#DIV/0!</v>
      </c>
    </row>
    <row r="286" spans="1:49" x14ac:dyDescent="0.3">
      <c r="A286" s="587" t="s">
        <v>557</v>
      </c>
      <c r="B286" s="587" t="s">
        <v>294</v>
      </c>
      <c r="C286" s="585" t="s">
        <v>111</v>
      </c>
      <c r="D286" s="583" t="s">
        <v>211</v>
      </c>
      <c r="E286" s="588" t="s">
        <v>169</v>
      </c>
      <c r="F286" s="583">
        <f>VLOOKUP(E286,'условия, ФОТ'!$A$14:$I$28,9, FALSE)</f>
        <v>326.24</v>
      </c>
      <c r="G286" s="591">
        <v>0.66</v>
      </c>
      <c r="H286" s="583">
        <f t="shared" si="165"/>
        <v>215.32</v>
      </c>
      <c r="I286" s="583">
        <f t="shared" si="163"/>
        <v>65.03</v>
      </c>
      <c r="J286" s="583">
        <f t="shared" si="166"/>
        <v>280.35000000000002</v>
      </c>
      <c r="K286" s="589"/>
      <c r="L286" s="583"/>
      <c r="M286" s="583"/>
      <c r="N286" s="583"/>
      <c r="O286" s="583"/>
      <c r="P286" s="583">
        <f t="shared" si="167"/>
        <v>280.35000000000002</v>
      </c>
      <c r="Q286" s="583">
        <f t="shared" si="152"/>
        <v>217.27</v>
      </c>
      <c r="R286" s="584">
        <f t="shared" si="161"/>
        <v>733.33</v>
      </c>
      <c r="S286" s="584">
        <f t="shared" si="153"/>
        <v>146.66999999999999</v>
      </c>
      <c r="T286" s="584">
        <f t="shared" si="176"/>
        <v>880</v>
      </c>
      <c r="U286" s="121">
        <v>395</v>
      </c>
      <c r="V286" s="122">
        <f t="shared" si="168"/>
        <v>122.78481012658227</v>
      </c>
      <c r="W286" s="511">
        <v>880</v>
      </c>
      <c r="X286" s="398">
        <f t="shared" si="162"/>
        <v>597.14</v>
      </c>
      <c r="Y286" s="474">
        <f t="shared" si="164"/>
        <v>0.47370000000000001</v>
      </c>
      <c r="Z286" s="464" t="e">
        <f>#REF!*Y286</f>
        <v>#REF!</v>
      </c>
      <c r="AB286" s="404">
        <v>295.72399999999999</v>
      </c>
      <c r="AC286" s="434"/>
      <c r="AD286" s="478">
        <f t="shared" si="177"/>
        <v>485</v>
      </c>
      <c r="AE286" s="394"/>
      <c r="AG286" s="237">
        <v>-3.0800000000000001E-2</v>
      </c>
      <c r="AH286" s="236">
        <f t="shared" si="175"/>
        <v>1.0307999999999999</v>
      </c>
      <c r="AI286" s="235">
        <v>1.0660000000000001</v>
      </c>
      <c r="AK286" s="152">
        <f t="shared" si="157"/>
        <v>938.08</v>
      </c>
      <c r="AM286" s="239">
        <v>1.034</v>
      </c>
      <c r="AN286" s="243">
        <v>-3.0800000000000001E-2</v>
      </c>
      <c r="AO286" s="240" t="e">
        <f>#REF!-AM286</f>
        <v>#REF!</v>
      </c>
      <c r="AQ286" s="241">
        <f t="shared" si="178"/>
        <v>0.50450000000000006</v>
      </c>
      <c r="AR286" s="382">
        <v>320</v>
      </c>
      <c r="AS286" s="388" t="b">
        <f t="shared" si="179"/>
        <v>0</v>
      </c>
      <c r="AT286" s="411" t="e">
        <f>ROUND(W286/T286*100-100,2)+#REF!</f>
        <v>#REF!</v>
      </c>
      <c r="AW286">
        <f t="shared" si="180"/>
        <v>1</v>
      </c>
    </row>
    <row r="287" spans="1:49" x14ac:dyDescent="0.3">
      <c r="A287" s="587" t="s">
        <v>558</v>
      </c>
      <c r="B287" s="587" t="s">
        <v>35</v>
      </c>
      <c r="C287" s="585" t="s">
        <v>112</v>
      </c>
      <c r="D287" s="583" t="s">
        <v>211</v>
      </c>
      <c r="E287" s="588" t="s">
        <v>169</v>
      </c>
      <c r="F287" s="583">
        <f>VLOOKUP(E287,'условия, ФОТ'!$A$14:$I$28,9, FALSE)</f>
        <v>326.24</v>
      </c>
      <c r="G287" s="591">
        <v>0.1</v>
      </c>
      <c r="H287" s="583">
        <f t="shared" si="165"/>
        <v>32.619999999999997</v>
      </c>
      <c r="I287" s="583">
        <f t="shared" si="163"/>
        <v>9.85</v>
      </c>
      <c r="J287" s="583">
        <f t="shared" si="166"/>
        <v>42.47</v>
      </c>
      <c r="K287" s="589"/>
      <c r="L287" s="583"/>
      <c r="M287" s="583"/>
      <c r="N287" s="583"/>
      <c r="O287" s="583"/>
      <c r="P287" s="583">
        <f t="shared" si="167"/>
        <v>42.47</v>
      </c>
      <c r="Q287" s="583">
        <f t="shared" si="152"/>
        <v>32.909999999999997</v>
      </c>
      <c r="R287" s="584">
        <f t="shared" si="161"/>
        <v>81.67</v>
      </c>
      <c r="S287" s="584">
        <f>ROUND(R287*$S$5,2)</f>
        <v>16.329999999999998</v>
      </c>
      <c r="T287" s="584">
        <f t="shared" si="176"/>
        <v>98</v>
      </c>
      <c r="U287" s="519">
        <v>60</v>
      </c>
      <c r="V287" s="537">
        <f t="shared" si="168"/>
        <v>63.333333333333343</v>
      </c>
      <c r="W287" s="520">
        <v>0</v>
      </c>
      <c r="X287" s="521">
        <f t="shared" si="162"/>
        <v>90.46</v>
      </c>
      <c r="Y287" s="514">
        <v>8.7300000000000003E-2</v>
      </c>
      <c r="Z287" s="464" t="e">
        <f>#REF!*Y287</f>
        <v>#REF!</v>
      </c>
      <c r="AB287" s="404">
        <v>44.462000000000003</v>
      </c>
      <c r="AC287" s="434"/>
      <c r="AD287" s="478">
        <f t="shared" si="177"/>
        <v>38</v>
      </c>
      <c r="AE287" s="394"/>
      <c r="AG287" s="237">
        <v>-3.8100000000000002E-2</v>
      </c>
      <c r="AH287" s="236">
        <f t="shared" si="175"/>
        <v>1.0381</v>
      </c>
      <c r="AI287" s="235">
        <v>1.073</v>
      </c>
      <c r="AK287" s="152">
        <f t="shared" si="157"/>
        <v>0</v>
      </c>
      <c r="AM287" s="239">
        <v>1.034</v>
      </c>
      <c r="AN287" s="243">
        <v>-3.8100000000000002E-2</v>
      </c>
      <c r="AO287" s="240" t="e">
        <f>#REF!-AM287</f>
        <v>#REF!</v>
      </c>
      <c r="AQ287" s="241">
        <f t="shared" si="178"/>
        <v>0.12540000000000001</v>
      </c>
      <c r="AR287" s="382">
        <v>49</v>
      </c>
      <c r="AS287" s="388" t="b">
        <f t="shared" si="179"/>
        <v>0</v>
      </c>
      <c r="AT287" s="411" t="e">
        <f>ROUND(W287/T287*100-100,2)+#REF!</f>
        <v>#REF!</v>
      </c>
      <c r="AW287" t="e">
        <f t="shared" si="180"/>
        <v>#DIV/0!</v>
      </c>
    </row>
    <row r="288" spans="1:49" x14ac:dyDescent="0.3">
      <c r="A288" s="596" t="s">
        <v>559</v>
      </c>
      <c r="B288" s="596" t="s">
        <v>35</v>
      </c>
      <c r="C288" s="597" t="s">
        <v>113</v>
      </c>
      <c r="D288" s="568" t="s">
        <v>211</v>
      </c>
      <c r="E288" s="598" t="s">
        <v>297</v>
      </c>
      <c r="F288" s="568">
        <f>VLOOKUP(E288,'условия, ФОТ'!$A$14:$I$28,9, FALSE)</f>
        <v>356.43</v>
      </c>
      <c r="G288" s="599">
        <v>0.25</v>
      </c>
      <c r="H288" s="568">
        <f t="shared" si="165"/>
        <v>89.11</v>
      </c>
      <c r="I288" s="568">
        <f t="shared" si="163"/>
        <v>26.91</v>
      </c>
      <c r="J288" s="568">
        <f t="shared" si="166"/>
        <v>116.02</v>
      </c>
      <c r="K288" s="567"/>
      <c r="L288" s="568"/>
      <c r="M288" s="568"/>
      <c r="N288" s="568"/>
      <c r="O288" s="568"/>
      <c r="P288" s="568">
        <f t="shared" si="167"/>
        <v>116.02</v>
      </c>
      <c r="Q288" s="568">
        <f t="shared" si="152"/>
        <v>89.92</v>
      </c>
      <c r="R288" s="600">
        <f t="shared" si="161"/>
        <v>275</v>
      </c>
      <c r="S288" s="600">
        <f t="shared" si="153"/>
        <v>55</v>
      </c>
      <c r="T288" s="600">
        <f t="shared" si="176"/>
        <v>330</v>
      </c>
      <c r="U288" s="121">
        <v>165</v>
      </c>
      <c r="V288" s="122">
        <f t="shared" si="168"/>
        <v>100</v>
      </c>
      <c r="W288" s="511">
        <v>330</v>
      </c>
      <c r="X288" s="398">
        <f t="shared" si="162"/>
        <v>247.13</v>
      </c>
      <c r="Y288" s="474">
        <f t="shared" si="164"/>
        <v>0.33529999999999999</v>
      </c>
      <c r="Z288" s="464" t="e">
        <f>#REF!*Y288</f>
        <v>#REF!</v>
      </c>
      <c r="AB288" s="404">
        <v>127.182</v>
      </c>
      <c r="AC288" s="434"/>
      <c r="AD288" s="478">
        <f t="shared" si="177"/>
        <v>165</v>
      </c>
      <c r="AE288" s="394"/>
      <c r="AG288" s="237">
        <v>0.1002</v>
      </c>
      <c r="AH288" s="236">
        <f t="shared" si="175"/>
        <v>0.1002</v>
      </c>
      <c r="AI288" s="235">
        <v>0</v>
      </c>
      <c r="AK288" s="152"/>
      <c r="AM288" s="239">
        <v>1.034</v>
      </c>
      <c r="AN288" s="243">
        <v>0.1002</v>
      </c>
      <c r="AO288" s="240" t="e">
        <f>#REF!-AM288</f>
        <v>#REF!</v>
      </c>
      <c r="AQ288" s="241">
        <f t="shared" si="178"/>
        <v>0.23509999999999998</v>
      </c>
      <c r="AR288" s="382">
        <v>127</v>
      </c>
      <c r="AS288" s="388" t="b">
        <f t="shared" si="179"/>
        <v>0</v>
      </c>
      <c r="AT288" s="411" t="e">
        <f>ROUND(W288/T288*100-100,2)+#REF!</f>
        <v>#REF!</v>
      </c>
      <c r="AW288">
        <f t="shared" si="180"/>
        <v>1</v>
      </c>
    </row>
    <row r="289" spans="1:50" x14ac:dyDescent="0.3">
      <c r="A289" s="596" t="s">
        <v>560</v>
      </c>
      <c r="B289" s="596" t="s">
        <v>35</v>
      </c>
      <c r="C289" s="597" t="s">
        <v>114</v>
      </c>
      <c r="D289" s="568" t="s">
        <v>211</v>
      </c>
      <c r="E289" s="598" t="s">
        <v>297</v>
      </c>
      <c r="F289" s="568">
        <f>VLOOKUP(E289,'условия, ФОТ'!$A$14:$I$28,9, FALSE)</f>
        <v>356.43</v>
      </c>
      <c r="G289" s="599">
        <v>0.25</v>
      </c>
      <c r="H289" s="568">
        <f t="shared" si="165"/>
        <v>89.11</v>
      </c>
      <c r="I289" s="568">
        <f t="shared" si="163"/>
        <v>26.91</v>
      </c>
      <c r="J289" s="568">
        <f t="shared" si="166"/>
        <v>116.02</v>
      </c>
      <c r="K289" s="567"/>
      <c r="L289" s="568"/>
      <c r="M289" s="568"/>
      <c r="N289" s="568"/>
      <c r="O289" s="568"/>
      <c r="P289" s="568">
        <f t="shared" si="167"/>
        <v>116.02</v>
      </c>
      <c r="Q289" s="568">
        <f t="shared" si="152"/>
        <v>89.92</v>
      </c>
      <c r="R289" s="600">
        <f t="shared" si="161"/>
        <v>275</v>
      </c>
      <c r="S289" s="600">
        <f t="shared" si="153"/>
        <v>55</v>
      </c>
      <c r="T289" s="600">
        <f t="shared" si="176"/>
        <v>330</v>
      </c>
      <c r="U289" s="121">
        <v>165</v>
      </c>
      <c r="V289" s="122">
        <f t="shared" si="168"/>
        <v>100</v>
      </c>
      <c r="W289" s="511">
        <v>330</v>
      </c>
      <c r="X289" s="398">
        <f t="shared" si="162"/>
        <v>247.13</v>
      </c>
      <c r="Y289" s="510">
        <f t="shared" si="164"/>
        <v>0.33529999999999999</v>
      </c>
      <c r="Z289" s="464" t="e">
        <f>#REF!*Y289</f>
        <v>#REF!</v>
      </c>
      <c r="AB289" s="404">
        <v>127.182</v>
      </c>
      <c r="AC289" s="434"/>
      <c r="AD289" s="478">
        <f t="shared" si="177"/>
        <v>165</v>
      </c>
      <c r="AE289" s="394"/>
      <c r="AG289" s="237">
        <v>0.1002</v>
      </c>
      <c r="AH289" s="236">
        <f t="shared" si="175"/>
        <v>0.1002</v>
      </c>
      <c r="AI289" s="235">
        <v>0</v>
      </c>
      <c r="AK289" s="152"/>
      <c r="AM289" s="239">
        <v>1.034</v>
      </c>
      <c r="AN289" s="243">
        <v>0.1002</v>
      </c>
      <c r="AO289" s="240" t="e">
        <f>#REF!-AM289</f>
        <v>#REF!</v>
      </c>
      <c r="AQ289" s="241">
        <f t="shared" si="178"/>
        <v>0.23509999999999998</v>
      </c>
      <c r="AR289" s="382">
        <v>127</v>
      </c>
      <c r="AS289" s="388" t="b">
        <f t="shared" si="179"/>
        <v>0</v>
      </c>
      <c r="AT289" s="411" t="e">
        <f>ROUND(W289/T289*100-100,2)+#REF!</f>
        <v>#REF!</v>
      </c>
      <c r="AW289">
        <f t="shared" si="180"/>
        <v>1</v>
      </c>
    </row>
    <row r="290" spans="1:50" ht="25.5" x14ac:dyDescent="0.3">
      <c r="A290" s="587" t="s">
        <v>561</v>
      </c>
      <c r="B290" s="587" t="s">
        <v>35</v>
      </c>
      <c r="C290" s="585" t="s">
        <v>115</v>
      </c>
      <c r="D290" s="583" t="s">
        <v>211</v>
      </c>
      <c r="E290" s="588" t="s">
        <v>297</v>
      </c>
      <c r="F290" s="583">
        <f>VLOOKUP(E290,'условия, ФОТ'!$A$14:$I$28,9, FALSE)</f>
        <v>356.43</v>
      </c>
      <c r="G290" s="591">
        <v>0.33</v>
      </c>
      <c r="H290" s="583">
        <f t="shared" si="165"/>
        <v>117.62</v>
      </c>
      <c r="I290" s="583">
        <f t="shared" si="163"/>
        <v>35.520000000000003</v>
      </c>
      <c r="J290" s="583">
        <f t="shared" si="166"/>
        <v>153.14000000000001</v>
      </c>
      <c r="K290" s="589"/>
      <c r="L290" s="583"/>
      <c r="M290" s="583"/>
      <c r="N290" s="583"/>
      <c r="O290" s="583"/>
      <c r="P290" s="583">
        <f t="shared" si="167"/>
        <v>153.14000000000001</v>
      </c>
      <c r="Q290" s="583">
        <f t="shared" si="152"/>
        <v>118.68</v>
      </c>
      <c r="R290" s="584">
        <f t="shared" si="161"/>
        <v>433.33</v>
      </c>
      <c r="S290" s="584">
        <f t="shared" si="153"/>
        <v>86.67</v>
      </c>
      <c r="T290" s="584">
        <f t="shared" si="176"/>
        <v>520</v>
      </c>
      <c r="U290" s="121">
        <v>218</v>
      </c>
      <c r="V290" s="122">
        <f t="shared" si="168"/>
        <v>138.53211009174311</v>
      </c>
      <c r="W290" s="511">
        <v>520</v>
      </c>
      <c r="X290" s="398">
        <f t="shared" si="162"/>
        <v>326.18</v>
      </c>
      <c r="Y290" s="510">
        <f t="shared" si="164"/>
        <v>0.59419999999999995</v>
      </c>
      <c r="Z290" s="464" t="e">
        <f>#REF!*Y290</f>
        <v>#REF!</v>
      </c>
      <c r="AB290" s="404">
        <v>167.50800000000001</v>
      </c>
      <c r="AC290" s="434"/>
      <c r="AD290" s="478">
        <f t="shared" si="177"/>
        <v>302</v>
      </c>
      <c r="AE290" s="394"/>
      <c r="AG290" s="237">
        <v>9.7900000000000001E-2</v>
      </c>
      <c r="AH290" s="236">
        <f t="shared" si="175"/>
        <v>9.7900000000000001E-2</v>
      </c>
      <c r="AI290" s="235">
        <v>0</v>
      </c>
      <c r="AK290" s="152"/>
      <c r="AM290" s="239">
        <v>1.034</v>
      </c>
      <c r="AN290" s="243">
        <v>9.7900000000000001E-2</v>
      </c>
      <c r="AO290" s="240" t="e">
        <f>#REF!-AM290</f>
        <v>#REF!</v>
      </c>
      <c r="AQ290" s="241">
        <f t="shared" si="178"/>
        <v>0.49629999999999996</v>
      </c>
      <c r="AR290" s="382">
        <v>168</v>
      </c>
      <c r="AS290" s="388" t="b">
        <f t="shared" si="179"/>
        <v>0</v>
      </c>
      <c r="AT290" s="411" t="e">
        <f>ROUND(W290/T290*100-100,2)+#REF!</f>
        <v>#REF!</v>
      </c>
      <c r="AW290">
        <f t="shared" si="180"/>
        <v>1</v>
      </c>
    </row>
    <row r="291" spans="1:50" ht="22.7" customHeight="1" x14ac:dyDescent="0.3">
      <c r="A291" s="587" t="s">
        <v>562</v>
      </c>
      <c r="B291" s="587" t="s">
        <v>35</v>
      </c>
      <c r="C291" s="585" t="s">
        <v>116</v>
      </c>
      <c r="D291" s="583" t="s">
        <v>211</v>
      </c>
      <c r="E291" s="588" t="s">
        <v>297</v>
      </c>
      <c r="F291" s="583">
        <f>VLOOKUP(E291,'условия, ФОТ'!$A$14:$I$28,9, FALSE)</f>
        <v>356.43</v>
      </c>
      <c r="G291" s="591">
        <v>0.33</v>
      </c>
      <c r="H291" s="583">
        <f t="shared" si="165"/>
        <v>117.62</v>
      </c>
      <c r="I291" s="583">
        <f t="shared" si="163"/>
        <v>35.520000000000003</v>
      </c>
      <c r="J291" s="583">
        <f t="shared" si="166"/>
        <v>153.14000000000001</v>
      </c>
      <c r="K291" s="589"/>
      <c r="L291" s="583"/>
      <c r="M291" s="583"/>
      <c r="N291" s="583"/>
      <c r="O291" s="583"/>
      <c r="P291" s="583">
        <f t="shared" si="167"/>
        <v>153.14000000000001</v>
      </c>
      <c r="Q291" s="583">
        <f t="shared" si="152"/>
        <v>118.68</v>
      </c>
      <c r="R291" s="584">
        <f t="shared" si="161"/>
        <v>306.67</v>
      </c>
      <c r="S291" s="584">
        <f t="shared" si="153"/>
        <v>61.33</v>
      </c>
      <c r="T291" s="584">
        <f>ROUND((P291+Q291)*(1+Y291)*1.2,0)</f>
        <v>368</v>
      </c>
      <c r="U291" s="519">
        <v>218</v>
      </c>
      <c r="V291" s="537">
        <f t="shared" si="168"/>
        <v>68.807339449541303</v>
      </c>
      <c r="W291" s="520">
        <v>0</v>
      </c>
      <c r="X291" s="521">
        <f t="shared" si="162"/>
        <v>326.18</v>
      </c>
      <c r="Y291" s="514">
        <v>0.12959999999999999</v>
      </c>
      <c r="Z291" s="464" t="e">
        <f>#REF!*Y291</f>
        <v>#REF!</v>
      </c>
      <c r="AB291" s="404">
        <v>167.50800000000001</v>
      </c>
      <c r="AC291" s="434"/>
      <c r="AD291" s="478">
        <f t="shared" si="177"/>
        <v>150</v>
      </c>
      <c r="AE291" s="394"/>
      <c r="AG291" s="237">
        <v>9.7900000000000001E-2</v>
      </c>
      <c r="AH291" s="236">
        <f t="shared" si="175"/>
        <v>9.7900000000000001E-2</v>
      </c>
      <c r="AI291" s="235">
        <v>0</v>
      </c>
      <c r="AK291" s="152"/>
      <c r="AM291" s="239">
        <v>1.034</v>
      </c>
      <c r="AN291" s="243">
        <v>9.7900000000000001E-2</v>
      </c>
      <c r="AO291" s="240" t="e">
        <f>#REF!-AM291</f>
        <v>#REF!</v>
      </c>
      <c r="AQ291" s="241">
        <f t="shared" si="178"/>
        <v>3.1699999999999992E-2</v>
      </c>
      <c r="AR291" s="382">
        <v>168</v>
      </c>
      <c r="AS291" s="388" t="b">
        <f t="shared" si="179"/>
        <v>0</v>
      </c>
      <c r="AT291" s="411" t="e">
        <f>ROUND(W291/T291*100-100,2)+#REF!</f>
        <v>#REF!</v>
      </c>
      <c r="AW291" t="e">
        <f t="shared" si="180"/>
        <v>#DIV/0!</v>
      </c>
    </row>
    <row r="292" spans="1:50" ht="31.7" customHeight="1" x14ac:dyDescent="0.3">
      <c r="A292" s="587" t="s">
        <v>563</v>
      </c>
      <c r="B292" s="587" t="s">
        <v>35</v>
      </c>
      <c r="C292" s="585" t="s">
        <v>117</v>
      </c>
      <c r="D292" s="583" t="s">
        <v>211</v>
      </c>
      <c r="E292" s="588" t="s">
        <v>297</v>
      </c>
      <c r="F292" s="583">
        <f>VLOOKUP(E292,'условия, ФОТ'!$A$14:$I$28,9, FALSE)</f>
        <v>356.43</v>
      </c>
      <c r="G292" s="591">
        <v>0.33</v>
      </c>
      <c r="H292" s="583">
        <f t="shared" si="165"/>
        <v>117.62</v>
      </c>
      <c r="I292" s="583">
        <f t="shared" si="163"/>
        <v>35.520000000000003</v>
      </c>
      <c r="J292" s="583">
        <f t="shared" si="166"/>
        <v>153.14000000000001</v>
      </c>
      <c r="K292" s="589"/>
      <c r="L292" s="583"/>
      <c r="M292" s="583"/>
      <c r="N292" s="583"/>
      <c r="O292" s="583"/>
      <c r="P292" s="583">
        <f t="shared" si="167"/>
        <v>153.14000000000001</v>
      </c>
      <c r="Q292" s="583">
        <f t="shared" si="152"/>
        <v>118.68</v>
      </c>
      <c r="R292" s="584">
        <f t="shared" si="161"/>
        <v>306.67</v>
      </c>
      <c r="S292" s="584">
        <f t="shared" si="153"/>
        <v>61.33</v>
      </c>
      <c r="T292" s="584">
        <f t="shared" si="176"/>
        <v>368</v>
      </c>
      <c r="U292" s="519">
        <v>218</v>
      </c>
      <c r="V292" s="537">
        <f t="shared" si="168"/>
        <v>68.807339449541303</v>
      </c>
      <c r="W292" s="520">
        <v>0</v>
      </c>
      <c r="X292" s="521">
        <f t="shared" si="162"/>
        <v>326.18</v>
      </c>
      <c r="Y292" s="514">
        <v>0.12959999999999999</v>
      </c>
      <c r="Z292" s="464" t="e">
        <f>#REF!*Y292</f>
        <v>#REF!</v>
      </c>
      <c r="AB292" s="404">
        <v>167.50800000000001</v>
      </c>
      <c r="AC292" s="434"/>
      <c r="AD292" s="478">
        <f t="shared" si="177"/>
        <v>150</v>
      </c>
      <c r="AE292" s="394"/>
      <c r="AG292" s="237">
        <v>9.7900000000000001E-2</v>
      </c>
      <c r="AH292" s="236">
        <f t="shared" si="175"/>
        <v>9.7900000000000001E-2</v>
      </c>
      <c r="AI292" s="235">
        <v>0</v>
      </c>
      <c r="AK292" s="152"/>
      <c r="AM292" s="239">
        <v>1.034</v>
      </c>
      <c r="AN292" s="243">
        <v>9.7900000000000001E-2</v>
      </c>
      <c r="AO292" s="240" t="e">
        <f>#REF!-AM292</f>
        <v>#REF!</v>
      </c>
      <c r="AQ292" s="241">
        <f t="shared" si="178"/>
        <v>3.1699999999999992E-2</v>
      </c>
      <c r="AR292" s="382">
        <v>168</v>
      </c>
      <c r="AS292" s="388" t="b">
        <f t="shared" si="179"/>
        <v>0</v>
      </c>
      <c r="AT292" s="411" t="e">
        <f>ROUND(W292/T292*100-100,2)+#REF!</f>
        <v>#REF!</v>
      </c>
      <c r="AW292" t="e">
        <f t="shared" si="180"/>
        <v>#DIV/0!</v>
      </c>
    </row>
    <row r="293" spans="1:50" ht="18" customHeight="1" x14ac:dyDescent="0.3">
      <c r="A293" s="587" t="s">
        <v>564</v>
      </c>
      <c r="B293" s="587" t="s">
        <v>35</v>
      </c>
      <c r="C293" s="585" t="s">
        <v>118</v>
      </c>
      <c r="D293" s="583" t="s">
        <v>211</v>
      </c>
      <c r="E293" s="588" t="s">
        <v>297</v>
      </c>
      <c r="F293" s="583">
        <f>VLOOKUP(E293,'условия, ФОТ'!$A$14:$I$28,9, FALSE)</f>
        <v>356.43</v>
      </c>
      <c r="G293" s="591">
        <v>0.5</v>
      </c>
      <c r="H293" s="583">
        <f t="shared" si="165"/>
        <v>178.22</v>
      </c>
      <c r="I293" s="583">
        <f t="shared" si="163"/>
        <v>53.82</v>
      </c>
      <c r="J293" s="583">
        <f t="shared" si="166"/>
        <v>232.04</v>
      </c>
      <c r="K293" s="589"/>
      <c r="L293" s="583"/>
      <c r="M293" s="583"/>
      <c r="N293" s="583"/>
      <c r="O293" s="583"/>
      <c r="P293" s="583">
        <f t="shared" si="167"/>
        <v>232.04</v>
      </c>
      <c r="Q293" s="583">
        <f t="shared" si="152"/>
        <v>179.83</v>
      </c>
      <c r="R293" s="584">
        <f>ROUND(T293/1.2,2)</f>
        <v>462.5</v>
      </c>
      <c r="S293" s="584">
        <f>ROUND(R293*$S$5,2)</f>
        <v>92.5</v>
      </c>
      <c r="T293" s="584">
        <f t="shared" si="176"/>
        <v>555</v>
      </c>
      <c r="U293" s="519">
        <v>329</v>
      </c>
      <c r="V293" s="537">
        <f t="shared" si="168"/>
        <v>68.693009118541028</v>
      </c>
      <c r="W293" s="520">
        <v>0</v>
      </c>
      <c r="X293" s="521">
        <f t="shared" si="162"/>
        <v>494.24</v>
      </c>
      <c r="Y293" s="514">
        <v>0.1229</v>
      </c>
      <c r="Z293" s="464" t="e">
        <f>#REF!*Y293</f>
        <v>#REF!</v>
      </c>
      <c r="AB293" s="404">
        <v>253.33</v>
      </c>
      <c r="AC293" s="434"/>
      <c r="AD293" s="478">
        <f t="shared" si="177"/>
        <v>226</v>
      </c>
      <c r="AE293" s="394"/>
      <c r="AG293" s="237">
        <v>9.5799999999999996E-2</v>
      </c>
      <c r="AH293" s="236">
        <f t="shared" si="175"/>
        <v>9.5799999999999996E-2</v>
      </c>
      <c r="AI293" s="235">
        <v>0</v>
      </c>
      <c r="AK293" s="152"/>
      <c r="AM293" s="239">
        <v>1.034</v>
      </c>
      <c r="AN293" s="243">
        <v>9.5799999999999996E-2</v>
      </c>
      <c r="AO293" s="240" t="e">
        <f>#REF!-AM293</f>
        <v>#REF!</v>
      </c>
      <c r="AQ293" s="241">
        <f t="shared" si="178"/>
        <v>2.7099999999999999E-2</v>
      </c>
      <c r="AR293" s="382">
        <v>253</v>
      </c>
      <c r="AS293" s="388" t="b">
        <f t="shared" si="179"/>
        <v>0</v>
      </c>
      <c r="AT293" s="411" t="e">
        <f>ROUND(W293/T293*100-100,2)+#REF!</f>
        <v>#REF!</v>
      </c>
      <c r="AW293" t="e">
        <f t="shared" si="180"/>
        <v>#DIV/0!</v>
      </c>
    </row>
    <row r="294" spans="1:50" ht="18" customHeight="1" x14ac:dyDescent="0.3">
      <c r="A294" s="864" t="s">
        <v>295</v>
      </c>
      <c r="B294" s="865"/>
      <c r="C294" s="865"/>
      <c r="D294" s="865"/>
      <c r="E294" s="865"/>
      <c r="F294" s="865"/>
      <c r="G294" s="865"/>
      <c r="H294" s="865"/>
      <c r="I294" s="865"/>
      <c r="J294" s="865"/>
      <c r="K294" s="865"/>
      <c r="L294" s="865"/>
      <c r="M294" s="865"/>
      <c r="N294" s="865"/>
      <c r="O294" s="865"/>
      <c r="P294" s="865"/>
      <c r="Q294" s="865"/>
      <c r="R294" s="548"/>
      <c r="S294" s="548"/>
      <c r="T294" s="548"/>
      <c r="U294" s="131"/>
      <c r="V294" s="122"/>
      <c r="W294" s="392"/>
      <c r="X294" s="396"/>
      <c r="Y294" s="474"/>
      <c r="Z294" s="464"/>
      <c r="AC294" s="434"/>
      <c r="AD294" s="482"/>
      <c r="AE294" s="394"/>
      <c r="AG294" s="237"/>
      <c r="AH294" s="236"/>
      <c r="AI294" s="235"/>
      <c r="AK294" s="152"/>
      <c r="AM294" s="239"/>
      <c r="AN294" s="243"/>
      <c r="AO294" s="240"/>
      <c r="AQ294" s="241"/>
      <c r="AR294" s="382"/>
      <c r="AT294" s="411"/>
    </row>
    <row r="295" spans="1:50" ht="30.75" customHeight="1" x14ac:dyDescent="0.3">
      <c r="A295" s="596" t="s">
        <v>565</v>
      </c>
      <c r="B295" s="596" t="s">
        <v>296</v>
      </c>
      <c r="C295" s="597" t="s">
        <v>119</v>
      </c>
      <c r="D295" s="568" t="s">
        <v>34</v>
      </c>
      <c r="E295" s="598" t="s">
        <v>169</v>
      </c>
      <c r="F295" s="568">
        <f>VLOOKUP(E295,'условия, ФОТ'!$A$14:$I$28,9, FALSE)</f>
        <v>326.24</v>
      </c>
      <c r="G295" s="599">
        <v>0.9</v>
      </c>
      <c r="H295" s="568">
        <f>ROUND(F295*G295,2)</f>
        <v>293.62</v>
      </c>
      <c r="I295" s="568">
        <f t="shared" si="163"/>
        <v>88.67</v>
      </c>
      <c r="J295" s="568">
        <f t="shared" si="166"/>
        <v>382.29</v>
      </c>
      <c r="K295" s="567"/>
      <c r="L295" s="568"/>
      <c r="M295" s="568"/>
      <c r="N295" s="568"/>
      <c r="O295" s="568">
        <f>SUM(O296:O298)</f>
        <v>5.6499999999999995</v>
      </c>
      <c r="P295" s="568">
        <f>J295+O295</f>
        <v>387.94</v>
      </c>
      <c r="Q295" s="568">
        <f t="shared" si="152"/>
        <v>300.64999999999998</v>
      </c>
      <c r="R295" s="600">
        <f>ROUND(T295/1.2,2)</f>
        <v>1000</v>
      </c>
      <c r="S295" s="600">
        <f t="shared" si="153"/>
        <v>200</v>
      </c>
      <c r="T295" s="600">
        <f>ROUND((P295+Q295)*(1+Y295)*1.2,0)</f>
        <v>1200</v>
      </c>
      <c r="U295" s="121">
        <v>530</v>
      </c>
      <c r="V295" s="122">
        <f t="shared" si="168"/>
        <v>126.41509433962264</v>
      </c>
      <c r="W295" s="479">
        <v>1200</v>
      </c>
      <c r="X295" s="396">
        <f t="shared" ref="X295" si="181">ROUND((P295+Q295)*1.2,2)</f>
        <v>826.31</v>
      </c>
      <c r="Y295" s="474">
        <f>ROUND((W295/X295)*100%-100%,4)</f>
        <v>0.45219999999999999</v>
      </c>
      <c r="Z295" s="464" t="e">
        <f>#REF!*Y295</f>
        <v>#REF!</v>
      </c>
      <c r="AB295" s="404">
        <v>368.10399999999998</v>
      </c>
      <c r="AC295" s="434"/>
      <c r="AD295" s="478">
        <f>T295-U295</f>
        <v>670</v>
      </c>
      <c r="AE295" s="394"/>
      <c r="AG295" s="237">
        <v>-0.1333</v>
      </c>
      <c r="AH295" s="236">
        <f t="shared" si="175"/>
        <v>1.1333</v>
      </c>
      <c r="AI295" s="235">
        <v>1.1719999999999999</v>
      </c>
      <c r="AK295" s="152">
        <f>ROUND(W295*AI295,2)</f>
        <v>1406.4</v>
      </c>
      <c r="AM295" s="239">
        <v>1.034</v>
      </c>
      <c r="AN295" s="243">
        <v>-0.1333</v>
      </c>
      <c r="AO295" s="240" t="e">
        <f>#REF!-AM295</f>
        <v>#REF!</v>
      </c>
      <c r="AQ295" s="241">
        <f>Y295-AN295</f>
        <v>0.58550000000000002</v>
      </c>
      <c r="AR295" s="382">
        <v>446</v>
      </c>
      <c r="AS295" s="388" t="b">
        <f>W295=AR295</f>
        <v>0</v>
      </c>
      <c r="AT295" s="411" t="e">
        <f>ROUND(W295/T295*100-100,2)+#REF!</f>
        <v>#REF!</v>
      </c>
      <c r="AW295">
        <f>ROUND(T295/W295,3)</f>
        <v>1</v>
      </c>
    </row>
    <row r="296" spans="1:50" ht="26.25" customHeight="1" outlineLevel="1" x14ac:dyDescent="0.3">
      <c r="A296" s="587"/>
      <c r="B296" s="587"/>
      <c r="C296" s="585"/>
      <c r="D296" s="583"/>
      <c r="E296" s="588"/>
      <c r="F296" s="583"/>
      <c r="G296" s="591"/>
      <c r="H296" s="583"/>
      <c r="I296" s="583"/>
      <c r="J296" s="540" t="s">
        <v>385</v>
      </c>
      <c r="K296" s="545" t="s">
        <v>341</v>
      </c>
      <c r="L296" s="591" t="str">
        <f>VLOOKUP(K296,материалы!$A$5:$G$31,5, FALSE)</f>
        <v>кг</v>
      </c>
      <c r="M296" s="583">
        <f>VLOOKUP(K296,материалы!$A$5:$G$34,7, FALSE)</f>
        <v>950</v>
      </c>
      <c r="N296" s="583">
        <v>5.0000000000000001E-3</v>
      </c>
      <c r="O296" s="583">
        <f>ROUND(M296*N296,2)</f>
        <v>4.75</v>
      </c>
      <c r="P296" s="583"/>
      <c r="Q296" s="583"/>
      <c r="R296" s="584"/>
      <c r="S296" s="584"/>
      <c r="T296" s="584"/>
      <c r="U296" s="121"/>
      <c r="V296" s="122"/>
      <c r="W296" s="392"/>
      <c r="X296" s="396"/>
      <c r="Y296" s="474"/>
      <c r="Z296" s="464"/>
      <c r="AC296" s="434"/>
      <c r="AD296" s="482"/>
      <c r="AE296" s="394"/>
      <c r="AG296" s="237"/>
      <c r="AH296" s="236"/>
      <c r="AI296" s="235"/>
      <c r="AK296" s="152"/>
      <c r="AM296" s="239"/>
      <c r="AN296" s="243"/>
      <c r="AO296" s="240"/>
      <c r="AQ296" s="241"/>
      <c r="AR296" s="382"/>
      <c r="AT296" s="411"/>
    </row>
    <row r="297" spans="1:50" outlineLevel="1" x14ac:dyDescent="0.3">
      <c r="A297" s="587"/>
      <c r="B297" s="587"/>
      <c r="C297" s="585"/>
      <c r="D297" s="583"/>
      <c r="E297" s="588"/>
      <c r="F297" s="583"/>
      <c r="G297" s="591"/>
      <c r="H297" s="583"/>
      <c r="I297" s="583"/>
      <c r="J297" s="583"/>
      <c r="K297" s="541" t="s">
        <v>335</v>
      </c>
      <c r="L297" s="591" t="str">
        <f>VLOOKUP(K297,материалы!$A$5:$G$31,5, FALSE)</f>
        <v>кг</v>
      </c>
      <c r="M297" s="583">
        <f>VLOOKUP(K297,материалы!$A$5:$G$34,7, FALSE)</f>
        <v>95</v>
      </c>
      <c r="N297" s="544">
        <v>1E-3</v>
      </c>
      <c r="O297" s="583">
        <f>ROUND(M297*N297,2)</f>
        <v>0.1</v>
      </c>
      <c r="P297" s="583"/>
      <c r="Q297" s="583"/>
      <c r="R297" s="584"/>
      <c r="S297" s="584"/>
      <c r="T297" s="584"/>
      <c r="U297" s="121"/>
      <c r="V297" s="122"/>
      <c r="W297" s="392"/>
      <c r="X297" s="396"/>
      <c r="Y297" s="474"/>
      <c r="Z297" s="464"/>
      <c r="AC297" s="434"/>
      <c r="AD297" s="482"/>
      <c r="AE297" s="394"/>
      <c r="AG297" s="237"/>
      <c r="AH297" s="236"/>
      <c r="AI297" s="235"/>
      <c r="AK297" s="152"/>
      <c r="AM297" s="239"/>
      <c r="AN297" s="243"/>
      <c r="AO297" s="240"/>
      <c r="AQ297" s="241"/>
      <c r="AR297" s="382"/>
      <c r="AT297" s="411"/>
    </row>
    <row r="298" spans="1:50" outlineLevel="1" x14ac:dyDescent="0.3">
      <c r="A298" s="587"/>
      <c r="B298" s="587"/>
      <c r="C298" s="585"/>
      <c r="D298" s="583"/>
      <c r="E298" s="588"/>
      <c r="F298" s="583"/>
      <c r="G298" s="591"/>
      <c r="H298" s="583"/>
      <c r="I298" s="583"/>
      <c r="J298" s="583"/>
      <c r="K298" s="541" t="s">
        <v>336</v>
      </c>
      <c r="L298" s="591" t="str">
        <f>VLOOKUP(K298,материалы!$A$5:$G$31,5, FALSE)</f>
        <v>кг</v>
      </c>
      <c r="M298" s="583">
        <f>VLOOKUP(K298,материалы!$A$5:$G$34,7, FALSE)</f>
        <v>80</v>
      </c>
      <c r="N298" s="591">
        <v>0.01</v>
      </c>
      <c r="O298" s="583">
        <f>ROUND(M298*N298,2)</f>
        <v>0.8</v>
      </c>
      <c r="P298" s="583"/>
      <c r="Q298" s="583"/>
      <c r="R298" s="584"/>
      <c r="S298" s="584"/>
      <c r="T298" s="584"/>
      <c r="U298" s="121"/>
      <c r="V298" s="122"/>
      <c r="W298" s="392"/>
      <c r="X298" s="396"/>
      <c r="Y298" s="474"/>
      <c r="Z298" s="464"/>
      <c r="AC298" s="434"/>
      <c r="AD298" s="482"/>
      <c r="AE298" s="394"/>
      <c r="AG298" s="237"/>
      <c r="AH298" s="236"/>
      <c r="AI298" s="235"/>
      <c r="AK298" s="152"/>
      <c r="AM298" s="239"/>
      <c r="AN298" s="243"/>
      <c r="AO298" s="240"/>
      <c r="AQ298" s="241"/>
      <c r="AR298" s="382"/>
      <c r="AT298" s="411"/>
    </row>
    <row r="299" spans="1:50" s="117" customFormat="1" ht="41.25" customHeight="1" outlineLevel="1" x14ac:dyDescent="0.3">
      <c r="A299" s="587" t="s">
        <v>643</v>
      </c>
      <c r="B299" s="587" t="s">
        <v>296</v>
      </c>
      <c r="C299" s="585" t="s">
        <v>644</v>
      </c>
      <c r="D299" s="583" t="s">
        <v>34</v>
      </c>
      <c r="E299" s="588" t="s">
        <v>169</v>
      </c>
      <c r="F299" s="583">
        <f>VLOOKUP(E299,'условия, ФОТ'!$A$14:$I$28,9, FALSE)</f>
        <v>326.24</v>
      </c>
      <c r="G299" s="591">
        <v>0.9</v>
      </c>
      <c r="H299" s="583">
        <f>ROUND(F299*G299,2)</f>
        <v>293.62</v>
      </c>
      <c r="I299" s="583">
        <f t="shared" ref="I299" si="182">ROUND(H299*$I$5,2)</f>
        <v>88.67</v>
      </c>
      <c r="J299" s="583">
        <f t="shared" ref="J299" si="183">H299+I299</f>
        <v>382.29</v>
      </c>
      <c r="K299" s="589"/>
      <c r="L299" s="583"/>
      <c r="M299" s="583"/>
      <c r="N299" s="583"/>
      <c r="O299" s="583">
        <f>SUM(O300:O303)</f>
        <v>195.65</v>
      </c>
      <c r="P299" s="583">
        <f>J299+O299</f>
        <v>577.94000000000005</v>
      </c>
      <c r="Q299" s="583">
        <f t="shared" ref="Q299" si="184">ROUND(P299*$Q$5,2)</f>
        <v>447.9</v>
      </c>
      <c r="R299" s="584">
        <f>ROUND(T299/1.2,2)</f>
        <v>1068.33</v>
      </c>
      <c r="S299" s="584">
        <f t="shared" ref="S299" si="185">ROUND(R299*$S$5,2)</f>
        <v>213.67</v>
      </c>
      <c r="T299" s="584">
        <f>ROUND((P299+Q299)*(1+Y299)*1.2,0)</f>
        <v>1282</v>
      </c>
      <c r="U299" s="136">
        <v>859</v>
      </c>
      <c r="V299" s="122"/>
      <c r="W299" s="481"/>
      <c r="X299" s="396"/>
      <c r="Y299" s="514">
        <v>4.1799999999999997E-2</v>
      </c>
      <c r="Z299" s="464" t="e">
        <f>#REF!*Y299</f>
        <v>#REF!</v>
      </c>
      <c r="AA299" s="461"/>
      <c r="AB299" s="408">
        <v>601.78800000000001</v>
      </c>
      <c r="AC299" s="387"/>
      <c r="AD299" s="478">
        <f>T299-U299</f>
        <v>423</v>
      </c>
      <c r="AE299" s="394"/>
      <c r="AG299" s="164">
        <v>-1.0200000000000001E-2</v>
      </c>
      <c r="AH299" s="236">
        <f t="shared" si="175"/>
        <v>1.0102</v>
      </c>
      <c r="AI299" s="235">
        <v>1.0449999999999999</v>
      </c>
      <c r="AK299" s="152">
        <f>ROUND(W299*AI299,2)</f>
        <v>0</v>
      </c>
      <c r="AL299" s="245"/>
      <c r="AM299" s="164">
        <v>1.034</v>
      </c>
      <c r="AN299" s="19">
        <v>-1.0200000000000001E-2</v>
      </c>
      <c r="AO299" s="240" t="e">
        <f>#REF!-AM299</f>
        <v>#REF!</v>
      </c>
      <c r="AQ299" s="241">
        <f>Y299-AN299</f>
        <v>5.1999999999999998E-2</v>
      </c>
      <c r="AR299" s="387">
        <v>638</v>
      </c>
      <c r="AS299" s="388" t="b">
        <f>W299=AR299</f>
        <v>0</v>
      </c>
      <c r="AT299" s="411" t="e">
        <f>ROUND(W299/T299*100-100,2)+#REF!</f>
        <v>#REF!</v>
      </c>
      <c r="AU299"/>
      <c r="AV299"/>
      <c r="AW299" t="e">
        <f>ROUND(T299/W299,3)</f>
        <v>#DIV/0!</v>
      </c>
    </row>
    <row r="300" spans="1:50" s="117" customFormat="1" ht="36" customHeight="1" outlineLevel="1" x14ac:dyDescent="0.3">
      <c r="A300" s="587"/>
      <c r="B300" s="587"/>
      <c r="C300" s="585"/>
      <c r="D300" s="583"/>
      <c r="E300" s="588"/>
      <c r="F300" s="583"/>
      <c r="G300" s="591"/>
      <c r="H300" s="583"/>
      <c r="I300" s="583"/>
      <c r="J300" s="540" t="s">
        <v>385</v>
      </c>
      <c r="K300" s="585" t="s">
        <v>645</v>
      </c>
      <c r="L300" s="583" t="s">
        <v>646</v>
      </c>
      <c r="M300" s="583">
        <f>VLOOKUP(K300,материалы!$A$5:$G$34,7, FALSE)</f>
        <v>190</v>
      </c>
      <c r="N300" s="583">
        <v>1</v>
      </c>
      <c r="O300" s="583">
        <f>ROUND(M300*N300,2)</f>
        <v>190</v>
      </c>
      <c r="P300" s="583"/>
      <c r="Q300" s="583"/>
      <c r="R300" s="584"/>
      <c r="S300" s="584"/>
      <c r="T300" s="584"/>
      <c r="U300" s="136"/>
      <c r="V300" s="122"/>
      <c r="W300" s="381"/>
      <c r="X300" s="397"/>
      <c r="Y300" s="474"/>
      <c r="Z300" s="464"/>
      <c r="AA300" s="447"/>
      <c r="AB300" s="408"/>
      <c r="AC300" s="387"/>
      <c r="AD300" s="482"/>
      <c r="AE300" s="394"/>
      <c r="AG300" s="164"/>
      <c r="AH300" s="236"/>
      <c r="AI300" s="235"/>
      <c r="AK300" s="152"/>
      <c r="AL300" s="245"/>
      <c r="AM300" s="164"/>
      <c r="AN300" s="19"/>
      <c r="AO300" s="240"/>
      <c r="AQ300" s="241"/>
      <c r="AR300" s="387"/>
      <c r="AS300" s="388"/>
      <c r="AT300" s="411"/>
      <c r="AU300"/>
      <c r="AV300"/>
      <c r="AW300"/>
    </row>
    <row r="301" spans="1:50" s="117" customFormat="1" ht="30" customHeight="1" outlineLevel="1" x14ac:dyDescent="0.3">
      <c r="A301" s="587"/>
      <c r="B301" s="587"/>
      <c r="C301" s="585"/>
      <c r="D301" s="583"/>
      <c r="E301" s="588"/>
      <c r="F301" s="583"/>
      <c r="G301" s="591"/>
      <c r="H301" s="583"/>
      <c r="I301" s="583"/>
      <c r="J301" s="540"/>
      <c r="K301" s="545" t="s">
        <v>341</v>
      </c>
      <c r="L301" s="591" t="str">
        <f>VLOOKUP(K301,[3]материалы!$A$5:$G$31,5, FALSE)</f>
        <v>кг</v>
      </c>
      <c r="M301" s="583">
        <f>VLOOKUP(K301,материалы!$A$5:$G$34,7, FALSE)</f>
        <v>950</v>
      </c>
      <c r="N301" s="583">
        <v>5.0000000000000001E-3</v>
      </c>
      <c r="O301" s="583">
        <f>ROUND(M301*N301,2)</f>
        <v>4.75</v>
      </c>
      <c r="P301" s="583"/>
      <c r="Q301" s="583"/>
      <c r="R301" s="584"/>
      <c r="S301" s="584"/>
      <c r="T301" s="584"/>
      <c r="U301" s="136"/>
      <c r="V301" s="122"/>
      <c r="W301" s="381"/>
      <c r="X301" s="397"/>
      <c r="Y301" s="474"/>
      <c r="Z301" s="464"/>
      <c r="AA301" s="447"/>
      <c r="AB301" s="408"/>
      <c r="AC301" s="387"/>
      <c r="AD301" s="482"/>
      <c r="AE301" s="394"/>
      <c r="AG301" s="164"/>
      <c r="AH301" s="236"/>
      <c r="AI301" s="235"/>
      <c r="AK301" s="152"/>
      <c r="AL301" s="245"/>
      <c r="AM301" s="164"/>
      <c r="AN301" s="19"/>
      <c r="AO301" s="240"/>
      <c r="AQ301" s="241"/>
      <c r="AR301" s="387"/>
      <c r="AS301" s="388"/>
      <c r="AT301" s="411"/>
      <c r="AU301"/>
      <c r="AV301"/>
      <c r="AW301"/>
    </row>
    <row r="302" spans="1:50" s="117" customFormat="1" ht="21.75" customHeight="1" outlineLevel="1" x14ac:dyDescent="0.3">
      <c r="A302" s="587"/>
      <c r="B302" s="587"/>
      <c r="C302" s="585"/>
      <c r="D302" s="583"/>
      <c r="E302" s="588"/>
      <c r="F302" s="583"/>
      <c r="G302" s="591"/>
      <c r="H302" s="583"/>
      <c r="I302" s="583"/>
      <c r="J302" s="583"/>
      <c r="K302" s="541" t="s">
        <v>335</v>
      </c>
      <c r="L302" s="591" t="str">
        <f>VLOOKUP(K302,[3]материалы!$A$5:$G$31,5, FALSE)</f>
        <v>кг</v>
      </c>
      <c r="M302" s="583">
        <f>VLOOKUP(K302,материалы!$A$5:$G$34,7, FALSE)</f>
        <v>95</v>
      </c>
      <c r="N302" s="544">
        <v>1E-3</v>
      </c>
      <c r="O302" s="583">
        <f>ROUND(M302*N302,2)</f>
        <v>0.1</v>
      </c>
      <c r="P302" s="583"/>
      <c r="Q302" s="583"/>
      <c r="R302" s="584"/>
      <c r="S302" s="584"/>
      <c r="T302" s="584"/>
      <c r="U302" s="136"/>
      <c r="V302" s="122"/>
      <c r="W302" s="381"/>
      <c r="X302" s="397"/>
      <c r="Y302" s="474"/>
      <c r="Z302" s="464"/>
      <c r="AA302" s="447"/>
      <c r="AB302" s="408"/>
      <c r="AC302" s="387"/>
      <c r="AD302" s="482"/>
      <c r="AE302" s="394"/>
      <c r="AG302" s="164"/>
      <c r="AH302" s="236"/>
      <c r="AI302" s="235"/>
      <c r="AK302" s="152"/>
      <c r="AL302" s="245"/>
      <c r="AM302" s="164"/>
      <c r="AN302" s="19"/>
      <c r="AO302" s="240"/>
      <c r="AQ302" s="241"/>
      <c r="AR302" s="387"/>
      <c r="AS302" s="388"/>
      <c r="AT302" s="411"/>
      <c r="AU302"/>
      <c r="AV302"/>
      <c r="AW302"/>
    </row>
    <row r="303" spans="1:50" s="117" customFormat="1" ht="18" customHeight="1" outlineLevel="1" x14ac:dyDescent="0.3">
      <c r="A303" s="587"/>
      <c r="B303" s="587"/>
      <c r="C303" s="585"/>
      <c r="D303" s="583"/>
      <c r="E303" s="588"/>
      <c r="F303" s="583"/>
      <c r="G303" s="591"/>
      <c r="H303" s="583"/>
      <c r="I303" s="583"/>
      <c r="J303" s="583"/>
      <c r="K303" s="541" t="s">
        <v>336</v>
      </c>
      <c r="L303" s="591" t="str">
        <f>VLOOKUP(K303,[3]материалы!$A$5:$G$31,5, FALSE)</f>
        <v>кг</v>
      </c>
      <c r="M303" s="583">
        <f>VLOOKUP(K303,материалы!$A$5:$G$34,7, FALSE)</f>
        <v>80</v>
      </c>
      <c r="N303" s="591">
        <v>0.01</v>
      </c>
      <c r="O303" s="583">
        <f>ROUND(M303*N303,2)</f>
        <v>0.8</v>
      </c>
      <c r="P303" s="583"/>
      <c r="Q303" s="583"/>
      <c r="R303" s="584"/>
      <c r="S303" s="584"/>
      <c r="T303" s="584"/>
      <c r="U303" s="136"/>
      <c r="V303" s="122"/>
      <c r="W303" s="381"/>
      <c r="X303" s="397"/>
      <c r="Y303" s="474"/>
      <c r="Z303" s="464"/>
      <c r="AA303" s="447"/>
      <c r="AB303" s="408"/>
      <c r="AC303" s="387"/>
      <c r="AD303" s="482"/>
      <c r="AE303" s="394"/>
      <c r="AG303" s="164"/>
      <c r="AH303" s="236"/>
      <c r="AI303" s="235"/>
      <c r="AK303" s="152"/>
      <c r="AL303" s="245"/>
      <c r="AM303" s="164"/>
      <c r="AN303" s="19"/>
      <c r="AO303" s="240"/>
      <c r="AQ303" s="241"/>
      <c r="AR303" s="387"/>
      <c r="AS303" s="388"/>
      <c r="AT303" s="411"/>
      <c r="AU303"/>
      <c r="AV303"/>
      <c r="AW303"/>
    </row>
    <row r="304" spans="1:50" s="638" customFormat="1" ht="30.75" customHeight="1" outlineLevel="1" x14ac:dyDescent="0.25">
      <c r="A304" s="587" t="s">
        <v>718</v>
      </c>
      <c r="B304" s="587" t="s">
        <v>296</v>
      </c>
      <c r="C304" s="585" t="s">
        <v>719</v>
      </c>
      <c r="D304" s="583" t="s">
        <v>34</v>
      </c>
      <c r="E304" s="588" t="s">
        <v>169</v>
      </c>
      <c r="F304" s="583">
        <f>VLOOKUP(E304,'условия, ФОТ'!$A$14:$I$28,9, FALSE)</f>
        <v>326.24</v>
      </c>
      <c r="G304" s="591">
        <v>1.42</v>
      </c>
      <c r="H304" s="583">
        <f>ROUND(F304*G304,2)</f>
        <v>463.26</v>
      </c>
      <c r="I304" s="583">
        <f t="shared" ref="I304" si="186">ROUND(H304*$I$5,2)</f>
        <v>139.9</v>
      </c>
      <c r="J304" s="583">
        <f>H304+I304</f>
        <v>603.16</v>
      </c>
      <c r="K304" s="589"/>
      <c r="L304" s="583"/>
      <c r="M304" s="583"/>
      <c r="N304" s="583"/>
      <c r="O304" s="583">
        <f>SUM(O305:O307)</f>
        <v>5.6499999999999995</v>
      </c>
      <c r="P304" s="583">
        <f>J304+O304</f>
        <v>608.80999999999995</v>
      </c>
      <c r="Q304" s="583">
        <f>ROUND(P304*$Q$5,2)</f>
        <v>471.83</v>
      </c>
      <c r="R304" s="584">
        <f>ROUND(T304/1.2,2)</f>
        <v>1583.33</v>
      </c>
      <c r="S304" s="584">
        <f>ROUND(R304*$S$5,2)</f>
        <v>316.67</v>
      </c>
      <c r="T304" s="584">
        <f>ROUND((P304+Q304)*(1+Y304)*1.2,0)</f>
        <v>1900</v>
      </c>
      <c r="U304" s="641">
        <v>698</v>
      </c>
      <c r="V304" s="639">
        <f>T304/U304*100-100</f>
        <v>172.20630372492838</v>
      </c>
      <c r="W304" s="704">
        <v>1900</v>
      </c>
      <c r="X304" s="699">
        <f t="shared" ref="X304" si="187">ROUND((P304+Q304)*1.2,2)</f>
        <v>1296.77</v>
      </c>
      <c r="Y304" s="705">
        <f>ROUND((W304/X304)*100%-100%,4)</f>
        <v>0.4652</v>
      </c>
      <c r="Z304" s="706"/>
      <c r="AA304" s="703"/>
      <c r="AB304" s="701"/>
      <c r="AC304" s="696"/>
      <c r="AD304" s="609"/>
      <c r="AE304" s="885" t="s">
        <v>720</v>
      </c>
      <c r="AF304" s="886"/>
      <c r="AG304" s="886"/>
      <c r="AH304" s="886"/>
      <c r="AI304" s="886"/>
      <c r="AJ304" s="886"/>
      <c r="AK304" s="886"/>
      <c r="AL304" s="886"/>
      <c r="AM304" s="886"/>
      <c r="AN304" s="886"/>
      <c r="AO304" s="886"/>
      <c r="AP304" s="886"/>
      <c r="AQ304" s="886"/>
      <c r="AR304" s="886"/>
      <c r="AS304" s="886"/>
      <c r="AT304" s="886"/>
      <c r="AU304" s="886"/>
      <c r="AV304" s="886"/>
      <c r="AW304" s="886"/>
      <c r="AX304" s="886"/>
    </row>
    <row r="305" spans="1:49" s="638" customFormat="1" ht="30" customHeight="1" outlineLevel="1" x14ac:dyDescent="0.3">
      <c r="A305" s="587"/>
      <c r="B305" s="587"/>
      <c r="C305" s="585"/>
      <c r="D305" s="583"/>
      <c r="E305" s="588"/>
      <c r="F305" s="583"/>
      <c r="G305" s="591"/>
      <c r="H305" s="583"/>
      <c r="I305" s="583"/>
      <c r="J305" s="540" t="s">
        <v>385</v>
      </c>
      <c r="K305" s="545" t="s">
        <v>341</v>
      </c>
      <c r="L305" s="591" t="str">
        <f>VLOOKUP(K305,[3]материалы!$A$5:$G$31,5, FALSE)</f>
        <v>кг</v>
      </c>
      <c r="M305" s="583">
        <f>VLOOKUP(K305,материалы!$A$5:$G$34,7, FALSE)</f>
        <v>950</v>
      </c>
      <c r="N305" s="583">
        <v>5.0000000000000001E-3</v>
      </c>
      <c r="O305" s="583">
        <f>ROUND(M305*N305,2)</f>
        <v>4.75</v>
      </c>
      <c r="P305" s="583"/>
      <c r="Q305" s="583"/>
      <c r="R305" s="584"/>
      <c r="S305" s="584"/>
      <c r="T305" s="584"/>
      <c r="U305" s="641"/>
      <c r="V305" s="639"/>
      <c r="W305" s="608"/>
      <c r="X305" s="700"/>
      <c r="Y305" s="705"/>
      <c r="Z305" s="706"/>
      <c r="AA305" s="703"/>
      <c r="AB305" s="701"/>
      <c r="AC305" s="696"/>
      <c r="AD305" s="609"/>
      <c r="AE305" s="698"/>
      <c r="AG305" s="610"/>
      <c r="AH305" s="695"/>
      <c r="AI305" s="695"/>
      <c r="AK305" s="707"/>
      <c r="AL305" s="663"/>
      <c r="AM305" s="610"/>
      <c r="AN305" s="607"/>
      <c r="AO305" s="695"/>
      <c r="AQ305" s="708"/>
      <c r="AR305" s="696"/>
      <c r="AS305" s="697"/>
      <c r="AT305" s="702"/>
      <c r="AU305" s="631"/>
      <c r="AV305" s="631"/>
      <c r="AW305" s="631"/>
    </row>
    <row r="306" spans="1:49" s="638" customFormat="1" ht="18" customHeight="1" outlineLevel="1" x14ac:dyDescent="0.3">
      <c r="A306" s="587"/>
      <c r="B306" s="587"/>
      <c r="C306" s="585"/>
      <c r="D306" s="583"/>
      <c r="E306" s="588"/>
      <c r="F306" s="583"/>
      <c r="G306" s="591"/>
      <c r="H306" s="583"/>
      <c r="I306" s="583"/>
      <c r="J306" s="583"/>
      <c r="K306" s="541" t="s">
        <v>335</v>
      </c>
      <c r="L306" s="591" t="str">
        <f>VLOOKUP(K306,[3]материалы!$A$5:$G$31,5, FALSE)</f>
        <v>кг</v>
      </c>
      <c r="M306" s="583">
        <f>VLOOKUP(K306,материалы!$A$5:$G$34,7, FALSE)</f>
        <v>95</v>
      </c>
      <c r="N306" s="544">
        <v>1E-3</v>
      </c>
      <c r="O306" s="583">
        <f>ROUND(M306*N306,2)</f>
        <v>0.1</v>
      </c>
      <c r="P306" s="583"/>
      <c r="Q306" s="583"/>
      <c r="R306" s="584"/>
      <c r="S306" s="584"/>
      <c r="T306" s="584"/>
      <c r="U306" s="641"/>
      <c r="V306" s="639"/>
      <c r="W306" s="608"/>
      <c r="X306" s="700"/>
      <c r="Y306" s="705"/>
      <c r="Z306" s="706"/>
      <c r="AA306" s="703"/>
      <c r="AB306" s="701"/>
      <c r="AC306" s="696"/>
      <c r="AD306" s="609"/>
      <c r="AE306" s="698"/>
      <c r="AG306" s="610"/>
      <c r="AH306" s="695"/>
      <c r="AI306" s="695"/>
      <c r="AK306" s="707"/>
      <c r="AL306" s="663"/>
      <c r="AM306" s="610"/>
      <c r="AN306" s="607"/>
      <c r="AO306" s="695"/>
      <c r="AQ306" s="708"/>
      <c r="AR306" s="696"/>
      <c r="AS306" s="697"/>
      <c r="AT306" s="702"/>
      <c r="AU306" s="631"/>
      <c r="AV306" s="631"/>
      <c r="AW306" s="631"/>
    </row>
    <row r="307" spans="1:49" s="638" customFormat="1" ht="18" customHeight="1" outlineLevel="1" x14ac:dyDescent="0.3">
      <c r="A307" s="587"/>
      <c r="B307" s="587"/>
      <c r="C307" s="585"/>
      <c r="D307" s="583"/>
      <c r="E307" s="588"/>
      <c r="F307" s="583"/>
      <c r="G307" s="591"/>
      <c r="H307" s="583"/>
      <c r="I307" s="583"/>
      <c r="J307" s="583"/>
      <c r="K307" s="541" t="s">
        <v>336</v>
      </c>
      <c r="L307" s="591" t="str">
        <f>VLOOKUP(K307,[3]материалы!$A$5:$G$31,5, FALSE)</f>
        <v>кг</v>
      </c>
      <c r="M307" s="583">
        <f>VLOOKUP(K307,материалы!$A$5:$G$34,7, FALSE)</f>
        <v>80</v>
      </c>
      <c r="N307" s="591">
        <v>0.01</v>
      </c>
      <c r="O307" s="583">
        <f>ROUND(M307*N307,2)</f>
        <v>0.8</v>
      </c>
      <c r="P307" s="583"/>
      <c r="Q307" s="583"/>
      <c r="R307" s="584"/>
      <c r="S307" s="584"/>
      <c r="T307" s="584"/>
      <c r="U307" s="641"/>
      <c r="V307" s="639"/>
      <c r="W307" s="608"/>
      <c r="X307" s="700"/>
      <c r="Y307" s="705"/>
      <c r="Z307" s="706"/>
      <c r="AA307" s="703"/>
      <c r="AB307" s="701"/>
      <c r="AC307" s="696"/>
      <c r="AD307" s="609"/>
      <c r="AE307" s="698"/>
      <c r="AG307" s="610"/>
      <c r="AH307" s="695"/>
      <c r="AI307" s="695"/>
      <c r="AK307" s="707"/>
      <c r="AL307" s="663"/>
      <c r="AM307" s="610"/>
      <c r="AN307" s="607"/>
      <c r="AO307" s="695"/>
      <c r="AQ307" s="708"/>
      <c r="AR307" s="696"/>
      <c r="AS307" s="697"/>
      <c r="AT307" s="702"/>
      <c r="AU307" s="631"/>
      <c r="AV307" s="631"/>
      <c r="AW307" s="631"/>
    </row>
    <row r="308" spans="1:49" s="419" customFormat="1" ht="19.5" customHeight="1" x14ac:dyDescent="0.25">
      <c r="A308" s="804" t="s">
        <v>566</v>
      </c>
      <c r="B308" s="804" t="s">
        <v>298</v>
      </c>
      <c r="C308" s="800" t="s">
        <v>396</v>
      </c>
      <c r="D308" s="797" t="s">
        <v>299</v>
      </c>
      <c r="E308" s="588" t="s">
        <v>169</v>
      </c>
      <c r="F308" s="583">
        <f>VLOOKUP(E308,'условия, ФОТ'!$A$14:$I$28,9, FALSE)</f>
        <v>326.24</v>
      </c>
      <c r="G308" s="799">
        <v>2.84</v>
      </c>
      <c r="H308" s="799">
        <f>ROUND((F308+F309)/2*G308,2)</f>
        <v>1110.8</v>
      </c>
      <c r="I308" s="799">
        <f t="shared" si="163"/>
        <v>335.46</v>
      </c>
      <c r="J308" s="799">
        <f t="shared" si="166"/>
        <v>1446.26</v>
      </c>
      <c r="K308" s="814"/>
      <c r="L308" s="797"/>
      <c r="M308" s="797"/>
      <c r="N308" s="797"/>
      <c r="O308" s="797">
        <f>SUM(O310:O315)</f>
        <v>325.65000000000003</v>
      </c>
      <c r="P308" s="799">
        <f>J308+O308</f>
        <v>1771.91</v>
      </c>
      <c r="Q308" s="799">
        <f t="shared" si="152"/>
        <v>1373.23</v>
      </c>
      <c r="R308" s="798">
        <f>ROUND(T308/1.2,2)</f>
        <v>3307.5</v>
      </c>
      <c r="S308" s="798">
        <f t="shared" si="153"/>
        <v>661.5</v>
      </c>
      <c r="T308" s="798">
        <f>ROUND((P308+Q308)*(1+Y308)*1.2,0)</f>
        <v>3969</v>
      </c>
      <c r="U308" s="825">
        <v>2211</v>
      </c>
      <c r="V308" s="838">
        <f t="shared" si="168"/>
        <v>79.51153324287651</v>
      </c>
      <c r="W308" s="789"/>
      <c r="X308" s="839"/>
      <c r="Y308" s="773">
        <v>5.16E-2</v>
      </c>
      <c r="Z308" s="778" t="e">
        <f>#REF!*Y308</f>
        <v>#REF!</v>
      </c>
      <c r="AA308" s="446"/>
      <c r="AB308" s="414">
        <v>1810.5340000000001</v>
      </c>
      <c r="AC308" s="742"/>
      <c r="AD308" s="763">
        <f>T308-U308</f>
        <v>1758</v>
      </c>
      <c r="AE308" s="415"/>
      <c r="AG308" s="757">
        <v>8.8099999999999998E-2</v>
      </c>
      <c r="AH308" s="753">
        <f t="shared" si="175"/>
        <v>8.8099999999999998E-2</v>
      </c>
      <c r="AI308" s="753">
        <v>0</v>
      </c>
      <c r="AK308" s="881"/>
      <c r="AL308" s="430"/>
      <c r="AM308" s="757">
        <v>1.034</v>
      </c>
      <c r="AN308" s="875">
        <v>8.8099999999999998E-2</v>
      </c>
      <c r="AO308" s="753" t="e">
        <f>#REF!-AM308</f>
        <v>#REF!</v>
      </c>
      <c r="AQ308" s="749">
        <f>Y308-AN308</f>
        <v>-3.6499999999999998E-2</v>
      </c>
      <c r="AR308" s="742">
        <v>1811</v>
      </c>
      <c r="AS308" s="883" t="b">
        <f>W308=AR308</f>
        <v>0</v>
      </c>
      <c r="AT308" s="418" t="e">
        <f>ROUND(W308/T308*100-100,2)+#REF!</f>
        <v>#REF!</v>
      </c>
      <c r="AW308" s="419" t="e">
        <f>ROUND(T308/W308,3)</f>
        <v>#DIV/0!</v>
      </c>
    </row>
    <row r="309" spans="1:49" s="419" customFormat="1" ht="20.25" customHeight="1" x14ac:dyDescent="0.25">
      <c r="A309" s="804"/>
      <c r="B309" s="804"/>
      <c r="C309" s="800"/>
      <c r="D309" s="797"/>
      <c r="E309" s="588" t="s">
        <v>174</v>
      </c>
      <c r="F309" s="583">
        <f>VLOOKUP(E309,'условия, ФОТ'!$A$14:$I$28,9, FALSE)</f>
        <v>456.01</v>
      </c>
      <c r="G309" s="799"/>
      <c r="H309" s="799"/>
      <c r="I309" s="799"/>
      <c r="J309" s="799"/>
      <c r="K309" s="814"/>
      <c r="L309" s="797"/>
      <c r="M309" s="797"/>
      <c r="N309" s="797"/>
      <c r="O309" s="797"/>
      <c r="P309" s="799"/>
      <c r="Q309" s="799"/>
      <c r="R309" s="798"/>
      <c r="S309" s="798"/>
      <c r="T309" s="798">
        <f>ROUND((P309+Q309)*(1+$R$5)*1.18,0)</f>
        <v>0</v>
      </c>
      <c r="U309" s="826">
        <v>0</v>
      </c>
      <c r="V309" s="838"/>
      <c r="W309" s="790"/>
      <c r="X309" s="839"/>
      <c r="Y309" s="773"/>
      <c r="Z309" s="779"/>
      <c r="AA309" s="446"/>
      <c r="AB309" s="414"/>
      <c r="AC309" s="742"/>
      <c r="AD309" s="764"/>
      <c r="AE309" s="415"/>
      <c r="AG309" s="758"/>
      <c r="AH309" s="754"/>
      <c r="AI309" s="754"/>
      <c r="AK309" s="882"/>
      <c r="AL309" s="430"/>
      <c r="AM309" s="758"/>
      <c r="AN309" s="876"/>
      <c r="AO309" s="754"/>
      <c r="AQ309" s="750"/>
      <c r="AR309" s="742"/>
      <c r="AS309" s="883"/>
      <c r="AT309" s="418"/>
    </row>
    <row r="310" spans="1:49" s="419" customFormat="1" ht="15.75" customHeight="1" outlineLevel="1" x14ac:dyDescent="0.3">
      <c r="A310" s="587"/>
      <c r="B310" s="587"/>
      <c r="C310" s="585"/>
      <c r="D310" s="583"/>
      <c r="E310" s="588"/>
      <c r="F310" s="583"/>
      <c r="G310" s="591"/>
      <c r="H310" s="591"/>
      <c r="I310" s="591"/>
      <c r="J310" s="540" t="s">
        <v>385</v>
      </c>
      <c r="K310" s="549" t="s">
        <v>329</v>
      </c>
      <c r="L310" s="591" t="str">
        <f>VLOOKUP(K310,материалы!$A$5:$G$31,5, FALSE)</f>
        <v>м3</v>
      </c>
      <c r="M310" s="583">
        <f>VLOOKUP(K310,материалы!$A$5:$G$34,7, FALSE)</f>
        <v>1033.33</v>
      </c>
      <c r="N310" s="583">
        <v>0.17499999999999999</v>
      </c>
      <c r="O310" s="583">
        <f>ROUND(M310*N310,2)</f>
        <v>180.83</v>
      </c>
      <c r="P310" s="591"/>
      <c r="Q310" s="591"/>
      <c r="R310" s="584"/>
      <c r="S310" s="584"/>
      <c r="T310" s="584"/>
      <c r="U310" s="437"/>
      <c r="V310" s="422"/>
      <c r="W310" s="436"/>
      <c r="X310" s="438"/>
      <c r="Y310" s="475"/>
      <c r="Z310" s="465"/>
      <c r="AA310" s="446"/>
      <c r="AB310" s="414"/>
      <c r="AC310" s="435"/>
      <c r="AD310" s="483"/>
      <c r="AE310" s="415"/>
      <c r="AG310" s="431"/>
      <c r="AH310" s="425"/>
      <c r="AI310" s="425"/>
      <c r="AK310" s="426"/>
      <c r="AL310" s="430"/>
      <c r="AM310" s="431"/>
      <c r="AN310" s="432"/>
      <c r="AO310" s="425"/>
      <c r="AQ310" s="427"/>
      <c r="AR310" s="435"/>
      <c r="AS310" s="429"/>
      <c r="AT310" s="418"/>
    </row>
    <row r="311" spans="1:49" s="419" customFormat="1" ht="15.75" customHeight="1" outlineLevel="1" x14ac:dyDescent="0.3">
      <c r="A311" s="587"/>
      <c r="B311" s="587"/>
      <c r="C311" s="585"/>
      <c r="D311" s="583"/>
      <c r="E311" s="588"/>
      <c r="F311" s="583"/>
      <c r="G311" s="591"/>
      <c r="H311" s="591"/>
      <c r="I311" s="591"/>
      <c r="J311" s="591"/>
      <c r="K311" s="549" t="s">
        <v>330</v>
      </c>
      <c r="L311" s="591" t="str">
        <f>VLOOKUP(K311,материалы!$A$5:$G$31,5, FALSE)</f>
        <v>м3</v>
      </c>
      <c r="M311" s="583">
        <f>VLOOKUP(K311,материалы!$A$5:$G$34,7, FALSE)</f>
        <v>116.67</v>
      </c>
      <c r="N311" s="583">
        <v>0.05</v>
      </c>
      <c r="O311" s="583">
        <f t="shared" ref="O311:O312" si="188">ROUND(M311*N311,2)</f>
        <v>5.83</v>
      </c>
      <c r="P311" s="591"/>
      <c r="Q311" s="591"/>
      <c r="R311" s="584"/>
      <c r="S311" s="584"/>
      <c r="T311" s="584"/>
      <c r="U311" s="437"/>
      <c r="V311" s="422"/>
      <c r="W311" s="436"/>
      <c r="X311" s="438"/>
      <c r="Y311" s="475"/>
      <c r="Z311" s="465"/>
      <c r="AA311" s="446"/>
      <c r="AB311" s="414"/>
      <c r="AC311" s="435"/>
      <c r="AD311" s="483"/>
      <c r="AE311" s="415"/>
      <c r="AG311" s="431"/>
      <c r="AH311" s="425"/>
      <c r="AI311" s="425"/>
      <c r="AK311" s="426"/>
      <c r="AL311" s="430"/>
      <c r="AM311" s="431"/>
      <c r="AN311" s="432"/>
      <c r="AO311" s="425"/>
      <c r="AQ311" s="427"/>
      <c r="AR311" s="435"/>
      <c r="AS311" s="429"/>
      <c r="AT311" s="418"/>
    </row>
    <row r="312" spans="1:49" s="419" customFormat="1" ht="43.5" customHeight="1" outlineLevel="1" x14ac:dyDescent="0.3">
      <c r="A312" s="587"/>
      <c r="B312" s="587"/>
      <c r="C312" s="585"/>
      <c r="D312" s="583"/>
      <c r="E312" s="588"/>
      <c r="F312" s="583"/>
      <c r="G312" s="591"/>
      <c r="H312" s="591"/>
      <c r="I312" s="591"/>
      <c r="J312" s="591"/>
      <c r="K312" s="545" t="s">
        <v>347</v>
      </c>
      <c r="L312" s="591" t="str">
        <f>VLOOKUP(K312,материалы!$A$5:$G$31,5, FALSE)</f>
        <v>кг</v>
      </c>
      <c r="M312" s="583">
        <f>VLOOKUP(K312,материалы!$A$5:$G$34,7, FALSE)</f>
        <v>300</v>
      </c>
      <c r="N312" s="583">
        <v>1.7000000000000001E-2</v>
      </c>
      <c r="O312" s="583">
        <f t="shared" si="188"/>
        <v>5.0999999999999996</v>
      </c>
      <c r="P312" s="591"/>
      <c r="Q312" s="591"/>
      <c r="R312" s="584"/>
      <c r="S312" s="584"/>
      <c r="T312" s="584"/>
      <c r="U312" s="437"/>
      <c r="V312" s="422"/>
      <c r="W312" s="436"/>
      <c r="X312" s="438"/>
      <c r="Y312" s="475"/>
      <c r="Z312" s="465"/>
      <c r="AA312" s="446"/>
      <c r="AB312" s="414"/>
      <c r="AC312" s="435"/>
      <c r="AD312" s="483"/>
      <c r="AE312" s="415"/>
      <c r="AG312" s="431"/>
      <c r="AH312" s="425"/>
      <c r="AI312" s="425"/>
      <c r="AK312" s="426"/>
      <c r="AL312" s="430"/>
      <c r="AM312" s="431"/>
      <c r="AN312" s="432"/>
      <c r="AO312" s="425"/>
      <c r="AQ312" s="427"/>
      <c r="AR312" s="435"/>
      <c r="AS312" s="429"/>
      <c r="AT312" s="418"/>
    </row>
    <row r="313" spans="1:49" s="419" customFormat="1" outlineLevel="1" x14ac:dyDescent="0.3">
      <c r="A313" s="587"/>
      <c r="B313" s="587"/>
      <c r="C313" s="585"/>
      <c r="D313" s="583"/>
      <c r="E313" s="588"/>
      <c r="F313" s="583"/>
      <c r="G313" s="591"/>
      <c r="H313" s="591"/>
      <c r="I313" s="591"/>
      <c r="J313" s="591"/>
      <c r="K313" s="541" t="s">
        <v>335</v>
      </c>
      <c r="L313" s="591" t="str">
        <f>VLOOKUP(K313,материалы!$A$5:$G$31,5, FALSE)</f>
        <v>кг</v>
      </c>
      <c r="M313" s="583">
        <f>VLOOKUP(K313,материалы!$A$5:$G$34,7, FALSE)</f>
        <v>95</v>
      </c>
      <c r="N313" s="544">
        <v>1E-3</v>
      </c>
      <c r="O313" s="583">
        <f>ROUND(M313*N313,2)</f>
        <v>0.1</v>
      </c>
      <c r="P313" s="591"/>
      <c r="Q313" s="591"/>
      <c r="R313" s="584"/>
      <c r="S313" s="584"/>
      <c r="T313" s="584"/>
      <c r="U313" s="437"/>
      <c r="V313" s="422"/>
      <c r="W313" s="436"/>
      <c r="X313" s="438"/>
      <c r="Y313" s="475"/>
      <c r="Z313" s="465"/>
      <c r="AA313" s="446"/>
      <c r="AB313" s="414"/>
      <c r="AC313" s="435"/>
      <c r="AD313" s="483"/>
      <c r="AE313" s="415"/>
      <c r="AG313" s="431"/>
      <c r="AH313" s="425"/>
      <c r="AI313" s="425"/>
      <c r="AK313" s="426"/>
      <c r="AL313" s="430"/>
      <c r="AM313" s="431"/>
      <c r="AN313" s="432"/>
      <c r="AO313" s="425"/>
      <c r="AQ313" s="427"/>
      <c r="AR313" s="435"/>
      <c r="AS313" s="429"/>
      <c r="AT313" s="418"/>
    </row>
    <row r="314" spans="1:49" s="419" customFormat="1" outlineLevel="1" x14ac:dyDescent="0.3">
      <c r="A314" s="587"/>
      <c r="B314" s="587"/>
      <c r="C314" s="585"/>
      <c r="D314" s="583"/>
      <c r="E314" s="588"/>
      <c r="F314" s="583"/>
      <c r="G314" s="591"/>
      <c r="H314" s="591"/>
      <c r="I314" s="591"/>
      <c r="J314" s="591"/>
      <c r="K314" s="541" t="s">
        <v>336</v>
      </c>
      <c r="L314" s="591" t="str">
        <f>VLOOKUP(K314,материалы!$A$5:$G$31,5, FALSE)</f>
        <v>кг</v>
      </c>
      <c r="M314" s="583">
        <f>VLOOKUP(K314,материалы!$A$5:$G$34,7, FALSE)</f>
        <v>80</v>
      </c>
      <c r="N314" s="591">
        <v>0.01</v>
      </c>
      <c r="O314" s="583">
        <f>ROUND(M314*N314,2)</f>
        <v>0.8</v>
      </c>
      <c r="P314" s="591"/>
      <c r="Q314" s="591"/>
      <c r="R314" s="584"/>
      <c r="S314" s="584"/>
      <c r="T314" s="584"/>
      <c r="U314" s="437"/>
      <c r="V314" s="422"/>
      <c r="W314" s="436"/>
      <c r="X314" s="438"/>
      <c r="Y314" s="475"/>
      <c r="Z314" s="465"/>
      <c r="AA314" s="446"/>
      <c r="AB314" s="414"/>
      <c r="AC314" s="435"/>
      <c r="AD314" s="483"/>
      <c r="AE314" s="415"/>
      <c r="AG314" s="431"/>
      <c r="AH314" s="425"/>
      <c r="AI314" s="425"/>
      <c r="AK314" s="426"/>
      <c r="AL314" s="430"/>
      <c r="AM314" s="431"/>
      <c r="AN314" s="432"/>
      <c r="AO314" s="425"/>
      <c r="AQ314" s="427"/>
      <c r="AR314" s="435"/>
      <c r="AS314" s="429"/>
      <c r="AT314" s="418"/>
    </row>
    <row r="315" spans="1:49" s="419" customFormat="1" ht="25.5" outlineLevel="1" x14ac:dyDescent="0.3">
      <c r="A315" s="587"/>
      <c r="B315" s="587"/>
      <c r="C315" s="585"/>
      <c r="D315" s="583"/>
      <c r="E315" s="588"/>
      <c r="F315" s="583"/>
      <c r="G315" s="591"/>
      <c r="H315" s="591"/>
      <c r="I315" s="591"/>
      <c r="J315" s="591"/>
      <c r="K315" s="541" t="s">
        <v>388</v>
      </c>
      <c r="L315" s="591" t="str">
        <f>VLOOKUP(K315,материалы!$A$5:$G$31,5, FALSE)</f>
        <v>м</v>
      </c>
      <c r="M315" s="583">
        <f>VLOOKUP(K315,материалы!$A$5:$G$34,7, FALSE)</f>
        <v>132.99</v>
      </c>
      <c r="N315" s="591">
        <v>1</v>
      </c>
      <c r="O315" s="583">
        <f t="shared" ref="O315" si="189">ROUND(M315*N315,2)</f>
        <v>132.99</v>
      </c>
      <c r="P315" s="591"/>
      <c r="Q315" s="591"/>
      <c r="R315" s="584"/>
      <c r="S315" s="584"/>
      <c r="T315" s="584"/>
      <c r="U315" s="437"/>
      <c r="V315" s="422"/>
      <c r="W315" s="436"/>
      <c r="X315" s="438"/>
      <c r="Y315" s="475"/>
      <c r="Z315" s="465"/>
      <c r="AA315" s="446"/>
      <c r="AB315" s="414"/>
      <c r="AC315" s="435"/>
      <c r="AD315" s="483"/>
      <c r="AE315" s="415"/>
      <c r="AG315" s="431"/>
      <c r="AH315" s="425"/>
      <c r="AI315" s="425"/>
      <c r="AK315" s="426"/>
      <c r="AL315" s="430"/>
      <c r="AM315" s="431"/>
      <c r="AN315" s="432"/>
      <c r="AO315" s="425"/>
      <c r="AQ315" s="427"/>
      <c r="AR315" s="435"/>
      <c r="AS315" s="429"/>
      <c r="AT315" s="418"/>
    </row>
    <row r="316" spans="1:49" ht="21" customHeight="1" x14ac:dyDescent="0.25">
      <c r="A316" s="804" t="s">
        <v>567</v>
      </c>
      <c r="B316" s="804" t="s">
        <v>298</v>
      </c>
      <c r="C316" s="800" t="s">
        <v>610</v>
      </c>
      <c r="D316" s="797" t="s">
        <v>299</v>
      </c>
      <c r="E316" s="588" t="s">
        <v>169</v>
      </c>
      <c r="F316" s="583">
        <f>VLOOKUP(E316,'условия, ФОТ'!$A$14:$I$28,9, FALSE)</f>
        <v>326.24</v>
      </c>
      <c r="G316" s="799">
        <v>3.38</v>
      </c>
      <c r="H316" s="799">
        <f>ROUND((F316+F317)/2*G316,2)</f>
        <v>1322</v>
      </c>
      <c r="I316" s="797">
        <f t="shared" si="163"/>
        <v>399.24</v>
      </c>
      <c r="J316" s="797">
        <f t="shared" si="166"/>
        <v>1721.24</v>
      </c>
      <c r="K316" s="814"/>
      <c r="L316" s="797"/>
      <c r="M316" s="797"/>
      <c r="N316" s="797"/>
      <c r="O316" s="797">
        <f>SUM(O318:O323)</f>
        <v>482.19</v>
      </c>
      <c r="P316" s="799">
        <f t="shared" si="167"/>
        <v>2203.4299999999998</v>
      </c>
      <c r="Q316" s="799">
        <f t="shared" si="152"/>
        <v>1707.66</v>
      </c>
      <c r="R316" s="798">
        <f>ROUND(T316/1.2,2)</f>
        <v>4075.83</v>
      </c>
      <c r="S316" s="798">
        <f t="shared" si="153"/>
        <v>815.17</v>
      </c>
      <c r="T316" s="798">
        <f>ROUND((P316+Q316)*(1+Y316)*1.2,0)</f>
        <v>4891</v>
      </c>
      <c r="U316" s="794">
        <v>2798</v>
      </c>
      <c r="V316" s="793">
        <f t="shared" si="168"/>
        <v>74.803431022158691</v>
      </c>
      <c r="W316" s="787"/>
      <c r="X316" s="837"/>
      <c r="Y316" s="774">
        <v>4.2099999999999999E-2</v>
      </c>
      <c r="Z316" s="776" t="e">
        <f>#REF!*Y316</f>
        <v>#REF!</v>
      </c>
      <c r="AA316" s="889"/>
      <c r="AB316" s="404">
        <v>2196.2159999999999</v>
      </c>
      <c r="AC316" s="741"/>
      <c r="AD316" s="763">
        <f>T316-U316</f>
        <v>2093</v>
      </c>
      <c r="AE316" s="394"/>
      <c r="AG316" s="759">
        <v>9.1200000000000003E-2</v>
      </c>
      <c r="AH316" s="751">
        <f t="shared" si="175"/>
        <v>9.1200000000000003E-2</v>
      </c>
      <c r="AI316" s="751">
        <v>0</v>
      </c>
      <c r="AK316" s="152"/>
      <c r="AM316" s="759">
        <v>1.034</v>
      </c>
      <c r="AN316" s="877">
        <v>9.1200000000000003E-2</v>
      </c>
      <c r="AO316" s="751" t="e">
        <f>#REF!-AM316</f>
        <v>#REF!</v>
      </c>
      <c r="AQ316" s="747">
        <f>Y316-AN316</f>
        <v>-4.9100000000000005E-2</v>
      </c>
      <c r="AR316" s="741">
        <v>2196</v>
      </c>
      <c r="AS316" s="884" t="b">
        <f>W316=AR316</f>
        <v>0</v>
      </c>
      <c r="AT316" s="411" t="e">
        <f>ROUND(W316/T316*100-100,2)+#REF!</f>
        <v>#REF!</v>
      </c>
      <c r="AW316" t="e">
        <f>ROUND(T316/W316,3)</f>
        <v>#DIV/0!</v>
      </c>
    </row>
    <row r="317" spans="1:49" ht="19.5" customHeight="1" x14ac:dyDescent="0.25">
      <c r="A317" s="804"/>
      <c r="B317" s="804"/>
      <c r="C317" s="800"/>
      <c r="D317" s="797"/>
      <c r="E317" s="588" t="s">
        <v>174</v>
      </c>
      <c r="F317" s="583">
        <f>VLOOKUP(E317,'условия, ФОТ'!$A$14:$I$28,9, FALSE)</f>
        <v>456.01</v>
      </c>
      <c r="G317" s="799"/>
      <c r="H317" s="799"/>
      <c r="I317" s="797"/>
      <c r="J317" s="797"/>
      <c r="K317" s="814"/>
      <c r="L317" s="797"/>
      <c r="M317" s="797"/>
      <c r="N317" s="797"/>
      <c r="O317" s="797"/>
      <c r="P317" s="799"/>
      <c r="Q317" s="799"/>
      <c r="R317" s="798"/>
      <c r="S317" s="798"/>
      <c r="T317" s="798">
        <f>ROUND((P317+Q317)*(1+$R$5)*1.18,0)</f>
        <v>0</v>
      </c>
      <c r="U317" s="795">
        <v>0</v>
      </c>
      <c r="V317" s="793"/>
      <c r="W317" s="788"/>
      <c r="X317" s="837"/>
      <c r="Y317" s="774"/>
      <c r="Z317" s="777"/>
      <c r="AA317" s="890"/>
      <c r="AC317" s="741"/>
      <c r="AD317" s="764"/>
      <c r="AE317" s="394"/>
      <c r="AG317" s="760"/>
      <c r="AH317" s="752"/>
      <c r="AI317" s="752"/>
      <c r="AK317" s="152"/>
      <c r="AM317" s="760"/>
      <c r="AN317" s="878"/>
      <c r="AO317" s="752"/>
      <c r="AQ317" s="748"/>
      <c r="AR317" s="741"/>
      <c r="AS317" s="884"/>
      <c r="AT317" s="411"/>
    </row>
    <row r="318" spans="1:49" ht="17.25" customHeight="1" outlineLevel="1" x14ac:dyDescent="0.3">
      <c r="A318" s="587"/>
      <c r="B318" s="587"/>
      <c r="C318" s="585"/>
      <c r="D318" s="583"/>
      <c r="E318" s="588"/>
      <c r="F318" s="583"/>
      <c r="G318" s="591"/>
      <c r="H318" s="591"/>
      <c r="I318" s="583"/>
      <c r="J318" s="540" t="s">
        <v>385</v>
      </c>
      <c r="K318" s="549" t="s">
        <v>329</v>
      </c>
      <c r="L318" s="591" t="str">
        <f>VLOOKUP(K318,материалы!$A$5:$G$31,5, FALSE)</f>
        <v>м3</v>
      </c>
      <c r="M318" s="583">
        <f>VLOOKUP(K318,материалы!$A$5:$G$34,7, FALSE)</f>
        <v>1033.33</v>
      </c>
      <c r="N318" s="583">
        <v>0.17499999999999999</v>
      </c>
      <c r="O318" s="583">
        <f>ROUND(M318*N318,2)</f>
        <v>180.83</v>
      </c>
      <c r="P318" s="591"/>
      <c r="Q318" s="591"/>
      <c r="R318" s="584"/>
      <c r="S318" s="584"/>
      <c r="T318" s="584"/>
      <c r="U318" s="121"/>
      <c r="V318" s="516"/>
      <c r="W318" s="392"/>
      <c r="X318" s="396"/>
      <c r="Y318" s="474"/>
      <c r="Z318" s="464"/>
      <c r="AC318" s="434"/>
      <c r="AD318" s="482"/>
      <c r="AE318" s="394"/>
      <c r="AG318" s="237"/>
      <c r="AH318" s="236"/>
      <c r="AI318" s="235"/>
      <c r="AK318" s="152"/>
      <c r="AM318" s="239"/>
      <c r="AN318" s="243"/>
      <c r="AO318" s="240"/>
      <c r="AQ318" s="241"/>
      <c r="AR318" s="382"/>
      <c r="AT318" s="411"/>
    </row>
    <row r="319" spans="1:49" ht="17.25" customHeight="1" outlineLevel="1" x14ac:dyDescent="0.3">
      <c r="A319" s="587"/>
      <c r="B319" s="587"/>
      <c r="C319" s="585"/>
      <c r="D319" s="583"/>
      <c r="E319" s="588"/>
      <c r="F319" s="583"/>
      <c r="G319" s="591"/>
      <c r="H319" s="591"/>
      <c r="I319" s="583"/>
      <c r="J319" s="583"/>
      <c r="K319" s="549" t="s">
        <v>330</v>
      </c>
      <c r="L319" s="591" t="str">
        <f>VLOOKUP(K319,материалы!$A$5:$G$31,5, FALSE)</f>
        <v>м3</v>
      </c>
      <c r="M319" s="583">
        <f>VLOOKUP(K319,материалы!$A$5:$G$34,7, FALSE)</f>
        <v>116.67</v>
      </c>
      <c r="N319" s="583">
        <v>0.05</v>
      </c>
      <c r="O319" s="583">
        <f t="shared" ref="O319:O320" si="190">ROUND(M319*N319,2)</f>
        <v>5.83</v>
      </c>
      <c r="P319" s="591"/>
      <c r="Q319" s="591"/>
      <c r="R319" s="584"/>
      <c r="S319" s="584"/>
      <c r="T319" s="584"/>
      <c r="U319" s="121"/>
      <c r="V319" s="516"/>
      <c r="W319" s="392"/>
      <c r="X319" s="396"/>
      <c r="Y319" s="474"/>
      <c r="Z319" s="464"/>
      <c r="AC319" s="434"/>
      <c r="AD319" s="482"/>
      <c r="AE319" s="394"/>
      <c r="AG319" s="237"/>
      <c r="AH319" s="236"/>
      <c r="AI319" s="235"/>
      <c r="AK319" s="152"/>
      <c r="AM319" s="239"/>
      <c r="AN319" s="243"/>
      <c r="AO319" s="240"/>
      <c r="AQ319" s="241"/>
      <c r="AR319" s="382"/>
      <c r="AT319" s="411"/>
    </row>
    <row r="320" spans="1:49" ht="39" customHeight="1" outlineLevel="1" x14ac:dyDescent="0.3">
      <c r="A320" s="587"/>
      <c r="B320" s="587"/>
      <c r="C320" s="585"/>
      <c r="D320" s="583"/>
      <c r="E320" s="588"/>
      <c r="F320" s="583"/>
      <c r="G320" s="591"/>
      <c r="H320" s="591"/>
      <c r="I320" s="583"/>
      <c r="J320" s="583"/>
      <c r="K320" s="545" t="s">
        <v>347</v>
      </c>
      <c r="L320" s="591" t="str">
        <f>VLOOKUP(K320,материалы!$A$5:$G$31,5, FALSE)</f>
        <v>кг</v>
      </c>
      <c r="M320" s="583">
        <f>VLOOKUP(K320,материалы!$A$5:$G$34,7, FALSE)</f>
        <v>300</v>
      </c>
      <c r="N320" s="583">
        <v>1.7000000000000001E-2</v>
      </c>
      <c r="O320" s="583">
        <f t="shared" si="190"/>
        <v>5.0999999999999996</v>
      </c>
      <c r="P320" s="591"/>
      <c r="Q320" s="591"/>
      <c r="R320" s="584"/>
      <c r="S320" s="584"/>
      <c r="T320" s="584"/>
      <c r="U320" s="121"/>
      <c r="V320" s="516"/>
      <c r="W320" s="392"/>
      <c r="X320" s="396"/>
      <c r="Y320" s="474"/>
      <c r="Z320" s="464"/>
      <c r="AC320" s="434"/>
      <c r="AD320" s="482"/>
      <c r="AE320" s="394"/>
      <c r="AG320" s="237"/>
      <c r="AH320" s="236"/>
      <c r="AI320" s="235"/>
      <c r="AK320" s="152"/>
      <c r="AM320" s="239"/>
      <c r="AN320" s="243"/>
      <c r="AO320" s="240"/>
      <c r="AQ320" s="241"/>
      <c r="AR320" s="382"/>
      <c r="AT320" s="411"/>
    </row>
    <row r="321" spans="1:51" outlineLevel="1" x14ac:dyDescent="0.3">
      <c r="A321" s="587"/>
      <c r="B321" s="587"/>
      <c r="C321" s="585"/>
      <c r="D321" s="583"/>
      <c r="E321" s="588"/>
      <c r="F321" s="583"/>
      <c r="G321" s="591"/>
      <c r="H321" s="591"/>
      <c r="I321" s="583"/>
      <c r="J321" s="583"/>
      <c r="K321" s="541" t="s">
        <v>335</v>
      </c>
      <c r="L321" s="591" t="str">
        <f>VLOOKUP(K321,материалы!$A$5:$G$31,5, FALSE)</f>
        <v>кг</v>
      </c>
      <c r="M321" s="583">
        <f>VLOOKUP(K321,материалы!$A$5:$G$34,7, FALSE)</f>
        <v>95</v>
      </c>
      <c r="N321" s="544">
        <v>1E-3</v>
      </c>
      <c r="O321" s="583">
        <f>ROUND(M321*N321,2)</f>
        <v>0.1</v>
      </c>
      <c r="P321" s="591"/>
      <c r="Q321" s="591"/>
      <c r="R321" s="584"/>
      <c r="S321" s="584"/>
      <c r="T321" s="584"/>
      <c r="U321" s="121"/>
      <c r="V321" s="516"/>
      <c r="W321" s="392"/>
      <c r="X321" s="396"/>
      <c r="Y321" s="474"/>
      <c r="Z321" s="464"/>
      <c r="AC321" s="434"/>
      <c r="AD321" s="482"/>
      <c r="AE321" s="394"/>
      <c r="AG321" s="237"/>
      <c r="AH321" s="236"/>
      <c r="AI321" s="235"/>
      <c r="AK321" s="152"/>
      <c r="AM321" s="239"/>
      <c r="AN321" s="243"/>
      <c r="AO321" s="240"/>
      <c r="AQ321" s="241"/>
      <c r="AR321" s="382"/>
      <c r="AT321" s="411"/>
    </row>
    <row r="322" spans="1:51" outlineLevel="1" x14ac:dyDescent="0.3">
      <c r="A322" s="587"/>
      <c r="B322" s="587"/>
      <c r="C322" s="585"/>
      <c r="D322" s="583"/>
      <c r="E322" s="588"/>
      <c r="F322" s="583"/>
      <c r="G322" s="591"/>
      <c r="H322" s="591"/>
      <c r="I322" s="583"/>
      <c r="J322" s="583"/>
      <c r="K322" s="541" t="s">
        <v>336</v>
      </c>
      <c r="L322" s="591" t="str">
        <f>VLOOKUP(K322,материалы!$A$5:$G$31,5, FALSE)</f>
        <v>кг</v>
      </c>
      <c r="M322" s="583">
        <f>VLOOKUP(K322,материалы!$A$5:$G$34,7, FALSE)</f>
        <v>80</v>
      </c>
      <c r="N322" s="591">
        <v>0.01</v>
      </c>
      <c r="O322" s="583">
        <f>ROUND(M322*N322,2)</f>
        <v>0.8</v>
      </c>
      <c r="P322" s="591"/>
      <c r="Q322" s="591"/>
      <c r="R322" s="584"/>
      <c r="S322" s="584"/>
      <c r="T322" s="584"/>
      <c r="U322" s="121"/>
      <c r="V322" s="516"/>
      <c r="W322" s="392"/>
      <c r="X322" s="396"/>
      <c r="Y322" s="474"/>
      <c r="Z322" s="464"/>
      <c r="AC322" s="434"/>
      <c r="AD322" s="482"/>
      <c r="AE322" s="394"/>
      <c r="AG322" s="237"/>
      <c r="AH322" s="236"/>
      <c r="AI322" s="235"/>
      <c r="AK322" s="152"/>
      <c r="AM322" s="239"/>
      <c r="AN322" s="243"/>
      <c r="AO322" s="240"/>
      <c r="AQ322" s="241"/>
      <c r="AR322" s="382"/>
      <c r="AT322" s="411"/>
    </row>
    <row r="323" spans="1:51" ht="25.5" outlineLevel="1" x14ac:dyDescent="0.3">
      <c r="A323" s="587"/>
      <c r="B323" s="587"/>
      <c r="C323" s="585"/>
      <c r="D323" s="583"/>
      <c r="E323" s="588"/>
      <c r="F323" s="583"/>
      <c r="G323" s="591"/>
      <c r="H323" s="591"/>
      <c r="I323" s="583"/>
      <c r="J323" s="583"/>
      <c r="K323" s="541" t="s">
        <v>397</v>
      </c>
      <c r="L323" s="591" t="str">
        <f>VLOOKUP(K323,материалы!$A$5:$G$31,5, FALSE)</f>
        <v>м</v>
      </c>
      <c r="M323" s="583">
        <f>VLOOKUP(K323,материалы!$A$5:$G$34,7, FALSE)</f>
        <v>289.52999999999997</v>
      </c>
      <c r="N323" s="591">
        <v>1</v>
      </c>
      <c r="O323" s="583">
        <f>ROUND(M323*N323,2)</f>
        <v>289.52999999999997</v>
      </c>
      <c r="P323" s="591"/>
      <c r="Q323" s="591"/>
      <c r="R323" s="584"/>
      <c r="S323" s="584"/>
      <c r="T323" s="584"/>
      <c r="U323" s="121"/>
      <c r="V323" s="516"/>
      <c r="W323" s="392"/>
      <c r="X323" s="396"/>
      <c r="Y323" s="474"/>
      <c r="Z323" s="464"/>
      <c r="AC323" s="434"/>
      <c r="AD323" s="482"/>
      <c r="AE323" s="394"/>
      <c r="AG323" s="237"/>
      <c r="AH323" s="236"/>
      <c r="AI323" s="235"/>
      <c r="AK323" s="152"/>
      <c r="AM323" s="239"/>
      <c r="AN323" s="243"/>
      <c r="AO323" s="240"/>
      <c r="AQ323" s="241"/>
      <c r="AR323" s="382"/>
      <c r="AT323" s="411"/>
    </row>
    <row r="324" spans="1:51" s="419" customFormat="1" ht="17.25" customHeight="1" x14ac:dyDescent="0.25">
      <c r="A324" s="804" t="s">
        <v>568</v>
      </c>
      <c r="B324" s="804" t="s">
        <v>300</v>
      </c>
      <c r="C324" s="800" t="s">
        <v>398</v>
      </c>
      <c r="D324" s="797" t="s">
        <v>36</v>
      </c>
      <c r="E324" s="588" t="s">
        <v>169</v>
      </c>
      <c r="F324" s="583">
        <f>VLOOKUP(E324,'условия, ФОТ'!$A$14:$I$28,9, FALSE)</f>
        <v>326.24</v>
      </c>
      <c r="G324" s="797">
        <v>0.86</v>
      </c>
      <c r="H324" s="799">
        <f>ROUND((F324+F325)/2*G324,2)</f>
        <v>336.37</v>
      </c>
      <c r="I324" s="797">
        <f t="shared" si="163"/>
        <v>101.58</v>
      </c>
      <c r="J324" s="797">
        <f t="shared" si="166"/>
        <v>437.95</v>
      </c>
      <c r="K324" s="814"/>
      <c r="L324" s="797"/>
      <c r="M324" s="797"/>
      <c r="N324" s="797"/>
      <c r="O324" s="797">
        <f>O326</f>
        <v>132.99</v>
      </c>
      <c r="P324" s="799">
        <f t="shared" si="167"/>
        <v>570.94000000000005</v>
      </c>
      <c r="Q324" s="799">
        <f t="shared" si="152"/>
        <v>442.48</v>
      </c>
      <c r="R324" s="798">
        <f>ROUND(T324/1.2,2)</f>
        <v>1056.67</v>
      </c>
      <c r="S324" s="798">
        <f t="shared" si="153"/>
        <v>211.33</v>
      </c>
      <c r="T324" s="798">
        <f>ROUND((P324+Q324)*(1+Y324)*1.2,0)</f>
        <v>1268</v>
      </c>
      <c r="U324" s="825">
        <v>764</v>
      </c>
      <c r="V324" s="838">
        <f t="shared" si="168"/>
        <v>65.968586387434556</v>
      </c>
      <c r="W324" s="789"/>
      <c r="X324" s="839"/>
      <c r="Y324" s="775">
        <v>4.2299999999999997E-2</v>
      </c>
      <c r="Z324" s="778" t="e">
        <f>#REF!*Y324</f>
        <v>#REF!</v>
      </c>
      <c r="AA324" s="887"/>
      <c r="AB324" s="414">
        <v>574.904</v>
      </c>
      <c r="AC324" s="742"/>
      <c r="AD324" s="763">
        <f>T324-U324</f>
        <v>504</v>
      </c>
      <c r="AE324" s="415"/>
      <c r="AG324" s="757">
        <v>9.6199999999999994E-2</v>
      </c>
      <c r="AH324" s="753">
        <f t="shared" si="175"/>
        <v>9.6199999999999994E-2</v>
      </c>
      <c r="AI324" s="753">
        <v>0</v>
      </c>
      <c r="AK324" s="426"/>
      <c r="AL324" s="430"/>
      <c r="AM324" s="757">
        <v>1.034</v>
      </c>
      <c r="AN324" s="875">
        <v>9.6199999999999994E-2</v>
      </c>
      <c r="AO324" s="753" t="e">
        <f>#REF!-AM324</f>
        <v>#REF!</v>
      </c>
      <c r="AQ324" s="749">
        <f>Y324-AN324</f>
        <v>-5.3899999999999997E-2</v>
      </c>
      <c r="AR324" s="742">
        <v>575</v>
      </c>
      <c r="AS324" s="883" t="b">
        <f>W324=AR324</f>
        <v>0</v>
      </c>
      <c r="AT324" s="418" t="e">
        <f>ROUND(W324/T324*100-100,2)+#REF!</f>
        <v>#REF!</v>
      </c>
      <c r="AW324" s="419" t="e">
        <f>ROUND(T324/W324,3)</f>
        <v>#DIV/0!</v>
      </c>
    </row>
    <row r="325" spans="1:51" s="419" customFormat="1" ht="13.5" customHeight="1" x14ac:dyDescent="0.25">
      <c r="A325" s="804"/>
      <c r="B325" s="804"/>
      <c r="C325" s="800"/>
      <c r="D325" s="797"/>
      <c r="E325" s="588" t="s">
        <v>174</v>
      </c>
      <c r="F325" s="583">
        <f>VLOOKUP(E325,'условия, ФОТ'!$A$14:$I$28,9, FALSE)</f>
        <v>456.01</v>
      </c>
      <c r="G325" s="797"/>
      <c r="H325" s="799"/>
      <c r="I325" s="797"/>
      <c r="J325" s="797"/>
      <c r="K325" s="814"/>
      <c r="L325" s="797"/>
      <c r="M325" s="797"/>
      <c r="N325" s="797"/>
      <c r="O325" s="797"/>
      <c r="P325" s="799"/>
      <c r="Q325" s="799"/>
      <c r="R325" s="798"/>
      <c r="S325" s="798"/>
      <c r="T325" s="798">
        <f>ROUND((P325+Q325)*(1+$R$5)*1.18,0)</f>
        <v>0</v>
      </c>
      <c r="U325" s="826">
        <v>0</v>
      </c>
      <c r="V325" s="838"/>
      <c r="W325" s="790"/>
      <c r="X325" s="839"/>
      <c r="Y325" s="775"/>
      <c r="Z325" s="779"/>
      <c r="AA325" s="888"/>
      <c r="AB325" s="414"/>
      <c r="AC325" s="742"/>
      <c r="AD325" s="764"/>
      <c r="AE325" s="415"/>
      <c r="AG325" s="758"/>
      <c r="AH325" s="754"/>
      <c r="AI325" s="754"/>
      <c r="AK325" s="426"/>
      <c r="AL325" s="430"/>
      <c r="AM325" s="758"/>
      <c r="AN325" s="876"/>
      <c r="AO325" s="754"/>
      <c r="AQ325" s="750"/>
      <c r="AR325" s="742"/>
      <c r="AS325" s="883"/>
      <c r="AT325" s="418"/>
    </row>
    <row r="326" spans="1:51" s="419" customFormat="1" ht="24" customHeight="1" outlineLevel="1" x14ac:dyDescent="0.3">
      <c r="A326" s="587"/>
      <c r="B326" s="587"/>
      <c r="C326" s="585"/>
      <c r="D326" s="583"/>
      <c r="E326" s="588"/>
      <c r="F326" s="583"/>
      <c r="G326" s="583"/>
      <c r="H326" s="591"/>
      <c r="I326" s="583"/>
      <c r="J326" s="540" t="s">
        <v>385</v>
      </c>
      <c r="K326" s="541" t="s">
        <v>388</v>
      </c>
      <c r="L326" s="591" t="str">
        <f>VLOOKUP(K326,материалы!$A$5:$G$31,5, FALSE)</f>
        <v>м</v>
      </c>
      <c r="M326" s="583">
        <f>VLOOKUP(K326,материалы!$A$5:$G$34,7, FALSE)</f>
        <v>132.99</v>
      </c>
      <c r="N326" s="591">
        <v>1</v>
      </c>
      <c r="O326" s="583">
        <f t="shared" ref="O326" si="191">ROUND(M326*N326,2)</f>
        <v>132.99</v>
      </c>
      <c r="P326" s="591"/>
      <c r="Q326" s="591"/>
      <c r="R326" s="584"/>
      <c r="S326" s="584"/>
      <c r="T326" s="584"/>
      <c r="U326" s="437"/>
      <c r="V326" s="422"/>
      <c r="W326" s="436"/>
      <c r="X326" s="438"/>
      <c r="Y326" s="477"/>
      <c r="Z326" s="465"/>
      <c r="AA326" s="446"/>
      <c r="AB326" s="414"/>
      <c r="AC326" s="435"/>
      <c r="AD326" s="483"/>
      <c r="AE326" s="415"/>
      <c r="AG326" s="431"/>
      <c r="AH326" s="425"/>
      <c r="AI326" s="425"/>
      <c r="AK326" s="426"/>
      <c r="AL326" s="430"/>
      <c r="AM326" s="431"/>
      <c r="AN326" s="432"/>
      <c r="AO326" s="425"/>
      <c r="AQ326" s="427"/>
      <c r="AR326" s="435"/>
      <c r="AS326" s="429"/>
      <c r="AT326" s="418"/>
    </row>
    <row r="327" spans="1:51" ht="16.5" customHeight="1" x14ac:dyDescent="0.25">
      <c r="A327" s="804" t="s">
        <v>569</v>
      </c>
      <c r="B327" s="804" t="s">
        <v>300</v>
      </c>
      <c r="C327" s="800" t="s">
        <v>399</v>
      </c>
      <c r="D327" s="797" t="s">
        <v>36</v>
      </c>
      <c r="E327" s="588" t="s">
        <v>169</v>
      </c>
      <c r="F327" s="583">
        <f>VLOOKUP(E327,'условия, ФОТ'!$A$14:$I$28,9, FALSE)</f>
        <v>326.24</v>
      </c>
      <c r="G327" s="797">
        <v>1.02</v>
      </c>
      <c r="H327" s="799">
        <f>ROUND((F327+F328)/2*G327,2)</f>
        <v>398.95</v>
      </c>
      <c r="I327" s="797">
        <f t="shared" si="163"/>
        <v>120.48</v>
      </c>
      <c r="J327" s="797">
        <f t="shared" si="166"/>
        <v>519.42999999999995</v>
      </c>
      <c r="K327" s="814"/>
      <c r="L327" s="797"/>
      <c r="M327" s="797"/>
      <c r="N327" s="797"/>
      <c r="O327" s="797">
        <f>O329</f>
        <v>289.52999999999997</v>
      </c>
      <c r="P327" s="799">
        <f t="shared" si="167"/>
        <v>808.95999999999992</v>
      </c>
      <c r="Q327" s="799">
        <f>ROUND(P327*$Q$5,2)</f>
        <v>626.94000000000005</v>
      </c>
      <c r="R327" s="798">
        <f>ROUND(T327/1.2,2)</f>
        <v>1496.67</v>
      </c>
      <c r="S327" s="798">
        <f t="shared" si="153"/>
        <v>299.33</v>
      </c>
      <c r="T327" s="798">
        <f>ROUND((P327+Q327)*(1+Y327)*1.2,0)</f>
        <v>1796</v>
      </c>
      <c r="U327" s="794">
        <v>1135</v>
      </c>
      <c r="V327" s="793">
        <f t="shared" si="168"/>
        <v>58.237885462555056</v>
      </c>
      <c r="W327" s="787"/>
      <c r="X327" s="837"/>
      <c r="Y327" s="774">
        <v>4.24E-2</v>
      </c>
      <c r="Z327" s="776" t="e">
        <f>#REF!*Y327</f>
        <v>#REF!</v>
      </c>
      <c r="AA327" s="889"/>
      <c r="AB327" s="404">
        <v>759.99</v>
      </c>
      <c r="AC327" s="741"/>
      <c r="AD327" s="763">
        <f>T327-U327</f>
        <v>661</v>
      </c>
      <c r="AE327" s="394"/>
      <c r="AG327" s="759">
        <v>0.11210000000000001</v>
      </c>
      <c r="AH327" s="751">
        <f t="shared" si="175"/>
        <v>0.11210000000000001</v>
      </c>
      <c r="AI327" s="751">
        <v>0</v>
      </c>
      <c r="AK327" s="152"/>
      <c r="AM327" s="759">
        <v>1.034</v>
      </c>
      <c r="AN327" s="877">
        <v>0.11210000000000001</v>
      </c>
      <c r="AO327" s="751" t="e">
        <f>#REF!-AM327</f>
        <v>#REF!</v>
      </c>
      <c r="AQ327" s="747">
        <f>Y327-AN327</f>
        <v>-6.9700000000000012E-2</v>
      </c>
      <c r="AR327" s="741">
        <v>760</v>
      </c>
      <c r="AS327" s="884" t="b">
        <f>W327=AR327</f>
        <v>0</v>
      </c>
      <c r="AT327" s="411" t="e">
        <f>ROUND(W327/T327*100-100,2)+#REF!</f>
        <v>#REF!</v>
      </c>
      <c r="AW327" t="e">
        <f>ROUND(T327/W327,3)</f>
        <v>#DIV/0!</v>
      </c>
    </row>
    <row r="328" spans="1:51" ht="13.5" customHeight="1" x14ac:dyDescent="0.25">
      <c r="A328" s="804"/>
      <c r="B328" s="804"/>
      <c r="C328" s="800"/>
      <c r="D328" s="797"/>
      <c r="E328" s="588" t="s">
        <v>174</v>
      </c>
      <c r="F328" s="583">
        <f>VLOOKUP(E328,'условия, ФОТ'!$A$14:$I$28,9, FALSE)</f>
        <v>456.01</v>
      </c>
      <c r="G328" s="797"/>
      <c r="H328" s="799"/>
      <c r="I328" s="797"/>
      <c r="J328" s="797"/>
      <c r="K328" s="814"/>
      <c r="L328" s="797"/>
      <c r="M328" s="797"/>
      <c r="N328" s="797"/>
      <c r="O328" s="797"/>
      <c r="P328" s="799"/>
      <c r="Q328" s="799"/>
      <c r="R328" s="798"/>
      <c r="S328" s="798"/>
      <c r="T328" s="798">
        <f>ROUND((P328+Q328)*(1+$R$5)*1.18,0)</f>
        <v>0</v>
      </c>
      <c r="U328" s="795">
        <v>0</v>
      </c>
      <c r="V328" s="793"/>
      <c r="W328" s="788"/>
      <c r="X328" s="837"/>
      <c r="Y328" s="774"/>
      <c r="Z328" s="777"/>
      <c r="AA328" s="890"/>
      <c r="AC328" s="741"/>
      <c r="AD328" s="764"/>
      <c r="AE328" s="394"/>
      <c r="AG328" s="760"/>
      <c r="AH328" s="752"/>
      <c r="AI328" s="752"/>
      <c r="AK328" s="152"/>
      <c r="AM328" s="760"/>
      <c r="AN328" s="878"/>
      <c r="AO328" s="752"/>
      <c r="AQ328" s="748"/>
      <c r="AR328" s="741"/>
      <c r="AS328" s="884"/>
      <c r="AT328" s="411"/>
    </row>
    <row r="329" spans="1:51" ht="27" customHeight="1" outlineLevel="1" x14ac:dyDescent="0.3">
      <c r="A329" s="587"/>
      <c r="B329" s="587"/>
      <c r="C329" s="585"/>
      <c r="D329" s="583"/>
      <c r="E329" s="588"/>
      <c r="F329" s="583"/>
      <c r="G329" s="583"/>
      <c r="H329" s="591"/>
      <c r="I329" s="583"/>
      <c r="J329" s="540" t="s">
        <v>385</v>
      </c>
      <c r="K329" s="541" t="s">
        <v>397</v>
      </c>
      <c r="L329" s="591" t="str">
        <f>VLOOKUP(K329,материалы!$A$5:$G$31,5, FALSE)</f>
        <v>м</v>
      </c>
      <c r="M329" s="583">
        <f>VLOOKUP(K329,материалы!$A$5:$G$34,7, FALSE)</f>
        <v>289.52999999999997</v>
      </c>
      <c r="N329" s="591">
        <v>1</v>
      </c>
      <c r="O329" s="583">
        <f>ROUND(M329*N329,2)</f>
        <v>289.52999999999997</v>
      </c>
      <c r="P329" s="591"/>
      <c r="Q329" s="591"/>
      <c r="R329" s="584"/>
      <c r="S329" s="584"/>
      <c r="T329" s="584"/>
      <c r="U329" s="121"/>
      <c r="V329" s="516"/>
      <c r="W329" s="392"/>
      <c r="X329" s="396"/>
      <c r="Y329" s="474"/>
      <c r="Z329" s="464"/>
      <c r="AC329" s="434"/>
      <c r="AD329" s="482"/>
      <c r="AE329" s="394"/>
      <c r="AG329" s="237"/>
      <c r="AH329" s="236"/>
      <c r="AI329" s="235"/>
      <c r="AK329" s="152"/>
      <c r="AM329" s="239"/>
      <c r="AN329" s="243"/>
      <c r="AO329" s="240"/>
      <c r="AQ329" s="241"/>
      <c r="AR329" s="382"/>
      <c r="AT329" s="411"/>
    </row>
    <row r="330" spans="1:51" ht="25.5" customHeight="1" x14ac:dyDescent="0.3">
      <c r="A330" s="596" t="s">
        <v>570</v>
      </c>
      <c r="B330" s="596" t="s">
        <v>301</v>
      </c>
      <c r="C330" s="597" t="s">
        <v>401</v>
      </c>
      <c r="D330" s="568" t="s">
        <v>302</v>
      </c>
      <c r="E330" s="598" t="s">
        <v>169</v>
      </c>
      <c r="F330" s="568">
        <f>VLOOKUP(E330,'условия, ФОТ'!$A$14:$I$28,9, FALSE)</f>
        <v>326.24</v>
      </c>
      <c r="G330" s="568">
        <v>0.94</v>
      </c>
      <c r="H330" s="568">
        <f t="shared" si="165"/>
        <v>306.67</v>
      </c>
      <c r="I330" s="568">
        <f t="shared" si="163"/>
        <v>92.61</v>
      </c>
      <c r="J330" s="568">
        <f t="shared" si="166"/>
        <v>399.28000000000003</v>
      </c>
      <c r="K330" s="567"/>
      <c r="L330" s="568"/>
      <c r="M330" s="568"/>
      <c r="N330" s="568"/>
      <c r="O330" s="568">
        <f>SUM(O331:O334)</f>
        <v>71.53</v>
      </c>
      <c r="P330" s="568">
        <f>J330+O330</f>
        <v>470.81000000000006</v>
      </c>
      <c r="Q330" s="568">
        <f t="shared" si="152"/>
        <v>364.88</v>
      </c>
      <c r="R330" s="600">
        <f>ROUND(T330/1.2,2)</f>
        <v>1050</v>
      </c>
      <c r="S330" s="600">
        <f t="shared" si="153"/>
        <v>210</v>
      </c>
      <c r="T330" s="600">
        <f>ROUND((P330+Q330)*(1+Y330)*1.2,0)</f>
        <v>1260</v>
      </c>
      <c r="U330" s="121">
        <v>624</v>
      </c>
      <c r="V330" s="122">
        <f t="shared" si="168"/>
        <v>101.92307692307691</v>
      </c>
      <c r="W330" s="479">
        <v>1260</v>
      </c>
      <c r="X330" s="396">
        <f t="shared" ref="X330" si="192">ROUND((P330+Q330)*1.2,2)</f>
        <v>1002.83</v>
      </c>
      <c r="Y330" s="474">
        <f>ROUND((W330/X330)*100%-100%,4)</f>
        <v>0.25640000000000002</v>
      </c>
      <c r="Z330" s="464" t="e">
        <f>#REF!*Y330</f>
        <v>#REF!</v>
      </c>
      <c r="AB330" s="404">
        <v>469.43600000000004</v>
      </c>
      <c r="AC330" s="434"/>
      <c r="AD330" s="478">
        <f>T330-U330</f>
        <v>636</v>
      </c>
      <c r="AE330" s="394"/>
      <c r="AG330" s="237">
        <v>-8.0500000000000002E-2</v>
      </c>
      <c r="AH330" s="236">
        <f t="shared" si="175"/>
        <v>1.0805</v>
      </c>
      <c r="AI330" s="235">
        <v>1.117</v>
      </c>
      <c r="AK330" s="152">
        <f>ROUND(W330*AI330,2)</f>
        <v>1407.42</v>
      </c>
      <c r="AM330" s="239">
        <v>1.034</v>
      </c>
      <c r="AN330" s="243">
        <v>-8.0500000000000002E-2</v>
      </c>
      <c r="AO330" s="240" t="e">
        <f>#REF!-AM330</f>
        <v>#REF!</v>
      </c>
      <c r="AQ330" s="241">
        <f>Y330-AN330</f>
        <v>0.33690000000000003</v>
      </c>
      <c r="AR330" s="382">
        <v>536</v>
      </c>
      <c r="AS330" s="388" t="b">
        <f>W330=AR330</f>
        <v>0</v>
      </c>
      <c r="AT330" s="411" t="e">
        <f>ROUND(W330/T330*100-100,2)+#REF!</f>
        <v>#REF!</v>
      </c>
      <c r="AW330">
        <f>ROUND(T330/W330,3)</f>
        <v>1</v>
      </c>
    </row>
    <row r="331" spans="1:51" ht="25.5" outlineLevel="1" x14ac:dyDescent="0.3">
      <c r="A331" s="587"/>
      <c r="B331" s="587"/>
      <c r="C331" s="585"/>
      <c r="D331" s="583"/>
      <c r="E331" s="588"/>
      <c r="F331" s="583"/>
      <c r="G331" s="583"/>
      <c r="H331" s="583"/>
      <c r="I331" s="583"/>
      <c r="J331" s="540" t="s">
        <v>385</v>
      </c>
      <c r="K331" s="545" t="s">
        <v>341</v>
      </c>
      <c r="L331" s="591" t="str">
        <f>VLOOKUP(K331,материалы!$A$5:$G$31,5, FALSE)</f>
        <v>кг</v>
      </c>
      <c r="M331" s="583">
        <f>VLOOKUP(K331,материалы!$A$5:$G$34,7, FALSE)</f>
        <v>950</v>
      </c>
      <c r="N331" s="583">
        <v>5.0000000000000001E-3</v>
      </c>
      <c r="O331" s="583">
        <f>ROUND(M331*N331,2)</f>
        <v>4.75</v>
      </c>
      <c r="P331" s="583"/>
      <c r="Q331" s="583"/>
      <c r="R331" s="584"/>
      <c r="S331" s="584"/>
      <c r="T331" s="584"/>
      <c r="U331" s="121"/>
      <c r="V331" s="122"/>
      <c r="W331" s="392"/>
      <c r="X331" s="396"/>
      <c r="Y331" s="474"/>
      <c r="Z331" s="464"/>
      <c r="AC331" s="434"/>
      <c r="AD331" s="482"/>
      <c r="AE331" s="394"/>
      <c r="AG331" s="237"/>
      <c r="AH331" s="236"/>
      <c r="AI331" s="235"/>
      <c r="AK331" s="152"/>
      <c r="AM331" s="239"/>
      <c r="AN331" s="243"/>
      <c r="AO331" s="240"/>
      <c r="AQ331" s="241"/>
      <c r="AR331" s="382"/>
      <c r="AT331" s="411"/>
    </row>
    <row r="332" spans="1:51" outlineLevel="1" x14ac:dyDescent="0.3">
      <c r="A332" s="587"/>
      <c r="B332" s="587"/>
      <c r="C332" s="585"/>
      <c r="D332" s="583"/>
      <c r="E332" s="588"/>
      <c r="F332" s="583"/>
      <c r="G332" s="583"/>
      <c r="H332" s="583"/>
      <c r="I332" s="583"/>
      <c r="J332" s="583"/>
      <c r="K332" s="541" t="s">
        <v>335</v>
      </c>
      <c r="L332" s="591" t="str">
        <f>VLOOKUP(K332,материалы!$A$5:$G$31,5, FALSE)</f>
        <v>кг</v>
      </c>
      <c r="M332" s="583">
        <f>VLOOKUP(K332,материалы!$A$5:$G$34,7, FALSE)</f>
        <v>95</v>
      </c>
      <c r="N332" s="544">
        <v>1E-3</v>
      </c>
      <c r="O332" s="583">
        <f>ROUND(M332*N332,2)</f>
        <v>0.1</v>
      </c>
      <c r="P332" s="583"/>
      <c r="Q332" s="583"/>
      <c r="R332" s="584"/>
      <c r="S332" s="584"/>
      <c r="T332" s="584"/>
      <c r="U332" s="121"/>
      <c r="V332" s="122"/>
      <c r="W332" s="392"/>
      <c r="X332" s="396"/>
      <c r="Y332" s="474"/>
      <c r="Z332" s="464"/>
      <c r="AC332" s="434"/>
      <c r="AD332" s="482"/>
      <c r="AE332" s="394"/>
      <c r="AG332" s="237"/>
      <c r="AH332" s="236"/>
      <c r="AI332" s="235"/>
      <c r="AK332" s="152"/>
      <c r="AM332" s="239"/>
      <c r="AN332" s="243"/>
      <c r="AO332" s="240"/>
      <c r="AQ332" s="241"/>
      <c r="AR332" s="382"/>
      <c r="AT332" s="411"/>
    </row>
    <row r="333" spans="1:51" outlineLevel="1" x14ac:dyDescent="0.3">
      <c r="A333" s="587"/>
      <c r="B333" s="587"/>
      <c r="C333" s="585"/>
      <c r="D333" s="583"/>
      <c r="E333" s="588"/>
      <c r="F333" s="583"/>
      <c r="G333" s="583"/>
      <c r="H333" s="583"/>
      <c r="I333" s="583"/>
      <c r="J333" s="583"/>
      <c r="K333" s="541" t="s">
        <v>336</v>
      </c>
      <c r="L333" s="591" t="str">
        <f>VLOOKUP(K333,материалы!$A$5:$G$31,5, FALSE)</f>
        <v>кг</v>
      </c>
      <c r="M333" s="583">
        <f>VLOOKUP(K333,материалы!$A$5:$G$34,7, FALSE)</f>
        <v>80</v>
      </c>
      <c r="N333" s="591">
        <v>0.01</v>
      </c>
      <c r="O333" s="583">
        <f>ROUND(M333*N333,2)</f>
        <v>0.8</v>
      </c>
      <c r="P333" s="583"/>
      <c r="Q333" s="583"/>
      <c r="R333" s="584"/>
      <c r="S333" s="584"/>
      <c r="T333" s="584"/>
      <c r="U333" s="121"/>
      <c r="V333" s="122"/>
      <c r="W333" s="392"/>
      <c r="X333" s="396"/>
      <c r="Y333" s="474"/>
      <c r="Z333" s="464"/>
      <c r="AC333" s="434"/>
      <c r="AD333" s="482"/>
      <c r="AE333" s="394"/>
      <c r="AG333" s="237"/>
      <c r="AH333" s="236"/>
      <c r="AI333" s="235"/>
      <c r="AK333" s="152"/>
      <c r="AM333" s="239"/>
      <c r="AN333" s="243"/>
      <c r="AO333" s="240"/>
      <c r="AQ333" s="241"/>
      <c r="AR333" s="382"/>
      <c r="AT333" s="411"/>
    </row>
    <row r="334" spans="1:51" outlineLevel="1" x14ac:dyDescent="0.3">
      <c r="A334" s="587"/>
      <c r="B334" s="587"/>
      <c r="C334" s="585"/>
      <c r="D334" s="583"/>
      <c r="E334" s="588"/>
      <c r="F334" s="583"/>
      <c r="G334" s="583"/>
      <c r="H334" s="583"/>
      <c r="I334" s="583"/>
      <c r="J334" s="583"/>
      <c r="K334" s="541" t="s">
        <v>400</v>
      </c>
      <c r="L334" s="591" t="str">
        <f>VLOOKUP(K334,материалы!$A$5:$G$31,5, FALSE)</f>
        <v>шт.</v>
      </c>
      <c r="M334" s="583">
        <f>VLOOKUP(K334,материалы!$A$5:$G$34,7, FALSE)</f>
        <v>65.88</v>
      </c>
      <c r="N334" s="591">
        <v>1</v>
      </c>
      <c r="O334" s="583">
        <f>ROUND(M334*N334,2)</f>
        <v>65.88</v>
      </c>
      <c r="P334" s="583"/>
      <c r="Q334" s="583"/>
      <c r="R334" s="584"/>
      <c r="S334" s="584"/>
      <c r="T334" s="584"/>
      <c r="U334" s="121"/>
      <c r="V334" s="122"/>
      <c r="W334" s="392"/>
      <c r="X334" s="396"/>
      <c r="Y334" s="474"/>
      <c r="Z334" s="464"/>
      <c r="AC334" s="434"/>
      <c r="AD334" s="482"/>
      <c r="AE334" s="394"/>
      <c r="AG334" s="237"/>
      <c r="AH334" s="236"/>
      <c r="AI334" s="235"/>
      <c r="AK334" s="152"/>
      <c r="AM334" s="239"/>
      <c r="AN334" s="243"/>
      <c r="AO334" s="240"/>
      <c r="AQ334" s="241"/>
      <c r="AR334" s="382"/>
      <c r="AT334" s="411"/>
    </row>
    <row r="335" spans="1:51" ht="40.5" customHeight="1" x14ac:dyDescent="0.3">
      <c r="A335" s="587" t="s">
        <v>571</v>
      </c>
      <c r="B335" s="587" t="s">
        <v>303</v>
      </c>
      <c r="C335" s="585" t="s">
        <v>120</v>
      </c>
      <c r="D335" s="583" t="s">
        <v>304</v>
      </c>
      <c r="E335" s="588" t="s">
        <v>169</v>
      </c>
      <c r="F335" s="583">
        <f>VLOOKUP(E335,'условия, ФОТ'!$A$14:$I$28,9, FALSE)</f>
        <v>326.24</v>
      </c>
      <c r="G335" s="583">
        <v>0.65</v>
      </c>
      <c r="H335" s="583">
        <f t="shared" si="165"/>
        <v>212.06</v>
      </c>
      <c r="I335" s="583">
        <f t="shared" si="163"/>
        <v>64.040000000000006</v>
      </c>
      <c r="J335" s="583">
        <f t="shared" si="166"/>
        <v>276.10000000000002</v>
      </c>
      <c r="K335" s="589"/>
      <c r="L335" s="583"/>
      <c r="M335" s="583"/>
      <c r="N335" s="583"/>
      <c r="O335" s="583"/>
      <c r="P335" s="583">
        <f t="shared" si="167"/>
        <v>276.10000000000002</v>
      </c>
      <c r="Q335" s="583">
        <f t="shared" si="152"/>
        <v>213.98</v>
      </c>
      <c r="R335" s="584">
        <f>ROUND(T335/1.2,2)</f>
        <v>526.66999999999996</v>
      </c>
      <c r="S335" s="584">
        <f>ROUND(R335*$S$5,2)</f>
        <v>105.33</v>
      </c>
      <c r="T335" s="584">
        <f>ROUND((P335+Q335)*(1+Y335)*1.2,0)</f>
        <v>632</v>
      </c>
      <c r="U335" s="121">
        <v>375</v>
      </c>
      <c r="V335" s="122">
        <f t="shared" si="168"/>
        <v>68.533333333333331</v>
      </c>
      <c r="W335" s="479"/>
      <c r="X335" s="396"/>
      <c r="Y335" s="514">
        <v>7.5399999999999995E-2</v>
      </c>
      <c r="Z335" s="464" t="e">
        <f>#REF!*Y335</f>
        <v>#REF!</v>
      </c>
      <c r="AB335" s="404">
        <v>257.46600000000001</v>
      </c>
      <c r="AC335" s="434"/>
      <c r="AD335" s="478">
        <f>T335-U335</f>
        <v>257</v>
      </c>
      <c r="AE335" s="394"/>
      <c r="AG335" s="237">
        <v>-0.14330000000000001</v>
      </c>
      <c r="AH335" s="236">
        <f t="shared" ref="AH335:AH377" si="193">IF(AG335&lt;0,-AG335+1,AG335)</f>
        <v>1.1433</v>
      </c>
      <c r="AI335" s="235">
        <v>1.1819999999999999</v>
      </c>
      <c r="AK335" s="152">
        <f>ROUND(W335*AI335,2)</f>
        <v>0</v>
      </c>
      <c r="AM335" s="239">
        <v>1.034</v>
      </c>
      <c r="AN335" s="243">
        <v>-0.14330000000000001</v>
      </c>
      <c r="AO335" s="240" t="e">
        <f>#REF!-AM335</f>
        <v>#REF!</v>
      </c>
      <c r="AQ335" s="241">
        <f>Y335-AN335</f>
        <v>0.21870000000000001</v>
      </c>
      <c r="AR335" s="382">
        <v>315</v>
      </c>
      <c r="AS335" s="388" t="b">
        <f>W335=AR335</f>
        <v>0</v>
      </c>
      <c r="AT335" s="411" t="e">
        <f>ROUND(W335/T335*100-100,2)+#REF!</f>
        <v>#REF!</v>
      </c>
      <c r="AW335" t="e">
        <f>ROUND(T335/W335,3)</f>
        <v>#DIV/0!</v>
      </c>
    </row>
    <row r="336" spans="1:51" ht="27.75" customHeight="1" x14ac:dyDescent="0.25">
      <c r="A336" s="587" t="s">
        <v>572</v>
      </c>
      <c r="B336" s="587" t="s">
        <v>305</v>
      </c>
      <c r="C336" s="585" t="s">
        <v>121</v>
      </c>
      <c r="D336" s="583" t="s">
        <v>234</v>
      </c>
      <c r="E336" s="588" t="s">
        <v>169</v>
      </c>
      <c r="F336" s="583">
        <f>VLOOKUP(E336,'условия, ФОТ'!$A$14:$I$28,9, FALSE)</f>
        <v>326.24</v>
      </c>
      <c r="G336" s="583">
        <v>0.39</v>
      </c>
      <c r="H336" s="583">
        <f t="shared" si="165"/>
        <v>127.23</v>
      </c>
      <c r="I336" s="583">
        <f t="shared" si="163"/>
        <v>38.42</v>
      </c>
      <c r="J336" s="583">
        <f t="shared" si="166"/>
        <v>165.65</v>
      </c>
      <c r="K336" s="589"/>
      <c r="L336" s="583"/>
      <c r="M336" s="583"/>
      <c r="N336" s="583"/>
      <c r="O336" s="583">
        <f>O337</f>
        <v>4.75</v>
      </c>
      <c r="P336" s="583">
        <f t="shared" si="167"/>
        <v>170.4</v>
      </c>
      <c r="Q336" s="583">
        <f t="shared" si="152"/>
        <v>132.06</v>
      </c>
      <c r="R336" s="584">
        <f>ROUND(T336/1.2,2)</f>
        <v>1000</v>
      </c>
      <c r="S336" s="584">
        <f t="shared" si="153"/>
        <v>200</v>
      </c>
      <c r="T336" s="584">
        <f>ROUND((P336+Q336)*(1+Y336)*1.2,0)</f>
        <v>1200</v>
      </c>
      <c r="U336" s="121">
        <v>233</v>
      </c>
      <c r="V336" s="122">
        <f t="shared" si="168"/>
        <v>415.02145922746786</v>
      </c>
      <c r="W336" s="479">
        <v>1200</v>
      </c>
      <c r="X336" s="574">
        <f t="shared" ref="X336:X340" si="194">ROUND((P336+Q336)*1.2,2)</f>
        <v>362.95</v>
      </c>
      <c r="Y336" s="573">
        <f>ROUND((W336/X336)*100%-100%,4)</f>
        <v>2.3062</v>
      </c>
      <c r="Z336" s="464" t="e">
        <f>#REF!*Y336</f>
        <v>#REF!</v>
      </c>
      <c r="AB336" s="404">
        <v>164.40600000000001</v>
      </c>
      <c r="AC336" s="434"/>
      <c r="AD336" s="478">
        <f>T336-U336</f>
        <v>967</v>
      </c>
      <c r="AE336" s="761" t="s">
        <v>711</v>
      </c>
      <c r="AF336" s="762"/>
      <c r="AG336" s="762"/>
      <c r="AH336" s="762"/>
      <c r="AI336" s="762"/>
      <c r="AJ336" s="762"/>
      <c r="AK336" s="762"/>
      <c r="AL336" s="762"/>
      <c r="AM336" s="762"/>
      <c r="AN336" s="762"/>
      <c r="AO336" s="762"/>
      <c r="AP336" s="762"/>
      <c r="AQ336" s="762"/>
      <c r="AR336" s="762"/>
      <c r="AS336" s="762"/>
      <c r="AT336" s="762"/>
      <c r="AU336" s="762"/>
      <c r="AV336" s="762"/>
      <c r="AW336" s="762"/>
      <c r="AX336" s="762"/>
      <c r="AY336" s="762"/>
    </row>
    <row r="337" spans="1:51" ht="25.5" outlineLevel="1" x14ac:dyDescent="0.3">
      <c r="A337" s="587"/>
      <c r="B337" s="587"/>
      <c r="C337" s="585"/>
      <c r="D337" s="583"/>
      <c r="E337" s="588"/>
      <c r="F337" s="583"/>
      <c r="G337" s="583"/>
      <c r="H337" s="583"/>
      <c r="I337" s="583"/>
      <c r="J337" s="540" t="s">
        <v>385</v>
      </c>
      <c r="K337" s="545" t="s">
        <v>341</v>
      </c>
      <c r="L337" s="591" t="str">
        <f>VLOOKUP(K337,материалы!$A$5:$G$31,5, FALSE)</f>
        <v>кг</v>
      </c>
      <c r="M337" s="583">
        <f>VLOOKUP(K337,материалы!$A$5:$G$34,7, FALSE)</f>
        <v>950</v>
      </c>
      <c r="N337" s="583">
        <v>5.0000000000000001E-3</v>
      </c>
      <c r="O337" s="583">
        <f>ROUND(M337*N337,2)</f>
        <v>4.75</v>
      </c>
      <c r="P337" s="583"/>
      <c r="Q337" s="583"/>
      <c r="R337" s="584"/>
      <c r="S337" s="584"/>
      <c r="T337" s="584"/>
      <c r="U337" s="121"/>
      <c r="V337" s="122"/>
      <c r="W337" s="479"/>
      <c r="X337" s="396"/>
      <c r="Y337" s="474"/>
      <c r="Z337" s="464"/>
      <c r="AC337" s="434"/>
      <c r="AD337" s="482"/>
      <c r="AE337" s="394"/>
      <c r="AG337" s="237"/>
      <c r="AH337" s="236"/>
      <c r="AI337" s="235"/>
      <c r="AK337" s="152"/>
      <c r="AM337" s="239"/>
      <c r="AN337" s="243"/>
      <c r="AO337" s="240"/>
      <c r="AQ337" s="241"/>
      <c r="AR337" s="382"/>
      <c r="AT337" s="411"/>
    </row>
    <row r="338" spans="1:51" ht="38.25" outlineLevel="1" x14ac:dyDescent="0.3">
      <c r="A338" s="587" t="s">
        <v>712</v>
      </c>
      <c r="B338" s="592" t="s">
        <v>713</v>
      </c>
      <c r="C338" s="585" t="s">
        <v>714</v>
      </c>
      <c r="D338" s="583" t="s">
        <v>234</v>
      </c>
      <c r="E338" s="588" t="s">
        <v>169</v>
      </c>
      <c r="F338" s="583">
        <f>VLOOKUP(E338,'условия, ФОТ'!$A$14:$I$28,9, FALSE)</f>
        <v>326.24</v>
      </c>
      <c r="G338" s="583">
        <v>1.24</v>
      </c>
      <c r="H338" s="583">
        <f>ROUND(F338*G338,2)</f>
        <v>404.54</v>
      </c>
      <c r="I338" s="583">
        <f>ROUND(H338*$I$5,2)</f>
        <v>122.17</v>
      </c>
      <c r="J338" s="583">
        <f>H338+I338</f>
        <v>526.71</v>
      </c>
      <c r="K338" s="589"/>
      <c r="L338" s="583"/>
      <c r="M338" s="583"/>
      <c r="N338" s="583"/>
      <c r="O338" s="583">
        <f>O339</f>
        <v>4.75</v>
      </c>
      <c r="P338" s="583">
        <f t="shared" ref="P338" si="195">J338+O338</f>
        <v>531.46</v>
      </c>
      <c r="Q338" s="583">
        <f t="shared" ref="Q338" si="196">ROUND(P338*$Q$5,2)</f>
        <v>411.88</v>
      </c>
      <c r="R338" s="584">
        <f>ROUND(T338/1.2,2)</f>
        <v>1042.5</v>
      </c>
      <c r="S338" s="584">
        <f>ROUND(R338*$S$5,2)</f>
        <v>208.5</v>
      </c>
      <c r="T338" s="584">
        <f>ROUND((P338+Q338)*(1+Y338)*1.2,0)</f>
        <v>1251</v>
      </c>
      <c r="U338" s="121">
        <v>743</v>
      </c>
      <c r="V338" s="615">
        <f>T338/U338*100-100</f>
        <v>68.371467025572002</v>
      </c>
      <c r="W338" s="575"/>
      <c r="X338" s="574"/>
      <c r="Y338" s="573">
        <v>0.1051</v>
      </c>
      <c r="Z338" s="572"/>
      <c r="AC338" s="571"/>
      <c r="AD338" s="482"/>
      <c r="AE338" s="394"/>
      <c r="AG338" s="601"/>
      <c r="AH338" s="602"/>
      <c r="AI338" s="602"/>
      <c r="AK338" s="603"/>
      <c r="AM338" s="601"/>
      <c r="AN338" s="604"/>
      <c r="AO338" s="602"/>
      <c r="AQ338" s="605"/>
      <c r="AR338" s="606"/>
      <c r="AT338" s="411"/>
    </row>
    <row r="339" spans="1:51" ht="25.5" outlineLevel="1" x14ac:dyDescent="0.3">
      <c r="A339" s="587"/>
      <c r="B339" s="587"/>
      <c r="C339" s="585"/>
      <c r="D339" s="583"/>
      <c r="E339" s="588"/>
      <c r="F339" s="583"/>
      <c r="G339" s="583"/>
      <c r="H339" s="583"/>
      <c r="I339" s="583"/>
      <c r="J339" s="540" t="s">
        <v>385</v>
      </c>
      <c r="K339" s="545" t="s">
        <v>341</v>
      </c>
      <c r="L339" s="591" t="s">
        <v>26</v>
      </c>
      <c r="M339" s="583">
        <f>VLOOKUP(K339,материалы!$A$5:$G$34,7, FALSE)</f>
        <v>950</v>
      </c>
      <c r="N339" s="583">
        <v>5.0000000000000001E-3</v>
      </c>
      <c r="O339" s="583">
        <f>ROUND(M339*N339,2)</f>
        <v>4.75</v>
      </c>
      <c r="P339" s="583"/>
      <c r="Q339" s="583"/>
      <c r="R339" s="584"/>
      <c r="S339" s="584"/>
      <c r="T339" s="584"/>
      <c r="U339" s="121"/>
      <c r="V339" s="122"/>
      <c r="W339" s="575"/>
      <c r="X339" s="574"/>
      <c r="Y339" s="573"/>
      <c r="Z339" s="572"/>
      <c r="AC339" s="571"/>
      <c r="AD339" s="482"/>
      <c r="AE339" s="394"/>
      <c r="AG339" s="601"/>
      <c r="AH339" s="602"/>
      <c r="AI339" s="602"/>
      <c r="AK339" s="603"/>
      <c r="AM339" s="601"/>
      <c r="AN339" s="604"/>
      <c r="AO339" s="602"/>
      <c r="AQ339" s="605"/>
      <c r="AR339" s="606"/>
      <c r="AT339" s="411"/>
    </row>
    <row r="340" spans="1:51" ht="27" customHeight="1" x14ac:dyDescent="0.25">
      <c r="A340" s="596" t="s">
        <v>573</v>
      </c>
      <c r="B340" s="596" t="s">
        <v>306</v>
      </c>
      <c r="C340" s="597" t="s">
        <v>122</v>
      </c>
      <c r="D340" s="568" t="s">
        <v>234</v>
      </c>
      <c r="E340" s="598" t="s">
        <v>169</v>
      </c>
      <c r="F340" s="568">
        <f>VLOOKUP(E340,'условия, ФОТ'!$A$14:$I$28,9, FALSE)</f>
        <v>326.24</v>
      </c>
      <c r="G340" s="568">
        <v>0.52</v>
      </c>
      <c r="H340" s="568">
        <f t="shared" si="165"/>
        <v>169.64</v>
      </c>
      <c r="I340" s="568">
        <f t="shared" si="163"/>
        <v>51.23</v>
      </c>
      <c r="J340" s="568">
        <f t="shared" si="166"/>
        <v>220.86999999999998</v>
      </c>
      <c r="K340" s="567"/>
      <c r="L340" s="568"/>
      <c r="M340" s="568"/>
      <c r="N340" s="568"/>
      <c r="O340" s="568">
        <f>O341</f>
        <v>4.75</v>
      </c>
      <c r="P340" s="568">
        <f t="shared" si="167"/>
        <v>225.61999999999998</v>
      </c>
      <c r="Q340" s="568">
        <f t="shared" si="152"/>
        <v>174.86</v>
      </c>
      <c r="R340" s="600">
        <f>ROUND(T340/1.2,2)</f>
        <v>1108.33</v>
      </c>
      <c r="S340" s="600">
        <f t="shared" si="153"/>
        <v>221.67</v>
      </c>
      <c r="T340" s="600">
        <f>ROUND((P340+Q340)*(1+Y340)*1.2,0)</f>
        <v>1330</v>
      </c>
      <c r="U340" s="121">
        <v>308</v>
      </c>
      <c r="V340" s="122">
        <f>T340/U340*100-100</f>
        <v>331.81818181818181</v>
      </c>
      <c r="W340" s="479">
        <v>1330</v>
      </c>
      <c r="X340" s="396">
        <f t="shared" si="194"/>
        <v>480.58</v>
      </c>
      <c r="Y340" s="474">
        <f>ROUND((W340/X340)*100%-100%,4)</f>
        <v>1.7675000000000001</v>
      </c>
      <c r="Z340" s="464" t="e">
        <f>#REF!*Y340</f>
        <v>#REF!</v>
      </c>
      <c r="AB340" s="404">
        <v>216.10599999999999</v>
      </c>
      <c r="AC340" s="434"/>
      <c r="AD340" s="478">
        <f>T340-U340</f>
        <v>1022</v>
      </c>
      <c r="AE340" s="761" t="s">
        <v>711</v>
      </c>
      <c r="AF340" s="762"/>
      <c r="AG340" s="762"/>
      <c r="AH340" s="762"/>
      <c r="AI340" s="762"/>
      <c r="AJ340" s="762"/>
      <c r="AK340" s="762"/>
      <c r="AL340" s="762"/>
      <c r="AM340" s="762"/>
      <c r="AN340" s="762"/>
      <c r="AO340" s="762"/>
      <c r="AP340" s="762"/>
      <c r="AQ340" s="762"/>
      <c r="AR340" s="762"/>
      <c r="AS340" s="762"/>
      <c r="AT340" s="762"/>
      <c r="AU340" s="762"/>
      <c r="AV340" s="762"/>
      <c r="AW340" s="762"/>
      <c r="AX340" s="762"/>
      <c r="AY340" s="762"/>
    </row>
    <row r="341" spans="1:51" ht="22.5" customHeight="1" outlineLevel="1" x14ac:dyDescent="0.3">
      <c r="A341" s="596"/>
      <c r="B341" s="596"/>
      <c r="C341" s="597"/>
      <c r="D341" s="568"/>
      <c r="E341" s="598"/>
      <c r="F341" s="568"/>
      <c r="G341" s="568"/>
      <c r="H341" s="568"/>
      <c r="I341" s="568"/>
      <c r="J341" s="722" t="s">
        <v>385</v>
      </c>
      <c r="K341" s="723" t="s">
        <v>341</v>
      </c>
      <c r="L341" s="599" t="str">
        <f>VLOOKUP(K341,материалы!$A$5:$G$31,5, FALSE)</f>
        <v>кг</v>
      </c>
      <c r="M341" s="568">
        <f>VLOOKUP(K341,материалы!$A$5:$G$34,7, FALSE)</f>
        <v>950</v>
      </c>
      <c r="N341" s="568">
        <v>5.0000000000000001E-3</v>
      </c>
      <c r="O341" s="568">
        <f>ROUND(M341*N341,2)</f>
        <v>4.75</v>
      </c>
      <c r="P341" s="568"/>
      <c r="Q341" s="568"/>
      <c r="R341" s="600"/>
      <c r="S341" s="600"/>
      <c r="T341" s="600"/>
      <c r="U341" s="121"/>
      <c r="V341" s="122"/>
      <c r="W341" s="479"/>
      <c r="X341" s="396"/>
      <c r="Y341" s="474"/>
      <c r="Z341" s="464"/>
      <c r="AC341" s="434"/>
      <c r="AD341" s="482"/>
      <c r="AE341" s="394"/>
      <c r="AG341" s="237"/>
      <c r="AH341" s="236"/>
      <c r="AI341" s="235"/>
      <c r="AK341" s="152"/>
      <c r="AM341" s="239"/>
      <c r="AN341" s="243"/>
      <c r="AO341" s="240"/>
      <c r="AQ341" s="241"/>
      <c r="AR341" s="382"/>
      <c r="AT341" s="411"/>
    </row>
    <row r="342" spans="1:51" s="611" customFormat="1" ht="36" customHeight="1" outlineLevel="1" x14ac:dyDescent="0.3">
      <c r="A342" s="587" t="s">
        <v>715</v>
      </c>
      <c r="B342" s="592" t="s">
        <v>716</v>
      </c>
      <c r="C342" s="585" t="s">
        <v>717</v>
      </c>
      <c r="D342" s="583" t="s">
        <v>234</v>
      </c>
      <c r="E342" s="588" t="s">
        <v>169</v>
      </c>
      <c r="F342" s="583">
        <f>VLOOKUP(E342,'условия, ФОТ'!$A$14:$I$28,9, FALSE)</f>
        <v>326.24</v>
      </c>
      <c r="G342" s="583">
        <v>1.77</v>
      </c>
      <c r="H342" s="583">
        <f>ROUND(F342*G342,2)</f>
        <v>577.44000000000005</v>
      </c>
      <c r="I342" s="583">
        <f>ROUND(H342*$I$5,2)</f>
        <v>174.39</v>
      </c>
      <c r="J342" s="583">
        <f>H342+I342</f>
        <v>751.83</v>
      </c>
      <c r="K342" s="589"/>
      <c r="L342" s="583"/>
      <c r="M342" s="583"/>
      <c r="N342" s="583"/>
      <c r="O342" s="583">
        <f>O343</f>
        <v>4.75</v>
      </c>
      <c r="P342" s="583">
        <f t="shared" ref="P342" si="197">J342+O342</f>
        <v>756.58</v>
      </c>
      <c r="Q342" s="583">
        <f t="shared" ref="Q342" si="198">ROUND(P342*$Q$5,2)</f>
        <v>586.35</v>
      </c>
      <c r="R342" s="584">
        <f>ROUND(T342/1.2,2)</f>
        <v>1496.67</v>
      </c>
      <c r="S342" s="584">
        <f>ROUND(R342*$S$5,2)</f>
        <v>299.33</v>
      </c>
      <c r="T342" s="584">
        <f>ROUND((P342+Q342)*(1+Y342)*1.2,0)</f>
        <v>1796</v>
      </c>
      <c r="U342" s="614">
        <v>1066</v>
      </c>
      <c r="V342" s="639">
        <f>T342/U342*100-100</f>
        <v>68.480300187617274</v>
      </c>
      <c r="W342" s="628"/>
      <c r="X342" s="623"/>
      <c r="Y342" s="629">
        <v>0.1143</v>
      </c>
      <c r="Z342" s="627"/>
      <c r="AA342" s="626"/>
      <c r="AB342" s="624"/>
      <c r="AC342" s="620"/>
      <c r="AD342" s="630"/>
      <c r="AE342" s="622"/>
      <c r="AG342" s="613"/>
      <c r="AH342" s="617"/>
      <c r="AI342" s="617"/>
      <c r="AK342" s="616"/>
      <c r="AL342" s="612"/>
      <c r="AM342" s="613"/>
      <c r="AN342" s="619"/>
      <c r="AO342" s="617"/>
      <c r="AQ342" s="618"/>
      <c r="AR342" s="620"/>
      <c r="AS342" s="621"/>
      <c r="AT342" s="625"/>
    </row>
    <row r="343" spans="1:51" s="611" customFormat="1" ht="22.5" customHeight="1" outlineLevel="1" x14ac:dyDescent="0.3">
      <c r="A343" s="587"/>
      <c r="B343" s="587"/>
      <c r="C343" s="585"/>
      <c r="D343" s="583"/>
      <c r="E343" s="588"/>
      <c r="F343" s="583"/>
      <c r="G343" s="583"/>
      <c r="H343" s="583"/>
      <c r="I343" s="583"/>
      <c r="J343" s="540" t="s">
        <v>385</v>
      </c>
      <c r="K343" s="545" t="s">
        <v>341</v>
      </c>
      <c r="L343" s="591" t="s">
        <v>26</v>
      </c>
      <c r="M343" s="583">
        <f>VLOOKUP(K343,материалы!$A$5:$G$34,7, FALSE)</f>
        <v>950</v>
      </c>
      <c r="N343" s="583">
        <v>5.0000000000000001E-3</v>
      </c>
      <c r="O343" s="583">
        <f>ROUND(M343*N343,2)</f>
        <v>4.75</v>
      </c>
      <c r="P343" s="583"/>
      <c r="Q343" s="583"/>
      <c r="R343" s="584"/>
      <c r="S343" s="584"/>
      <c r="T343" s="584"/>
      <c r="U343" s="614"/>
      <c r="V343" s="615"/>
      <c r="W343" s="628"/>
      <c r="X343" s="623"/>
      <c r="Y343" s="629"/>
      <c r="Z343" s="627"/>
      <c r="AA343" s="626"/>
      <c r="AB343" s="624"/>
      <c r="AC343" s="620"/>
      <c r="AD343" s="630"/>
      <c r="AE343" s="622"/>
      <c r="AG343" s="613"/>
      <c r="AH343" s="617"/>
      <c r="AI343" s="617"/>
      <c r="AK343" s="616"/>
      <c r="AL343" s="612"/>
      <c r="AM343" s="613"/>
      <c r="AN343" s="619"/>
      <c r="AO343" s="617"/>
      <c r="AQ343" s="618"/>
      <c r="AR343" s="620"/>
      <c r="AS343" s="621"/>
      <c r="AT343" s="625"/>
    </row>
    <row r="344" spans="1:51" ht="30" customHeight="1" x14ac:dyDescent="0.3">
      <c r="A344" s="596" t="s">
        <v>574</v>
      </c>
      <c r="B344" s="596" t="s">
        <v>378</v>
      </c>
      <c r="C344" s="597" t="s">
        <v>377</v>
      </c>
      <c r="D344" s="568" t="s">
        <v>20</v>
      </c>
      <c r="E344" s="598" t="s">
        <v>169</v>
      </c>
      <c r="F344" s="568">
        <f>VLOOKUP(E344,'условия, ФОТ'!$A$14:$I$28,9, FALSE)</f>
        <v>326.24</v>
      </c>
      <c r="G344" s="568">
        <v>0.32</v>
      </c>
      <c r="H344" s="568">
        <f t="shared" ref="H344" si="199">ROUND(F344*G344,2)</f>
        <v>104.4</v>
      </c>
      <c r="I344" s="568">
        <f t="shared" ref="I344" si="200">ROUND(H344*$I$5,2)</f>
        <v>31.53</v>
      </c>
      <c r="J344" s="568">
        <f t="shared" ref="J344" si="201">H344+I344</f>
        <v>135.93</v>
      </c>
      <c r="K344" s="597"/>
      <c r="L344" s="599"/>
      <c r="M344" s="568"/>
      <c r="N344" s="568"/>
      <c r="O344" s="568"/>
      <c r="P344" s="568">
        <f t="shared" ref="P344" si="202">J344+O344</f>
        <v>135.93</v>
      </c>
      <c r="Q344" s="568">
        <f t="shared" ref="Q344" si="203">ROUND(P344*$Q$5,2)</f>
        <v>105.35</v>
      </c>
      <c r="R344" s="600">
        <f>ROUND(T344/1.2,2)</f>
        <v>358.33</v>
      </c>
      <c r="S344" s="600">
        <f t="shared" ref="S344" si="204">ROUND(R344*$S$5,2)</f>
        <v>71.67</v>
      </c>
      <c r="T344" s="600">
        <f>ROUND((P344+Q344)*(1+Y344)*1.2,0)</f>
        <v>430</v>
      </c>
      <c r="U344" s="121">
        <v>185</v>
      </c>
      <c r="V344" s="122">
        <f>T344/U344*100-100</f>
        <v>132.43243243243242</v>
      </c>
      <c r="W344" s="479">
        <v>430</v>
      </c>
      <c r="X344" s="396">
        <f t="shared" ref="X344:X345" si="205">ROUND((P344+Q344)*1.2,2)</f>
        <v>289.54000000000002</v>
      </c>
      <c r="Y344" s="474">
        <f>ROUND((W344/X344)*100%-100%,4)</f>
        <v>0.48509999999999998</v>
      </c>
      <c r="Z344" s="464" t="e">
        <f>#REF!*Y344</f>
        <v>#REF!</v>
      </c>
      <c r="AB344" s="404">
        <v>127.182</v>
      </c>
      <c r="AC344" s="434"/>
      <c r="AD344" s="478">
        <f>T344-U344</f>
        <v>245</v>
      </c>
      <c r="AE344" s="394"/>
      <c r="AG344" s="237">
        <v>-0.1404</v>
      </c>
      <c r="AH344" s="236">
        <f t="shared" si="193"/>
        <v>1.1404000000000001</v>
      </c>
      <c r="AI344" s="235">
        <v>1.179</v>
      </c>
      <c r="AK344" s="152">
        <f>ROUND(W344*AI344,2)</f>
        <v>506.97</v>
      </c>
      <c r="AM344" s="239">
        <v>1.034</v>
      </c>
      <c r="AN344" s="243">
        <v>-0.1404</v>
      </c>
      <c r="AO344" s="240" t="e">
        <f>#REF!-AM344</f>
        <v>#REF!</v>
      </c>
      <c r="AQ344" s="241">
        <f>Y344-AN344</f>
        <v>0.62549999999999994</v>
      </c>
      <c r="AR344" s="382">
        <v>155</v>
      </c>
      <c r="AS344" s="388" t="b">
        <f>W344=AR344</f>
        <v>0</v>
      </c>
      <c r="AT344" s="411" t="e">
        <f>ROUND(W344/T344*100-100,2)+#REF!</f>
        <v>#REF!</v>
      </c>
      <c r="AW344">
        <f>ROUND(T344/W344,3)</f>
        <v>1</v>
      </c>
    </row>
    <row r="345" spans="1:51" ht="63" customHeight="1" x14ac:dyDescent="0.3">
      <c r="A345" s="568" t="s">
        <v>575</v>
      </c>
      <c r="B345" s="596" t="s">
        <v>307</v>
      </c>
      <c r="C345" s="597" t="s">
        <v>123</v>
      </c>
      <c r="D345" s="568" t="s">
        <v>234</v>
      </c>
      <c r="E345" s="598" t="s">
        <v>169</v>
      </c>
      <c r="F345" s="568">
        <f>VLOOKUP(E345,'условия, ФОТ'!$A$14:$I$28,9, FALSE)</f>
        <v>326.24</v>
      </c>
      <c r="G345" s="568">
        <v>0.2</v>
      </c>
      <c r="H345" s="568">
        <f>ROUND(F345*G345,2)</f>
        <v>65.25</v>
      </c>
      <c r="I345" s="568">
        <f>ROUND(H345*$I$5,2)</f>
        <v>19.71</v>
      </c>
      <c r="J345" s="568">
        <f>H345+I345</f>
        <v>84.960000000000008</v>
      </c>
      <c r="K345" s="567"/>
      <c r="L345" s="568"/>
      <c r="M345" s="568"/>
      <c r="N345" s="568"/>
      <c r="O345" s="568"/>
      <c r="P345" s="568">
        <f>J345+O345</f>
        <v>84.960000000000008</v>
      </c>
      <c r="Q345" s="568">
        <f>ROUND(P345*$Q$5,2)</f>
        <v>65.84</v>
      </c>
      <c r="R345" s="600">
        <f>ROUND(T345/1.2,2)</f>
        <v>225</v>
      </c>
      <c r="S345" s="600">
        <f>ROUND(R345*$S$5,2)</f>
        <v>45</v>
      </c>
      <c r="T345" s="600">
        <f>ROUND((P345+Q345)*(1+Y345)*1.2,0)</f>
        <v>270</v>
      </c>
      <c r="U345" s="121">
        <v>115</v>
      </c>
      <c r="V345" s="122">
        <f>T345/U345*100-100</f>
        <v>134.78260869565219</v>
      </c>
      <c r="W345" s="479">
        <v>270</v>
      </c>
      <c r="X345" s="396">
        <f t="shared" si="205"/>
        <v>180.96</v>
      </c>
      <c r="Y345" s="474">
        <f>ROUND((W345/X345)*100%-100%,4)</f>
        <v>0.49199999999999999</v>
      </c>
      <c r="Z345" s="464" t="e">
        <f>#REF!*Y345</f>
        <v>#REF!</v>
      </c>
      <c r="AB345" s="404">
        <v>79.618000000000009</v>
      </c>
      <c r="AC345" s="434"/>
      <c r="AD345" s="478">
        <f>T345-U345</f>
        <v>155</v>
      </c>
      <c r="AE345" s="394"/>
      <c r="AG345" s="237">
        <v>-0.1391</v>
      </c>
      <c r="AH345" s="236">
        <f t="shared" si="193"/>
        <v>1.1391</v>
      </c>
      <c r="AI345" s="235">
        <v>1.1779999999999999</v>
      </c>
      <c r="AK345" s="152">
        <f>ROUND(W345*AI345,2)</f>
        <v>318.06</v>
      </c>
      <c r="AM345" s="239">
        <v>1.034</v>
      </c>
      <c r="AN345" s="243">
        <v>-0.1391</v>
      </c>
      <c r="AO345" s="240" t="e">
        <f>#REF!-AM345</f>
        <v>#REF!</v>
      </c>
      <c r="AQ345" s="241">
        <f>Y345-AN345</f>
        <v>0.63109999999999999</v>
      </c>
      <c r="AR345" s="382">
        <v>97</v>
      </c>
      <c r="AS345" s="388" t="b">
        <f>W345=AR345</f>
        <v>0</v>
      </c>
      <c r="AT345" s="411" t="e">
        <f>ROUND(W345/T345*100-100,2)+#REF!</f>
        <v>#REF!</v>
      </c>
      <c r="AW345">
        <f>ROUND(T345/W345,3)</f>
        <v>1</v>
      </c>
    </row>
    <row r="346" spans="1:51" ht="50.25" customHeight="1" x14ac:dyDescent="0.3">
      <c r="A346" s="583">
        <v>4.1050000000000004</v>
      </c>
      <c r="B346" s="550" t="s">
        <v>35</v>
      </c>
      <c r="C346" s="551" t="s">
        <v>697</v>
      </c>
      <c r="D346" s="590" t="s">
        <v>211</v>
      </c>
      <c r="E346" s="551" t="s">
        <v>297</v>
      </c>
      <c r="F346" s="552">
        <f>VLOOKUP(E346,'условия, ФОТ'!$A$14:$I$28,9, FALSE)</f>
        <v>356.43</v>
      </c>
      <c r="G346" s="553">
        <v>0.125</v>
      </c>
      <c r="H346" s="552">
        <f t="shared" ref="H346" si="206">ROUND(F346*G346,2)</f>
        <v>44.55</v>
      </c>
      <c r="I346" s="552">
        <f t="shared" ref="I346" si="207">ROUND(H346*$I$5,2)</f>
        <v>13.45</v>
      </c>
      <c r="J346" s="552">
        <f t="shared" ref="J346" si="208">H346+I346</f>
        <v>58</v>
      </c>
      <c r="K346" s="554"/>
      <c r="L346" s="554"/>
      <c r="M346" s="554"/>
      <c r="N346" s="554"/>
      <c r="O346" s="555">
        <f>SUM(O347:O348)</f>
        <v>5.47</v>
      </c>
      <c r="P346" s="556">
        <f t="shared" ref="P346" si="209">J346+O346</f>
        <v>63.47</v>
      </c>
      <c r="Q346" s="552">
        <f t="shared" ref="Q346" si="210">ROUND(P346*$Q$5,2)</f>
        <v>49.19</v>
      </c>
      <c r="R346" s="593">
        <f>SUM(P346:Q348)</f>
        <v>112.66</v>
      </c>
      <c r="S346" s="593">
        <f>R346*0.2</f>
        <v>22.532</v>
      </c>
      <c r="T346" s="593">
        <f>SUM(R346:S348)*(1+Y347)</f>
        <v>151.41504000000003</v>
      </c>
      <c r="U346" s="121"/>
      <c r="V346" s="122"/>
      <c r="W346" s="493"/>
      <c r="X346" s="494"/>
      <c r="Y346" s="492"/>
      <c r="Z346" s="495"/>
      <c r="AC346" s="491"/>
      <c r="AD346" s="478"/>
      <c r="AE346" s="394"/>
      <c r="AG346" s="497"/>
      <c r="AH346" s="496"/>
      <c r="AI346" s="496"/>
      <c r="AK346" s="152"/>
      <c r="AM346" s="497"/>
      <c r="AN346" s="243"/>
      <c r="AO346" s="496"/>
      <c r="AQ346" s="241"/>
      <c r="AR346" s="491"/>
      <c r="AT346" s="411"/>
    </row>
    <row r="347" spans="1:51" ht="24" customHeight="1" x14ac:dyDescent="0.3">
      <c r="A347" s="557"/>
      <c r="B347" s="558"/>
      <c r="C347" s="559"/>
      <c r="D347" s="557"/>
      <c r="E347" s="559"/>
      <c r="F347" s="557"/>
      <c r="G347" s="560"/>
      <c r="H347" s="557"/>
      <c r="I347" s="557"/>
      <c r="J347" s="557"/>
      <c r="K347" s="583" t="s">
        <v>691</v>
      </c>
      <c r="L347" s="583" t="s">
        <v>693</v>
      </c>
      <c r="M347" s="583">
        <v>4.5999999999999996</v>
      </c>
      <c r="N347" s="583">
        <v>1</v>
      </c>
      <c r="O347" s="583">
        <f>M347*N347</f>
        <v>4.5999999999999996</v>
      </c>
      <c r="P347" s="560"/>
      <c r="Q347" s="557"/>
      <c r="R347" s="561"/>
      <c r="S347" s="561"/>
      <c r="T347" s="561"/>
      <c r="U347" s="121"/>
      <c r="V347" s="122"/>
      <c r="W347" s="493"/>
      <c r="X347" s="494"/>
      <c r="Y347" s="514">
        <v>0.12</v>
      </c>
      <c r="Z347" s="495"/>
      <c r="AC347" s="491"/>
      <c r="AD347" s="478"/>
      <c r="AE347" s="394"/>
      <c r="AG347" s="497"/>
      <c r="AH347" s="496"/>
      <c r="AI347" s="496"/>
      <c r="AK347" s="152"/>
      <c r="AM347" s="497"/>
      <c r="AN347" s="243"/>
      <c r="AO347" s="496"/>
      <c r="AQ347" s="241"/>
      <c r="AR347" s="491"/>
      <c r="AT347" s="411"/>
    </row>
    <row r="348" spans="1:51" ht="23.25" customHeight="1" x14ac:dyDescent="0.3">
      <c r="A348" s="562"/>
      <c r="B348" s="563"/>
      <c r="C348" s="564"/>
      <c r="D348" s="562"/>
      <c r="E348" s="564"/>
      <c r="F348" s="562"/>
      <c r="G348" s="565"/>
      <c r="H348" s="562"/>
      <c r="I348" s="562"/>
      <c r="J348" s="562"/>
      <c r="K348" s="588" t="s">
        <v>692</v>
      </c>
      <c r="L348" s="583" t="s">
        <v>36</v>
      </c>
      <c r="M348" s="583">
        <v>2.9</v>
      </c>
      <c r="N348" s="583">
        <v>0.3</v>
      </c>
      <c r="O348" s="583">
        <f>M348*N348</f>
        <v>0.87</v>
      </c>
      <c r="P348" s="565"/>
      <c r="Q348" s="562"/>
      <c r="R348" s="566"/>
      <c r="S348" s="566"/>
      <c r="T348" s="566"/>
      <c r="U348" s="121"/>
      <c r="V348" s="122"/>
      <c r="W348" s="493"/>
      <c r="X348" s="494"/>
      <c r="Y348" s="522"/>
      <c r="Z348" s="495"/>
      <c r="AC348" s="491"/>
      <c r="AD348" s="478"/>
      <c r="AE348" s="394"/>
      <c r="AG348" s="497"/>
      <c r="AH348" s="496"/>
      <c r="AI348" s="496"/>
      <c r="AK348" s="152"/>
      <c r="AM348" s="497"/>
      <c r="AN348" s="243"/>
      <c r="AO348" s="496"/>
      <c r="AQ348" s="241"/>
      <c r="AR348" s="491"/>
      <c r="AT348" s="411"/>
    </row>
    <row r="349" spans="1:51" ht="43.5" customHeight="1" x14ac:dyDescent="0.3">
      <c r="A349" s="587"/>
      <c r="B349" s="592" t="s">
        <v>35</v>
      </c>
      <c r="C349" s="585" t="s">
        <v>698</v>
      </c>
      <c r="D349" s="588" t="s">
        <v>176</v>
      </c>
      <c r="E349" s="468" t="s">
        <v>381</v>
      </c>
      <c r="F349" s="583">
        <f>VLOOKUP(E349,'условия, ФОТ'!$A$14:$I$28,9, FALSE)</f>
        <v>326.24</v>
      </c>
      <c r="G349" s="583">
        <v>0.2</v>
      </c>
      <c r="H349" s="583">
        <f>ROUND(F349*G349,2)</f>
        <v>65.25</v>
      </c>
      <c r="I349" s="583">
        <f>ROUND(H349*$I$5,2)</f>
        <v>19.71</v>
      </c>
      <c r="J349" s="583">
        <f>H349+I349</f>
        <v>84.960000000000008</v>
      </c>
      <c r="K349" s="567"/>
      <c r="L349" s="568"/>
      <c r="M349" s="568"/>
      <c r="N349" s="568"/>
      <c r="O349" s="568"/>
      <c r="P349" s="583">
        <f>J349+O349</f>
        <v>84.960000000000008</v>
      </c>
      <c r="Q349" s="583">
        <f>ROUND(P349*$Q$5,2)</f>
        <v>65.84</v>
      </c>
      <c r="R349" s="584">
        <f>ROUND(T349/1.2,2)</f>
        <v>162.5</v>
      </c>
      <c r="S349" s="584">
        <f>ROUND(R349*$S$5,2)</f>
        <v>32.5</v>
      </c>
      <c r="T349" s="584">
        <f>ROUND((P349+Q349)*(1+Y349)*1.2,0)</f>
        <v>195</v>
      </c>
      <c r="U349" s="121">
        <v>122</v>
      </c>
      <c r="V349" s="122">
        <f t="shared" ref="V349" si="211">T349/U349*100-100</f>
        <v>59.836065573770497</v>
      </c>
      <c r="W349" s="501"/>
      <c r="X349" s="500"/>
      <c r="Y349" s="514">
        <v>7.6399999999999996E-2</v>
      </c>
      <c r="Z349" s="499" t="e">
        <f>#REF!*Y349</f>
        <v>#REF!</v>
      </c>
      <c r="AB349" s="404">
        <v>158.202</v>
      </c>
      <c r="AC349" s="498"/>
      <c r="AD349" s="478">
        <f>T349-U349</f>
        <v>73</v>
      </c>
      <c r="AE349" s="394"/>
      <c r="AG349" s="509"/>
      <c r="AH349" s="508"/>
      <c r="AI349" s="508"/>
      <c r="AK349" s="152"/>
      <c r="AM349" s="509"/>
      <c r="AN349" s="243"/>
      <c r="AO349" s="508"/>
      <c r="AQ349" s="241"/>
      <c r="AR349" s="498"/>
      <c r="AT349" s="411"/>
    </row>
    <row r="350" spans="1:51" ht="29.25" customHeight="1" x14ac:dyDescent="0.3">
      <c r="A350" s="587"/>
      <c r="B350" s="587" t="s">
        <v>35</v>
      </c>
      <c r="C350" s="585" t="s">
        <v>694</v>
      </c>
      <c r="D350" s="583" t="s">
        <v>317</v>
      </c>
      <c r="E350" s="588" t="s">
        <v>326</v>
      </c>
      <c r="F350" s="583">
        <f>VLOOKUP(E350,'условия, ФОТ'!$A$14:$I$28,9, FALSE)</f>
        <v>338.1</v>
      </c>
      <c r="G350" s="544">
        <v>0.15</v>
      </c>
      <c r="H350" s="583">
        <f t="shared" ref="H350" si="212">ROUND(F350*G350,2)</f>
        <v>50.72</v>
      </c>
      <c r="I350" s="583">
        <f t="shared" ref="I350" si="213">ROUND(H350*$I$5,2)</f>
        <v>15.32</v>
      </c>
      <c r="J350" s="583">
        <f t="shared" ref="J350" si="214">H350+I350</f>
        <v>66.039999999999992</v>
      </c>
      <c r="K350" s="589"/>
      <c r="L350" s="583"/>
      <c r="M350" s="583"/>
      <c r="N350" s="583"/>
      <c r="O350" s="583">
        <f>'расход ГСМ'!I6</f>
        <v>5.51</v>
      </c>
      <c r="P350" s="583">
        <f>J350+O350</f>
        <v>71.55</v>
      </c>
      <c r="Q350" s="583">
        <f t="shared" ref="Q350" si="215">ROUND(P350*$Q$5,2)</f>
        <v>55.45</v>
      </c>
      <c r="R350" s="584">
        <f>ROUND(T350/1.2,2)</f>
        <v>132.5</v>
      </c>
      <c r="S350" s="584">
        <f t="shared" ref="S350" si="216">ROUND(R350*$S$5,2)</f>
        <v>26.5</v>
      </c>
      <c r="T350" s="584">
        <f t="shared" ref="T350" si="217">ROUND((P350+Q350)*(1+Y350)*1.2,0)</f>
        <v>159</v>
      </c>
      <c r="U350" s="121">
        <v>110</v>
      </c>
      <c r="V350" s="122">
        <f t="shared" ref="V350" si="218">T350/U350*100-100</f>
        <v>44.545454545454561</v>
      </c>
      <c r="W350" s="501"/>
      <c r="X350" s="500"/>
      <c r="Y350" s="514">
        <v>4.2099999999999999E-2</v>
      </c>
      <c r="Z350" s="499" t="e">
        <f>#REF!*Y350</f>
        <v>#REF!</v>
      </c>
      <c r="AB350" s="404">
        <v>792.04399999999998</v>
      </c>
      <c r="AC350" s="498"/>
      <c r="AD350" s="478">
        <f>T350-U350</f>
        <v>49</v>
      </c>
      <c r="AE350" s="404"/>
      <c r="AF350" s="498"/>
      <c r="AG350" s="478"/>
      <c r="AH350" s="508"/>
      <c r="AI350" s="508"/>
      <c r="AK350" s="152"/>
      <c r="AM350" s="509"/>
      <c r="AN350" s="243"/>
      <c r="AO350" s="508"/>
      <c r="AQ350" s="241"/>
      <c r="AR350" s="498"/>
      <c r="AT350" s="411"/>
    </row>
    <row r="351" spans="1:51" s="83" customFormat="1" ht="18.75" customHeight="1" x14ac:dyDescent="0.3">
      <c r="A351" s="806" t="s">
        <v>434</v>
      </c>
      <c r="B351" s="807"/>
      <c r="C351" s="807"/>
      <c r="D351" s="807"/>
      <c r="E351" s="807"/>
      <c r="F351" s="807"/>
      <c r="G351" s="807"/>
      <c r="H351" s="807"/>
      <c r="I351" s="807"/>
      <c r="J351" s="807"/>
      <c r="K351" s="807"/>
      <c r="L351" s="807"/>
      <c r="M351" s="807"/>
      <c r="N351" s="807"/>
      <c r="O351" s="807"/>
      <c r="P351" s="807"/>
      <c r="Q351" s="807"/>
      <c r="R351" s="807"/>
      <c r="S351" s="807"/>
      <c r="T351" s="808"/>
      <c r="U351" s="121"/>
      <c r="V351" s="125"/>
      <c r="W351" s="392"/>
      <c r="X351" s="396"/>
      <c r="Y351" s="474"/>
      <c r="Z351" s="464"/>
      <c r="AA351" s="445"/>
      <c r="AB351" s="404"/>
      <c r="AC351" s="434"/>
      <c r="AD351" s="482"/>
      <c r="AE351" s="394"/>
      <c r="AG351" s="162"/>
      <c r="AH351" s="236"/>
      <c r="AI351" s="235"/>
      <c r="AK351" s="152"/>
      <c r="AL351" s="150"/>
      <c r="AM351" s="162"/>
      <c r="AN351" s="242"/>
      <c r="AO351" s="240"/>
      <c r="AQ351" s="241"/>
      <c r="AR351" s="382"/>
      <c r="AS351" s="388"/>
      <c r="AT351" s="411"/>
      <c r="AU351"/>
      <c r="AV351"/>
      <c r="AW351"/>
    </row>
    <row r="352" spans="1:51" x14ac:dyDescent="0.3">
      <c r="A352" s="596" t="s">
        <v>576</v>
      </c>
      <c r="B352" s="596" t="s">
        <v>312</v>
      </c>
      <c r="C352" s="597" t="s">
        <v>313</v>
      </c>
      <c r="D352" s="568" t="s">
        <v>211</v>
      </c>
      <c r="E352" s="598" t="s">
        <v>169</v>
      </c>
      <c r="F352" s="568">
        <f>VLOOKUP(E352,'условия, ФОТ'!$A$14:$I$28,9, FALSE)</f>
        <v>326.24</v>
      </c>
      <c r="G352" s="568">
        <v>0.5</v>
      </c>
      <c r="H352" s="568">
        <f t="shared" ref="H352:H356" si="219">ROUND(F352*G352,2)</f>
        <v>163.12</v>
      </c>
      <c r="I352" s="568">
        <f t="shared" ref="I352:I377" si="220">ROUND(H352*$I$5,2)</f>
        <v>49.26</v>
      </c>
      <c r="J352" s="568">
        <f t="shared" ref="J352:J356" si="221">H352+I352</f>
        <v>212.38</v>
      </c>
      <c r="K352" s="567"/>
      <c r="L352" s="568"/>
      <c r="M352" s="568"/>
      <c r="N352" s="568"/>
      <c r="O352" s="568"/>
      <c r="P352" s="568">
        <f t="shared" ref="P352:P353" si="222">J352+O352</f>
        <v>212.38</v>
      </c>
      <c r="Q352" s="568">
        <f t="shared" ref="Q352:Q377" si="223">ROUND(P352*$Q$5,2)</f>
        <v>164.59</v>
      </c>
      <c r="R352" s="600">
        <f>ROUND(T352/1.2,2)</f>
        <v>558.33000000000004</v>
      </c>
      <c r="S352" s="600">
        <f t="shared" ref="S352:S373" si="224">ROUND(R352*$S$5,2)</f>
        <v>111.67</v>
      </c>
      <c r="T352" s="600">
        <f>ROUND((P352+Q352)*(1+Y352)*1.2,0)</f>
        <v>670</v>
      </c>
      <c r="U352" s="121">
        <v>300</v>
      </c>
      <c r="V352" s="122">
        <f t="shared" ref="V352:V377" si="225">T352/U352*100-100</f>
        <v>123.33333333333334</v>
      </c>
      <c r="W352" s="479">
        <v>670</v>
      </c>
      <c r="X352" s="396">
        <f t="shared" ref="X352" si="226">ROUND((P352+Q352)*1.2,2)</f>
        <v>452.36</v>
      </c>
      <c r="Y352" s="474">
        <f>ROUND((W352/X352)*100%-100%,4)</f>
        <v>0.48110000000000003</v>
      </c>
      <c r="Z352" s="464" t="e">
        <f>#REF!*Y352</f>
        <v>#REF!</v>
      </c>
      <c r="AB352" s="404">
        <v>224.37800000000001</v>
      </c>
      <c r="AC352" s="434"/>
      <c r="AD352" s="478">
        <f>T352-U352</f>
        <v>370</v>
      </c>
      <c r="AE352" s="394"/>
      <c r="AG352" s="237">
        <v>-2.9399999999999999E-2</v>
      </c>
      <c r="AH352" s="236">
        <f t="shared" si="193"/>
        <v>1.0294000000000001</v>
      </c>
      <c r="AI352" s="235">
        <v>1.0640000000000001</v>
      </c>
      <c r="AK352" s="152">
        <f>ROUND(W352*AI352,2)</f>
        <v>712.88</v>
      </c>
      <c r="AM352" s="239">
        <v>1.034</v>
      </c>
      <c r="AN352" s="243">
        <v>-2.9399999999999999E-2</v>
      </c>
      <c r="AO352" s="240" t="e">
        <f>#REF!-AM352</f>
        <v>#REF!</v>
      </c>
      <c r="AQ352" s="241">
        <f>Y352-AN352</f>
        <v>0.51050000000000006</v>
      </c>
      <c r="AR352" s="382">
        <v>243</v>
      </c>
      <c r="AS352" s="388" t="b">
        <f>W352=AR352</f>
        <v>0</v>
      </c>
      <c r="AT352" s="411" t="e">
        <f>ROUND(W352/T352*100-100,2)+#REF!</f>
        <v>#REF!</v>
      </c>
      <c r="AW352">
        <f>ROUND(T352/W352,3)</f>
        <v>1</v>
      </c>
    </row>
    <row r="353" spans="1:49" x14ac:dyDescent="0.3">
      <c r="A353" s="587" t="s">
        <v>577</v>
      </c>
      <c r="B353" s="587" t="s">
        <v>312</v>
      </c>
      <c r="C353" s="585" t="s">
        <v>314</v>
      </c>
      <c r="D353" s="583" t="s">
        <v>211</v>
      </c>
      <c r="E353" s="588" t="s">
        <v>169</v>
      </c>
      <c r="F353" s="583">
        <f>VLOOKUP(E353,'условия, ФОТ'!$A$14:$I$28,9, FALSE)</f>
        <v>326.24</v>
      </c>
      <c r="G353" s="583">
        <v>0.2</v>
      </c>
      <c r="H353" s="583">
        <f t="shared" si="219"/>
        <v>65.25</v>
      </c>
      <c r="I353" s="583">
        <f t="shared" si="220"/>
        <v>19.71</v>
      </c>
      <c r="J353" s="583">
        <f t="shared" si="221"/>
        <v>84.960000000000008</v>
      </c>
      <c r="K353" s="589"/>
      <c r="L353" s="583"/>
      <c r="M353" s="583"/>
      <c r="N353" s="583"/>
      <c r="O353" s="583"/>
      <c r="P353" s="583">
        <f t="shared" si="222"/>
        <v>84.960000000000008</v>
      </c>
      <c r="Q353" s="583">
        <f t="shared" si="223"/>
        <v>65.84</v>
      </c>
      <c r="R353" s="584">
        <f>ROUND(T353/1.2,2)</f>
        <v>162.5</v>
      </c>
      <c r="S353" s="584">
        <f t="shared" si="224"/>
        <v>32.5</v>
      </c>
      <c r="T353" s="584">
        <f>ROUND((P353+Q353)*(1+Y353)*1.2,0)</f>
        <v>195</v>
      </c>
      <c r="U353" s="121">
        <v>120</v>
      </c>
      <c r="V353" s="122">
        <f t="shared" si="225"/>
        <v>62.5</v>
      </c>
      <c r="W353" s="479"/>
      <c r="X353" s="396"/>
      <c r="Y353" s="514">
        <v>7.6200000000000004E-2</v>
      </c>
      <c r="Z353" s="464" t="e">
        <f>#REF!*Y353</f>
        <v>#REF!</v>
      </c>
      <c r="AB353" s="404">
        <v>89.957999999999998</v>
      </c>
      <c r="AC353" s="434"/>
      <c r="AD353" s="478">
        <f>T353-U353</f>
        <v>75</v>
      </c>
      <c r="AE353" s="394"/>
      <c r="AG353" s="237">
        <v>-2.7199999999999998E-2</v>
      </c>
      <c r="AH353" s="236">
        <f t="shared" si="193"/>
        <v>1.0271999999999999</v>
      </c>
      <c r="AI353" s="235">
        <v>1.0620000000000001</v>
      </c>
      <c r="AK353" s="152">
        <f>ROUND(W353*AI353,2)</f>
        <v>0</v>
      </c>
      <c r="AM353" s="239">
        <v>1.034</v>
      </c>
      <c r="AN353" s="243">
        <v>-2.7199999999999998E-2</v>
      </c>
      <c r="AO353" s="240" t="e">
        <f>#REF!-AM353</f>
        <v>#REF!</v>
      </c>
      <c r="AQ353" s="241">
        <f>Y353-AN353</f>
        <v>0.10340000000000001</v>
      </c>
      <c r="AR353" s="382">
        <v>97</v>
      </c>
      <c r="AS353" s="388" t="b">
        <f>W353=AR353</f>
        <v>0</v>
      </c>
      <c r="AT353" s="411" t="e">
        <f>ROUND(W353/T353*100-100,2)+#REF!</f>
        <v>#REF!</v>
      </c>
      <c r="AW353" t="e">
        <f>ROUND(T353/W353,3)</f>
        <v>#DIV/0!</v>
      </c>
    </row>
    <row r="354" spans="1:49" ht="15.75" customHeight="1" x14ac:dyDescent="0.3">
      <c r="A354" s="804" t="s">
        <v>578</v>
      </c>
      <c r="B354" s="804" t="s">
        <v>315</v>
      </c>
      <c r="C354" s="800" t="s">
        <v>130</v>
      </c>
      <c r="D354" s="797" t="s">
        <v>211</v>
      </c>
      <c r="E354" s="588" t="s">
        <v>169</v>
      </c>
      <c r="F354" s="583">
        <f>VLOOKUP(E354,'условия, ФОТ'!$A$14:$I$28,9, FALSE)</f>
        <v>326.24</v>
      </c>
      <c r="G354" s="583">
        <v>0.3</v>
      </c>
      <c r="H354" s="797">
        <f>ROUND((F354*G354+F355*G355),2)</f>
        <v>234.68</v>
      </c>
      <c r="I354" s="797">
        <f>ROUND(H354*$I$5,2)</f>
        <v>70.87</v>
      </c>
      <c r="J354" s="797">
        <f>H354+I354</f>
        <v>305.55</v>
      </c>
      <c r="K354" s="589"/>
      <c r="L354" s="583"/>
      <c r="M354" s="583"/>
      <c r="N354" s="583"/>
      <c r="O354" s="583"/>
      <c r="P354" s="797">
        <f>J354+O354</f>
        <v>305.55</v>
      </c>
      <c r="Q354" s="797">
        <f>ROUND(P354*$Q$5,2)</f>
        <v>236.8</v>
      </c>
      <c r="R354" s="798">
        <f>ROUND(T354/1.2,2)</f>
        <v>642.5</v>
      </c>
      <c r="S354" s="798">
        <f t="shared" si="224"/>
        <v>128.5</v>
      </c>
      <c r="T354" s="798">
        <f>ROUND((P354+Q354)*(1+Y354)*1.2,0)</f>
        <v>771</v>
      </c>
      <c r="U354" s="794">
        <v>430</v>
      </c>
      <c r="V354" s="793">
        <f t="shared" si="225"/>
        <v>79.302325581395337</v>
      </c>
      <c r="W354" s="787"/>
      <c r="X354" s="835"/>
      <c r="Y354" s="770">
        <v>0.18479999999999999</v>
      </c>
      <c r="Z354" s="776" t="e">
        <f>#REF!*Y354</f>
        <v>#REF!</v>
      </c>
      <c r="AB354" s="404">
        <v>331.91399999999999</v>
      </c>
      <c r="AC354" s="741"/>
      <c r="AD354" s="763">
        <f>T354-U354</f>
        <v>341</v>
      </c>
      <c r="AE354" s="394"/>
      <c r="AG354" s="759">
        <v>0.1072</v>
      </c>
      <c r="AH354" s="751">
        <f t="shared" si="193"/>
        <v>0.1072</v>
      </c>
      <c r="AI354" s="751">
        <v>0</v>
      </c>
      <c r="AK354" s="879"/>
      <c r="AM354" s="759">
        <v>1.034</v>
      </c>
      <c r="AN354" s="877">
        <v>0.1072</v>
      </c>
      <c r="AO354" s="751" t="e">
        <f>#REF!-AM354</f>
        <v>#REF!</v>
      </c>
      <c r="AQ354" s="747">
        <f>Y354-AN354</f>
        <v>7.7599999999999988E-2</v>
      </c>
      <c r="AR354" s="741">
        <v>332</v>
      </c>
      <c r="AS354" s="388" t="b">
        <f>W354=AR354</f>
        <v>0</v>
      </c>
      <c r="AT354" s="411" t="e">
        <f>ROUND(W354/T354*100-100,2)+#REF!</f>
        <v>#REF!</v>
      </c>
      <c r="AW354" t="e">
        <f>ROUND(T354/W354,3)</f>
        <v>#DIV/0!</v>
      </c>
    </row>
    <row r="355" spans="1:49" ht="17.25" customHeight="1" x14ac:dyDescent="0.3">
      <c r="A355" s="804"/>
      <c r="B355" s="804"/>
      <c r="C355" s="800"/>
      <c r="D355" s="797"/>
      <c r="E355" s="588" t="s">
        <v>174</v>
      </c>
      <c r="F355" s="583">
        <f>VLOOKUP(E355,'условия, ФОТ'!$A$14:$I$28,9, FALSE)</f>
        <v>456.01</v>
      </c>
      <c r="G355" s="583">
        <v>0.3</v>
      </c>
      <c r="H355" s="797">
        <f t="shared" ref="H355" si="227">ROUND(F355*G355,2)</f>
        <v>136.80000000000001</v>
      </c>
      <c r="I355" s="797">
        <f t="shared" ref="I355" si="228">ROUND(H355*$I$5,2)</f>
        <v>41.31</v>
      </c>
      <c r="J355" s="797">
        <f t="shared" ref="J355" si="229">H355+I355</f>
        <v>178.11</v>
      </c>
      <c r="K355" s="589"/>
      <c r="L355" s="583"/>
      <c r="M355" s="583"/>
      <c r="N355" s="583"/>
      <c r="O355" s="583"/>
      <c r="P355" s="797"/>
      <c r="Q355" s="797"/>
      <c r="R355" s="798">
        <f t="shared" ref="R355" si="230">ROUND(T355/1.18,2)</f>
        <v>0</v>
      </c>
      <c r="S355" s="798">
        <f t="shared" si="224"/>
        <v>0</v>
      </c>
      <c r="T355" s="798">
        <f>ROUND((P355+Q355)*(1+$R$5)*1.18,0)</f>
        <v>0</v>
      </c>
      <c r="U355" s="795">
        <v>0</v>
      </c>
      <c r="V355" s="793"/>
      <c r="W355" s="788"/>
      <c r="X355" s="836"/>
      <c r="Y355" s="770"/>
      <c r="Z355" s="777"/>
      <c r="AC355" s="741"/>
      <c r="AD355" s="764"/>
      <c r="AE355" s="394"/>
      <c r="AG355" s="760"/>
      <c r="AH355" s="752"/>
      <c r="AI355" s="752"/>
      <c r="AK355" s="880"/>
      <c r="AM355" s="760"/>
      <c r="AN355" s="878"/>
      <c r="AO355" s="752"/>
      <c r="AQ355" s="748"/>
      <c r="AR355" s="741"/>
      <c r="AS355" s="388" t="b">
        <f>W355=AR355</f>
        <v>1</v>
      </c>
      <c r="AT355" s="411"/>
    </row>
    <row r="356" spans="1:49" ht="31.7" customHeight="1" x14ac:dyDescent="0.3">
      <c r="A356" s="587" t="s">
        <v>579</v>
      </c>
      <c r="B356" s="587" t="s">
        <v>316</v>
      </c>
      <c r="C356" s="585" t="s">
        <v>131</v>
      </c>
      <c r="D356" s="583" t="s">
        <v>211</v>
      </c>
      <c r="E356" s="588" t="s">
        <v>174</v>
      </c>
      <c r="F356" s="583">
        <f>VLOOKUP(E356,'условия, ФОТ'!$A$14:$I$28,9, FALSE)</f>
        <v>456.01</v>
      </c>
      <c r="G356" s="583">
        <v>1.1000000000000001</v>
      </c>
      <c r="H356" s="583">
        <f t="shared" si="219"/>
        <v>501.61</v>
      </c>
      <c r="I356" s="583">
        <f t="shared" si="220"/>
        <v>151.49</v>
      </c>
      <c r="J356" s="583">
        <f t="shared" si="221"/>
        <v>653.1</v>
      </c>
      <c r="K356" s="589"/>
      <c r="L356" s="583"/>
      <c r="M356" s="583"/>
      <c r="N356" s="583"/>
      <c r="O356" s="583">
        <f>SUM(O357:O359)</f>
        <v>201.47</v>
      </c>
      <c r="P356" s="583">
        <f>J356+O356</f>
        <v>854.57</v>
      </c>
      <c r="Q356" s="583">
        <f t="shared" si="223"/>
        <v>662.29</v>
      </c>
      <c r="R356" s="584">
        <f>ROUND(T356/1.2,2)</f>
        <v>1925.83</v>
      </c>
      <c r="S356" s="584">
        <f t="shared" si="224"/>
        <v>385.17</v>
      </c>
      <c r="T356" s="584">
        <f>ROUND((P356+Q356)*(1+Y356)*1.2,0)</f>
        <v>2311</v>
      </c>
      <c r="U356" s="121">
        <v>1279</v>
      </c>
      <c r="V356" s="122">
        <f t="shared" si="225"/>
        <v>80.688037529319786</v>
      </c>
      <c r="W356" s="479"/>
      <c r="X356" s="396"/>
      <c r="Y356" s="514">
        <v>0.26960000000000001</v>
      </c>
      <c r="Z356" s="464" t="e">
        <f>#REF!*Y356</f>
        <v>#REF!</v>
      </c>
      <c r="AB356" s="404">
        <v>1025.7280000000001</v>
      </c>
      <c r="AC356" s="434"/>
      <c r="AD356" s="478">
        <f>T356-U356</f>
        <v>1032</v>
      </c>
      <c r="AE356" s="394"/>
      <c r="AG356" s="237">
        <v>0.2412</v>
      </c>
      <c r="AH356" s="236">
        <f t="shared" si="193"/>
        <v>0.2412</v>
      </c>
      <c r="AI356" s="235">
        <v>0</v>
      </c>
      <c r="AK356" s="152"/>
      <c r="AM356" s="239">
        <v>1.034</v>
      </c>
      <c r="AN356" s="243">
        <v>0.2412</v>
      </c>
      <c r="AO356" s="240" t="e">
        <f>#REF!-AM356</f>
        <v>#REF!</v>
      </c>
      <c r="AQ356" s="241">
        <f>Y356-AN356</f>
        <v>2.8400000000000009E-2</v>
      </c>
      <c r="AR356" s="382">
        <v>1026</v>
      </c>
      <c r="AS356" s="388" t="b">
        <f>W356=AR356</f>
        <v>0</v>
      </c>
      <c r="AT356" s="411" t="e">
        <f>ROUND(W356/T356*100-100,2)+#REF!</f>
        <v>#REF!</v>
      </c>
      <c r="AW356" t="e">
        <f>ROUND(T356/W356,3)</f>
        <v>#DIV/0!</v>
      </c>
    </row>
    <row r="357" spans="1:49" outlineLevel="1" x14ac:dyDescent="0.3">
      <c r="A357" s="587"/>
      <c r="B357" s="587"/>
      <c r="C357" s="585"/>
      <c r="D357" s="583"/>
      <c r="E357" s="588"/>
      <c r="F357" s="583"/>
      <c r="G357" s="583"/>
      <c r="H357" s="583"/>
      <c r="I357" s="583"/>
      <c r="J357" s="540" t="s">
        <v>385</v>
      </c>
      <c r="K357" s="549" t="s">
        <v>403</v>
      </c>
      <c r="L357" s="591" t="str">
        <f>VLOOKUP(K357,материалы!$A$5:$G$31,5, FALSE)</f>
        <v>кг</v>
      </c>
      <c r="M357" s="583">
        <f>VLOOKUP(K357,материалы!$A$5:$G$34,7, FALSE)</f>
        <v>720</v>
      </c>
      <c r="N357" s="583">
        <v>0.1</v>
      </c>
      <c r="O357" s="583">
        <f>ROUND(M357*N357,2)</f>
        <v>72</v>
      </c>
      <c r="P357" s="583"/>
      <c r="Q357" s="583"/>
      <c r="R357" s="584"/>
      <c r="S357" s="584"/>
      <c r="T357" s="584"/>
      <c r="U357" s="121"/>
      <c r="V357" s="122"/>
      <c r="W357" s="392"/>
      <c r="X357" s="396"/>
      <c r="Y357" s="474"/>
      <c r="Z357" s="464"/>
      <c r="AC357" s="434"/>
      <c r="AD357" s="482"/>
      <c r="AE357" s="394"/>
      <c r="AG357" s="237"/>
      <c r="AH357" s="236"/>
      <c r="AI357" s="235"/>
      <c r="AK357" s="152"/>
      <c r="AM357" s="239"/>
      <c r="AN357" s="243"/>
      <c r="AO357" s="240"/>
      <c r="AQ357" s="241"/>
      <c r="AR357" s="382"/>
      <c r="AT357" s="411"/>
    </row>
    <row r="358" spans="1:49" outlineLevel="1" x14ac:dyDescent="0.3">
      <c r="A358" s="587"/>
      <c r="B358" s="587"/>
      <c r="C358" s="585"/>
      <c r="D358" s="583"/>
      <c r="E358" s="588"/>
      <c r="F358" s="583"/>
      <c r="G358" s="583"/>
      <c r="H358" s="583"/>
      <c r="I358" s="583"/>
      <c r="J358" s="583"/>
      <c r="K358" s="549" t="s">
        <v>402</v>
      </c>
      <c r="L358" s="591" t="str">
        <f>VLOOKUP(K358,материалы!$A$5:$G$31,5, FALSE)</f>
        <v>кг</v>
      </c>
      <c r="M358" s="583">
        <f>VLOOKUP(K358,материалы!$A$5:$G$34,7, FALSE)</f>
        <v>2400</v>
      </c>
      <c r="N358" s="583">
        <v>5.1999999999999998E-2</v>
      </c>
      <c r="O358" s="583">
        <f t="shared" ref="O358:O359" si="231">ROUND(M358*N358,2)</f>
        <v>124.8</v>
      </c>
      <c r="P358" s="583"/>
      <c r="Q358" s="583"/>
      <c r="R358" s="584"/>
      <c r="S358" s="584"/>
      <c r="T358" s="584"/>
      <c r="U358" s="121"/>
      <c r="V358" s="122"/>
      <c r="W358" s="392"/>
      <c r="X358" s="396"/>
      <c r="Y358" s="474"/>
      <c r="Z358" s="464"/>
      <c r="AC358" s="434"/>
      <c r="AD358" s="482"/>
      <c r="AE358" s="394"/>
      <c r="AG358" s="237"/>
      <c r="AH358" s="236"/>
      <c r="AI358" s="235"/>
      <c r="AK358" s="152"/>
      <c r="AM358" s="239"/>
      <c r="AN358" s="243"/>
      <c r="AO358" s="240"/>
      <c r="AQ358" s="241"/>
      <c r="AR358" s="382"/>
      <c r="AT358" s="411"/>
    </row>
    <row r="359" spans="1:49" outlineLevel="1" x14ac:dyDescent="0.3">
      <c r="A359" s="587"/>
      <c r="B359" s="587"/>
      <c r="C359" s="585"/>
      <c r="D359" s="583"/>
      <c r="E359" s="588"/>
      <c r="F359" s="583"/>
      <c r="G359" s="583"/>
      <c r="H359" s="583"/>
      <c r="I359" s="583"/>
      <c r="J359" s="583"/>
      <c r="K359" s="549" t="s">
        <v>330</v>
      </c>
      <c r="L359" s="591" t="str">
        <f>VLOOKUP(K359,материалы!$A$5:$G$31,5, FALSE)</f>
        <v>м3</v>
      </c>
      <c r="M359" s="583">
        <f>VLOOKUP(K359,материалы!$A$5:$G$34,7, FALSE)</f>
        <v>116.67</v>
      </c>
      <c r="N359" s="583">
        <v>0.04</v>
      </c>
      <c r="O359" s="583">
        <f t="shared" si="231"/>
        <v>4.67</v>
      </c>
      <c r="P359" s="583"/>
      <c r="Q359" s="583"/>
      <c r="R359" s="584"/>
      <c r="S359" s="584"/>
      <c r="T359" s="584"/>
      <c r="U359" s="121"/>
      <c r="V359" s="122"/>
      <c r="W359" s="392"/>
      <c r="X359" s="396"/>
      <c r="Y359" s="474"/>
      <c r="Z359" s="464"/>
      <c r="AC359" s="434"/>
      <c r="AD359" s="482"/>
      <c r="AE359" s="394"/>
      <c r="AG359" s="237"/>
      <c r="AH359" s="236"/>
      <c r="AI359" s="235"/>
      <c r="AK359" s="152"/>
      <c r="AM359" s="239"/>
      <c r="AN359" s="243"/>
      <c r="AO359" s="240"/>
      <c r="AQ359" s="241"/>
      <c r="AR359" s="382"/>
      <c r="AT359" s="411"/>
    </row>
    <row r="360" spans="1:49" s="83" customFormat="1" ht="18.75" customHeight="1" x14ac:dyDescent="0.3">
      <c r="A360" s="806" t="s">
        <v>631</v>
      </c>
      <c r="B360" s="807"/>
      <c r="C360" s="807"/>
      <c r="D360" s="807"/>
      <c r="E360" s="807"/>
      <c r="F360" s="807"/>
      <c r="G360" s="807"/>
      <c r="H360" s="807"/>
      <c r="I360" s="807"/>
      <c r="J360" s="807"/>
      <c r="K360" s="807"/>
      <c r="L360" s="807"/>
      <c r="M360" s="807"/>
      <c r="N360" s="807"/>
      <c r="O360" s="807"/>
      <c r="P360" s="807"/>
      <c r="Q360" s="807"/>
      <c r="R360" s="807"/>
      <c r="S360" s="807"/>
      <c r="T360" s="808"/>
      <c r="U360" s="121"/>
      <c r="V360" s="125"/>
      <c r="W360" s="399"/>
      <c r="X360" s="396"/>
      <c r="Y360" s="474"/>
      <c r="Z360" s="464"/>
      <c r="AA360" s="445"/>
      <c r="AB360" s="404"/>
      <c r="AC360" s="391"/>
      <c r="AD360" s="482"/>
      <c r="AE360" s="394"/>
      <c r="AG360" s="162"/>
      <c r="AH360" s="236"/>
      <c r="AI360" s="235"/>
      <c r="AK360" s="152"/>
      <c r="AL360" s="150"/>
      <c r="AM360" s="162"/>
      <c r="AN360" s="242"/>
      <c r="AO360" s="240"/>
      <c r="AQ360" s="241"/>
      <c r="AR360" s="391"/>
      <c r="AS360" s="388"/>
      <c r="AT360" s="411"/>
      <c r="AU360"/>
      <c r="AV360"/>
      <c r="AW360"/>
    </row>
    <row r="361" spans="1:49" ht="25.5" x14ac:dyDescent="0.3">
      <c r="A361" s="587" t="s">
        <v>580</v>
      </c>
      <c r="B361" s="587" t="s">
        <v>35</v>
      </c>
      <c r="C361" s="585" t="s">
        <v>133</v>
      </c>
      <c r="D361" s="583" t="s">
        <v>317</v>
      </c>
      <c r="E361" s="588" t="s">
        <v>326</v>
      </c>
      <c r="F361" s="583">
        <f>VLOOKUP(E361,'условия, ФОТ'!$A$14:$I$28,9, FALSE)</f>
        <v>338.1</v>
      </c>
      <c r="G361" s="569">
        <v>1</v>
      </c>
      <c r="H361" s="583">
        <f t="shared" ref="H361" si="232">ROUND(F361*G361,2)</f>
        <v>338.1</v>
      </c>
      <c r="I361" s="583">
        <f t="shared" si="220"/>
        <v>102.11</v>
      </c>
      <c r="J361" s="583">
        <f t="shared" ref="J361" si="233">H361+I361</f>
        <v>440.21000000000004</v>
      </c>
      <c r="K361" s="589"/>
      <c r="L361" s="583"/>
      <c r="M361" s="583"/>
      <c r="N361" s="583"/>
      <c r="O361" s="583">
        <f>'расход ГСМ'!J6</f>
        <v>179.05</v>
      </c>
      <c r="P361" s="583">
        <f>J361+O361</f>
        <v>619.26</v>
      </c>
      <c r="Q361" s="583">
        <f t="shared" si="223"/>
        <v>479.93</v>
      </c>
      <c r="R361" s="584">
        <f>ROUND(T361/1.2,2)</f>
        <v>1145.83</v>
      </c>
      <c r="S361" s="584">
        <f t="shared" si="224"/>
        <v>229.17</v>
      </c>
      <c r="T361" s="584">
        <f t="shared" ref="T361:T370" si="234">ROUND((P361+Q361)*(1+Y361)*1.2,0)</f>
        <v>1375</v>
      </c>
      <c r="U361" s="121">
        <v>1032</v>
      </c>
      <c r="V361" s="122">
        <f t="shared" si="225"/>
        <v>33.236434108527135</v>
      </c>
      <c r="W361" s="479"/>
      <c r="X361" s="396"/>
      <c r="Y361" s="514">
        <v>4.2099999999999999E-2</v>
      </c>
      <c r="Z361" s="464" t="e">
        <f>#REF!*Y361</f>
        <v>#REF!</v>
      </c>
      <c r="AB361" s="404">
        <v>792.04399999999998</v>
      </c>
      <c r="AC361" s="434"/>
      <c r="AD361" s="478">
        <f t="shared" ref="AD361:AD370" si="235">T361-U361</f>
        <v>343</v>
      </c>
      <c r="AE361" s="394"/>
      <c r="AG361" s="237">
        <v>7.2900000000000006E-2</v>
      </c>
      <c r="AH361" s="236">
        <f t="shared" si="193"/>
        <v>7.2900000000000006E-2</v>
      </c>
      <c r="AI361" s="235">
        <v>0</v>
      </c>
      <c r="AK361" s="152"/>
      <c r="AM361" s="239">
        <v>1.034</v>
      </c>
      <c r="AN361" s="243">
        <v>7.2900000000000006E-2</v>
      </c>
      <c r="AO361" s="240" t="e">
        <f>#REF!-AM361</f>
        <v>#REF!</v>
      </c>
      <c r="AQ361" s="241">
        <f t="shared" ref="AQ361:AQ370" si="236">Y361-AN361</f>
        <v>-3.0800000000000008E-2</v>
      </c>
      <c r="AR361" s="382">
        <v>792</v>
      </c>
      <c r="AS361" s="388" t="b">
        <f t="shared" ref="AS361:AS377" si="237">W361=AR361</f>
        <v>0</v>
      </c>
      <c r="AT361" s="413" t="e">
        <f>ROUND(W361/T361*100-100,2)+#REF!</f>
        <v>#REF!</v>
      </c>
      <c r="AW361" s="142" t="e">
        <f t="shared" ref="AW361:AW370" si="238">ROUND(T361/W361,3)</f>
        <v>#DIV/0!</v>
      </c>
    </row>
    <row r="362" spans="1:49" ht="25.5" x14ac:dyDescent="0.3">
      <c r="A362" s="587" t="s">
        <v>581</v>
      </c>
      <c r="B362" s="587" t="s">
        <v>35</v>
      </c>
      <c r="C362" s="585" t="s">
        <v>133</v>
      </c>
      <c r="D362" s="583" t="s">
        <v>318</v>
      </c>
      <c r="E362" s="588" t="s">
        <v>326</v>
      </c>
      <c r="F362" s="583">
        <f>VLOOKUP(E362,'условия, ФОТ'!$A$14:$I$28,9, FALSE)</f>
        <v>338.1</v>
      </c>
      <c r="G362" s="583">
        <v>0.02</v>
      </c>
      <c r="H362" s="583">
        <f t="shared" ref="H362:H377" si="239">ROUND(F362*G362,2)</f>
        <v>6.76</v>
      </c>
      <c r="I362" s="583">
        <f t="shared" si="220"/>
        <v>2.04</v>
      </c>
      <c r="J362" s="583">
        <f t="shared" ref="J362:J377" si="240">H362+I362</f>
        <v>8.8000000000000007</v>
      </c>
      <c r="K362" s="589"/>
      <c r="L362" s="583"/>
      <c r="M362" s="583"/>
      <c r="N362" s="583"/>
      <c r="O362" s="583">
        <f>'расход ГСМ'!K6</f>
        <v>3.65</v>
      </c>
      <c r="P362" s="583">
        <f>J362+O362</f>
        <v>12.450000000000001</v>
      </c>
      <c r="Q362" s="583">
        <f t="shared" si="223"/>
        <v>9.65</v>
      </c>
      <c r="R362" s="584">
        <f t="shared" ref="R362:R368" si="241">ROUND(T362/1.2,2)</f>
        <v>23.33</v>
      </c>
      <c r="S362" s="584">
        <f t="shared" si="224"/>
        <v>4.67</v>
      </c>
      <c r="T362" s="584">
        <f t="shared" si="234"/>
        <v>28</v>
      </c>
      <c r="U362" s="121">
        <v>21</v>
      </c>
      <c r="V362" s="122">
        <f t="shared" si="225"/>
        <v>33.333333333333314</v>
      </c>
      <c r="W362" s="479"/>
      <c r="X362" s="396"/>
      <c r="Y362" s="514">
        <v>4.1399999999999999E-2</v>
      </c>
      <c r="Z362" s="464" t="e">
        <f>#REF!*Y362</f>
        <v>#REF!</v>
      </c>
      <c r="AB362" s="404">
        <v>15.51</v>
      </c>
      <c r="AC362" s="434"/>
      <c r="AD362" s="478">
        <f t="shared" si="235"/>
        <v>7</v>
      </c>
      <c r="AE362" s="394"/>
      <c r="AG362" s="237">
        <v>4.6600000000000003E-2</v>
      </c>
      <c r="AH362" s="236">
        <f t="shared" si="193"/>
        <v>4.6600000000000003E-2</v>
      </c>
      <c r="AI362" s="235">
        <v>0</v>
      </c>
      <c r="AK362" s="152"/>
      <c r="AM362" s="239">
        <v>1.034</v>
      </c>
      <c r="AN362" s="243">
        <v>4.6600000000000003E-2</v>
      </c>
      <c r="AO362" s="240" t="e">
        <f>#REF!-AM362</f>
        <v>#REF!</v>
      </c>
      <c r="AQ362" s="241">
        <f t="shared" si="236"/>
        <v>-5.2000000000000032E-3</v>
      </c>
      <c r="AR362" s="382">
        <v>16</v>
      </c>
      <c r="AS362" s="388" t="b">
        <f t="shared" si="237"/>
        <v>0</v>
      </c>
      <c r="AT362" s="413" t="e">
        <f>ROUND(W362/T362*100-100,2)+#REF!</f>
        <v>#REF!</v>
      </c>
      <c r="AW362" s="142" t="e">
        <f t="shared" si="238"/>
        <v>#DIV/0!</v>
      </c>
    </row>
    <row r="363" spans="1:49" ht="25.5" x14ac:dyDescent="0.3">
      <c r="A363" s="587" t="s">
        <v>583</v>
      </c>
      <c r="B363" s="587" t="s">
        <v>35</v>
      </c>
      <c r="C363" s="585" t="s">
        <v>132</v>
      </c>
      <c r="D363" s="583" t="s">
        <v>317</v>
      </c>
      <c r="E363" s="588" t="s">
        <v>327</v>
      </c>
      <c r="F363" s="583">
        <f>VLOOKUP(E363,'условия, ФОТ'!$A$14:$I$28,9, FALSE)</f>
        <v>400.38</v>
      </c>
      <c r="G363" s="569">
        <v>1</v>
      </c>
      <c r="H363" s="583">
        <f t="shared" si="239"/>
        <v>400.38</v>
      </c>
      <c r="I363" s="583">
        <f t="shared" si="220"/>
        <v>120.91</v>
      </c>
      <c r="J363" s="583">
        <f t="shared" si="240"/>
        <v>521.29</v>
      </c>
      <c r="K363" s="589"/>
      <c r="L363" s="583"/>
      <c r="M363" s="583"/>
      <c r="N363" s="583"/>
      <c r="O363" s="583">
        <f>'расход ГСМ'!J8</f>
        <v>265.16000000000003</v>
      </c>
      <c r="P363" s="583">
        <f t="shared" ref="P363:P377" si="242">J363+O363</f>
        <v>786.45</v>
      </c>
      <c r="Q363" s="583">
        <f t="shared" si="223"/>
        <v>609.5</v>
      </c>
      <c r="R363" s="584">
        <f t="shared" si="241"/>
        <v>1454.17</v>
      </c>
      <c r="S363" s="584">
        <f t="shared" si="224"/>
        <v>290.83</v>
      </c>
      <c r="T363" s="584">
        <f t="shared" si="234"/>
        <v>1745</v>
      </c>
      <c r="U363" s="121">
        <v>1237</v>
      </c>
      <c r="V363" s="122">
        <f t="shared" si="225"/>
        <v>41.067097817299924</v>
      </c>
      <c r="W363" s="479"/>
      <c r="X363" s="396"/>
      <c r="Y363" s="514">
        <v>4.1599999999999998E-2</v>
      </c>
      <c r="Z363" s="464" t="e">
        <f>#REF!*Y363</f>
        <v>#REF!</v>
      </c>
      <c r="AB363" s="404">
        <v>897.51199999999994</v>
      </c>
      <c r="AC363" s="434"/>
      <c r="AD363" s="478">
        <f t="shared" si="235"/>
        <v>508</v>
      </c>
      <c r="AE363" s="394"/>
      <c r="AG363" s="237">
        <v>9.4E-2</v>
      </c>
      <c r="AH363" s="236">
        <f t="shared" si="193"/>
        <v>9.4E-2</v>
      </c>
      <c r="AI363" s="235">
        <v>0</v>
      </c>
      <c r="AK363" s="152"/>
      <c r="AM363" s="239">
        <v>1.034</v>
      </c>
      <c r="AN363" s="243">
        <v>9.4E-2</v>
      </c>
      <c r="AO363" s="240" t="e">
        <f>#REF!-AM363</f>
        <v>#REF!</v>
      </c>
      <c r="AQ363" s="241">
        <f t="shared" si="236"/>
        <v>-5.2400000000000002E-2</v>
      </c>
      <c r="AR363" s="382">
        <v>898</v>
      </c>
      <c r="AS363" s="388" t="b">
        <f t="shared" si="237"/>
        <v>0</v>
      </c>
      <c r="AT363" s="413" t="e">
        <f>ROUND(W363/T363*100-100,2)+#REF!</f>
        <v>#REF!</v>
      </c>
      <c r="AW363" s="142" t="e">
        <f t="shared" si="238"/>
        <v>#DIV/0!</v>
      </c>
    </row>
    <row r="364" spans="1:49" ht="25.5" x14ac:dyDescent="0.3">
      <c r="A364" s="587" t="s">
        <v>584</v>
      </c>
      <c r="B364" s="587" t="s">
        <v>35</v>
      </c>
      <c r="C364" s="585" t="s">
        <v>132</v>
      </c>
      <c r="D364" s="583" t="s">
        <v>318</v>
      </c>
      <c r="E364" s="588" t="s">
        <v>327</v>
      </c>
      <c r="F364" s="583">
        <f>VLOOKUP(E364,'условия, ФОТ'!$A$14:$I$28,9, FALSE)</f>
        <v>400.38</v>
      </c>
      <c r="G364" s="583">
        <v>0.02</v>
      </c>
      <c r="H364" s="583">
        <f t="shared" si="239"/>
        <v>8.01</v>
      </c>
      <c r="I364" s="583">
        <f t="shared" si="220"/>
        <v>2.42</v>
      </c>
      <c r="J364" s="583">
        <f t="shared" si="240"/>
        <v>10.43</v>
      </c>
      <c r="K364" s="589"/>
      <c r="L364" s="583"/>
      <c r="M364" s="583"/>
      <c r="N364" s="583"/>
      <c r="O364" s="583">
        <f>'расход ГСМ'!K8</f>
        <v>5.41</v>
      </c>
      <c r="P364" s="583">
        <f t="shared" si="242"/>
        <v>15.84</v>
      </c>
      <c r="Q364" s="583">
        <f t="shared" si="223"/>
        <v>12.28</v>
      </c>
      <c r="R364" s="584">
        <f t="shared" si="241"/>
        <v>29.17</v>
      </c>
      <c r="S364" s="584">
        <f t="shared" si="224"/>
        <v>5.83</v>
      </c>
      <c r="T364" s="584">
        <f t="shared" si="234"/>
        <v>35</v>
      </c>
      <c r="U364" s="121">
        <v>25</v>
      </c>
      <c r="V364" s="122">
        <f t="shared" si="225"/>
        <v>40</v>
      </c>
      <c r="W364" s="479"/>
      <c r="X364" s="396"/>
      <c r="Y364" s="514">
        <v>4.2099999999999999E-2</v>
      </c>
      <c r="Z364" s="464" t="e">
        <f>#REF!*Y364</f>
        <v>#REF!</v>
      </c>
      <c r="AB364" s="404">
        <v>17.577999999999999</v>
      </c>
      <c r="AC364" s="434"/>
      <c r="AD364" s="478">
        <f t="shared" si="235"/>
        <v>10</v>
      </c>
      <c r="AE364" s="394"/>
      <c r="AG364" s="237">
        <v>6.5500000000000003E-2</v>
      </c>
      <c r="AH364" s="236">
        <f t="shared" si="193"/>
        <v>6.5500000000000003E-2</v>
      </c>
      <c r="AI364" s="235">
        <v>0</v>
      </c>
      <c r="AK364" s="152"/>
      <c r="AM364" s="239">
        <v>1.034</v>
      </c>
      <c r="AN364" s="243">
        <v>6.5500000000000003E-2</v>
      </c>
      <c r="AO364" s="240" t="e">
        <f>#REF!-AM364</f>
        <v>#REF!</v>
      </c>
      <c r="AQ364" s="241">
        <f t="shared" si="236"/>
        <v>-2.3400000000000004E-2</v>
      </c>
      <c r="AR364" s="382">
        <v>18</v>
      </c>
      <c r="AS364" s="388" t="b">
        <f t="shared" si="237"/>
        <v>0</v>
      </c>
      <c r="AT364" s="413" t="e">
        <f>ROUND(W364/T364*100-100,2)+#REF!</f>
        <v>#REF!</v>
      </c>
      <c r="AW364" s="142" t="e">
        <f t="shared" si="238"/>
        <v>#DIV/0!</v>
      </c>
    </row>
    <row r="365" spans="1:49" ht="29.25" customHeight="1" x14ac:dyDescent="0.3">
      <c r="A365" s="587" t="s">
        <v>585</v>
      </c>
      <c r="B365" s="587" t="s">
        <v>319</v>
      </c>
      <c r="C365" s="585" t="s">
        <v>134</v>
      </c>
      <c r="D365" s="583" t="s">
        <v>20</v>
      </c>
      <c r="E365" s="583" t="s">
        <v>37</v>
      </c>
      <c r="F365" s="583">
        <f>VLOOKUP(E365,'условия, ФОТ'!$A$14:$I$28,9, FALSE)</f>
        <v>463.57</v>
      </c>
      <c r="G365" s="583">
        <v>0.4</v>
      </c>
      <c r="H365" s="583">
        <f t="shared" si="239"/>
        <v>185.43</v>
      </c>
      <c r="I365" s="583">
        <f t="shared" si="220"/>
        <v>56</v>
      </c>
      <c r="J365" s="583">
        <f t="shared" si="240"/>
        <v>241.43</v>
      </c>
      <c r="K365" s="589"/>
      <c r="L365" s="583"/>
      <c r="M365" s="583"/>
      <c r="N365" s="583"/>
      <c r="O365" s="583"/>
      <c r="P365" s="583">
        <f t="shared" si="242"/>
        <v>241.43</v>
      </c>
      <c r="Q365" s="583">
        <f t="shared" si="223"/>
        <v>187.11</v>
      </c>
      <c r="R365" s="584">
        <f t="shared" si="241"/>
        <v>494.17</v>
      </c>
      <c r="S365" s="584">
        <f t="shared" si="224"/>
        <v>98.83</v>
      </c>
      <c r="T365" s="584">
        <f t="shared" si="234"/>
        <v>593</v>
      </c>
      <c r="U365" s="121">
        <v>298</v>
      </c>
      <c r="V365" s="122">
        <f t="shared" si="225"/>
        <v>98.993288590604038</v>
      </c>
      <c r="W365" s="479"/>
      <c r="X365" s="396"/>
      <c r="Y365" s="514">
        <v>0.154</v>
      </c>
      <c r="Z365" s="464" t="e">
        <f>#REF!*Y365</f>
        <v>#REF!</v>
      </c>
      <c r="AB365" s="404">
        <v>207.834</v>
      </c>
      <c r="AC365" s="434"/>
      <c r="AD365" s="478">
        <f t="shared" si="235"/>
        <v>295</v>
      </c>
      <c r="AE365" s="394"/>
      <c r="AG365" s="237">
        <v>0.1236</v>
      </c>
      <c r="AH365" s="236">
        <f t="shared" si="193"/>
        <v>0.1236</v>
      </c>
      <c r="AI365" s="235">
        <v>0</v>
      </c>
      <c r="AK365" s="152"/>
      <c r="AM365" s="239">
        <v>1.034</v>
      </c>
      <c r="AN365" s="243">
        <v>0.1236</v>
      </c>
      <c r="AO365" s="240" t="e">
        <f>#REF!-AM365</f>
        <v>#REF!</v>
      </c>
      <c r="AQ365" s="241">
        <f t="shared" si="236"/>
        <v>3.0399999999999996E-2</v>
      </c>
      <c r="AR365" s="382">
        <v>208</v>
      </c>
      <c r="AS365" s="388" t="b">
        <f t="shared" si="237"/>
        <v>0</v>
      </c>
      <c r="AT365" s="411" t="e">
        <f>ROUND(W365/T365*100-100,2)+#REF!</f>
        <v>#REF!</v>
      </c>
      <c r="AW365" t="e">
        <f t="shared" si="238"/>
        <v>#DIV/0!</v>
      </c>
    </row>
    <row r="366" spans="1:49" ht="29.25" customHeight="1" x14ac:dyDescent="0.3">
      <c r="A366" s="587" t="s">
        <v>586</v>
      </c>
      <c r="B366" s="583" t="s">
        <v>35</v>
      </c>
      <c r="C366" s="585" t="s">
        <v>135</v>
      </c>
      <c r="D366" s="583" t="s">
        <v>320</v>
      </c>
      <c r="E366" s="588" t="s">
        <v>321</v>
      </c>
      <c r="F366" s="583">
        <f>VLOOKUP(E366,'условия, ФОТ'!$A$14:$I$28,9, FALSE)</f>
        <v>398.28</v>
      </c>
      <c r="G366" s="583">
        <v>0.15</v>
      </c>
      <c r="H366" s="583">
        <f t="shared" si="239"/>
        <v>59.74</v>
      </c>
      <c r="I366" s="583">
        <f t="shared" si="220"/>
        <v>18.04</v>
      </c>
      <c r="J366" s="583">
        <f t="shared" si="240"/>
        <v>77.78</v>
      </c>
      <c r="K366" s="589"/>
      <c r="L366" s="583"/>
      <c r="M366" s="583"/>
      <c r="N366" s="583"/>
      <c r="O366" s="583"/>
      <c r="P366" s="583">
        <f t="shared" si="242"/>
        <v>77.78</v>
      </c>
      <c r="Q366" s="583">
        <f t="shared" si="223"/>
        <v>60.28</v>
      </c>
      <c r="R366" s="584">
        <f t="shared" si="241"/>
        <v>145</v>
      </c>
      <c r="S366" s="584">
        <f t="shared" si="224"/>
        <v>29</v>
      </c>
      <c r="T366" s="584">
        <f t="shared" si="234"/>
        <v>174</v>
      </c>
      <c r="U366" s="121">
        <v>89</v>
      </c>
      <c r="V366" s="122">
        <f t="shared" si="225"/>
        <v>95.50561797752809</v>
      </c>
      <c r="W366" s="479"/>
      <c r="X366" s="396"/>
      <c r="Y366" s="514">
        <v>5.0099999999999999E-2</v>
      </c>
      <c r="Z366" s="464" t="e">
        <f>#REF!*Y366</f>
        <v>#REF!</v>
      </c>
      <c r="AB366" s="404">
        <v>71.346000000000004</v>
      </c>
      <c r="AC366" s="434"/>
      <c r="AD366" s="478">
        <f t="shared" si="235"/>
        <v>85</v>
      </c>
      <c r="AE366" s="394"/>
      <c r="AG366" s="237">
        <v>2.9000000000000001E-2</v>
      </c>
      <c r="AH366" s="236">
        <f t="shared" si="193"/>
        <v>2.9000000000000001E-2</v>
      </c>
      <c r="AI366" s="235">
        <v>0</v>
      </c>
      <c r="AK366" s="152"/>
      <c r="AM366" s="239">
        <v>1.034</v>
      </c>
      <c r="AN366" s="243">
        <v>2.9000000000000001E-2</v>
      </c>
      <c r="AO366" s="240" t="e">
        <f>#REF!-AM366</f>
        <v>#REF!</v>
      </c>
      <c r="AQ366" s="241">
        <f t="shared" si="236"/>
        <v>2.1099999999999997E-2</v>
      </c>
      <c r="AR366" s="382">
        <v>71</v>
      </c>
      <c r="AS366" s="388" t="b">
        <f t="shared" si="237"/>
        <v>0</v>
      </c>
      <c r="AT366" s="411" t="e">
        <f>ROUND(W366/T366*100-100,2)+#REF!</f>
        <v>#REF!</v>
      </c>
      <c r="AW366" t="e">
        <f t="shared" si="238"/>
        <v>#DIV/0!</v>
      </c>
    </row>
    <row r="367" spans="1:49" ht="27" x14ac:dyDescent="0.3">
      <c r="A367" s="595" t="s">
        <v>587</v>
      </c>
      <c r="B367" s="583" t="s">
        <v>35</v>
      </c>
      <c r="C367" s="585" t="s">
        <v>136</v>
      </c>
      <c r="D367" s="583" t="s">
        <v>320</v>
      </c>
      <c r="E367" s="570" t="s">
        <v>381</v>
      </c>
      <c r="F367" s="583">
        <f>VLOOKUP(E367,'условия, ФОТ'!$A$14:$I$28,9, FALSE)</f>
        <v>326.24</v>
      </c>
      <c r="G367" s="583">
        <v>0.13</v>
      </c>
      <c r="H367" s="583">
        <f t="shared" si="239"/>
        <v>42.41</v>
      </c>
      <c r="I367" s="583">
        <f t="shared" si="220"/>
        <v>12.81</v>
      </c>
      <c r="J367" s="583">
        <f t="shared" si="240"/>
        <v>55.22</v>
      </c>
      <c r="K367" s="589"/>
      <c r="L367" s="583"/>
      <c r="M367" s="583"/>
      <c r="N367" s="583"/>
      <c r="O367" s="583"/>
      <c r="P367" s="583">
        <f t="shared" si="242"/>
        <v>55.22</v>
      </c>
      <c r="Q367" s="583">
        <f t="shared" si="223"/>
        <v>42.8</v>
      </c>
      <c r="R367" s="584">
        <f t="shared" si="241"/>
        <v>105</v>
      </c>
      <c r="S367" s="584">
        <f t="shared" si="224"/>
        <v>21</v>
      </c>
      <c r="T367" s="584">
        <f t="shared" si="234"/>
        <v>126</v>
      </c>
      <c r="U367" s="121">
        <v>79</v>
      </c>
      <c r="V367" s="122">
        <f t="shared" si="225"/>
        <v>59.493670886075961</v>
      </c>
      <c r="W367" s="479"/>
      <c r="X367" s="396"/>
      <c r="Y367" s="514">
        <v>7.5200000000000003E-2</v>
      </c>
      <c r="Z367" s="464" t="e">
        <f>#REF!*Y367</f>
        <v>#REF!</v>
      </c>
      <c r="AB367" s="404">
        <v>42.393999999999998</v>
      </c>
      <c r="AC367" s="434"/>
      <c r="AD367" s="478">
        <f t="shared" si="235"/>
        <v>47</v>
      </c>
      <c r="AE367" s="394"/>
      <c r="AG367" s="237">
        <v>-0.29470000000000002</v>
      </c>
      <c r="AH367" s="236">
        <f t="shared" si="193"/>
        <v>1.2947</v>
      </c>
      <c r="AI367" s="235">
        <v>1.339</v>
      </c>
      <c r="AK367" s="152">
        <f>ROUND(W367*AI367,2)</f>
        <v>0</v>
      </c>
      <c r="AM367" s="239">
        <v>1.034</v>
      </c>
      <c r="AN367" s="243">
        <v>-0.29470000000000002</v>
      </c>
      <c r="AO367" s="240" t="e">
        <f>#REF!-AM367</f>
        <v>#REF!</v>
      </c>
      <c r="AQ367" s="241">
        <f t="shared" si="236"/>
        <v>0.36990000000000001</v>
      </c>
      <c r="AR367" s="382">
        <v>63</v>
      </c>
      <c r="AS367" s="388" t="b">
        <f t="shared" si="237"/>
        <v>0</v>
      </c>
      <c r="AT367" s="411" t="e">
        <f>ROUND(W367/T367*100-100,2)+#REF!</f>
        <v>#REF!</v>
      </c>
      <c r="AW367" t="e">
        <f t="shared" si="238"/>
        <v>#DIV/0!</v>
      </c>
    </row>
    <row r="368" spans="1:49" ht="22.7" customHeight="1" x14ac:dyDescent="0.3">
      <c r="A368" s="595" t="s">
        <v>582</v>
      </c>
      <c r="B368" s="583" t="s">
        <v>35</v>
      </c>
      <c r="C368" s="585" t="s">
        <v>137</v>
      </c>
      <c r="D368" s="583" t="s">
        <v>325</v>
      </c>
      <c r="E368" s="583" t="s">
        <v>324</v>
      </c>
      <c r="F368" s="583">
        <f>VLOOKUP(E368,'условия, ФОТ'!$A$14:$I$28,9, FALSE)</f>
        <v>326.24</v>
      </c>
      <c r="G368" s="583">
        <v>0.03</v>
      </c>
      <c r="H368" s="583">
        <f t="shared" si="239"/>
        <v>9.7899999999999991</v>
      </c>
      <c r="I368" s="583">
        <f t="shared" si="220"/>
        <v>2.96</v>
      </c>
      <c r="J368" s="583">
        <f t="shared" si="240"/>
        <v>12.75</v>
      </c>
      <c r="K368" s="589"/>
      <c r="L368" s="583"/>
      <c r="M368" s="583"/>
      <c r="N368" s="583"/>
      <c r="O368" s="583"/>
      <c r="P368" s="583">
        <f t="shared" si="242"/>
        <v>12.75</v>
      </c>
      <c r="Q368" s="583">
        <f t="shared" si="223"/>
        <v>9.8800000000000008</v>
      </c>
      <c r="R368" s="584">
        <f t="shared" si="241"/>
        <v>25</v>
      </c>
      <c r="S368" s="584">
        <f t="shared" si="224"/>
        <v>5</v>
      </c>
      <c r="T368" s="584">
        <f t="shared" si="234"/>
        <v>30</v>
      </c>
      <c r="U368" s="121">
        <v>19</v>
      </c>
      <c r="V368" s="122">
        <f t="shared" si="225"/>
        <v>57.89473684210526</v>
      </c>
      <c r="W368" s="479"/>
      <c r="X368" s="396"/>
      <c r="Y368" s="514">
        <v>0.1085</v>
      </c>
      <c r="Z368" s="464" t="e">
        <f>#REF!*Y368</f>
        <v>#REF!</v>
      </c>
      <c r="AB368" s="404">
        <v>11.374000000000001</v>
      </c>
      <c r="AC368" s="434"/>
      <c r="AD368" s="478">
        <f t="shared" si="235"/>
        <v>11</v>
      </c>
      <c r="AE368" s="394"/>
      <c r="AG368" s="237">
        <v>-0.1802</v>
      </c>
      <c r="AH368" s="236">
        <f t="shared" si="193"/>
        <v>1.1801999999999999</v>
      </c>
      <c r="AI368" s="235">
        <v>1.22</v>
      </c>
      <c r="AK368" s="152">
        <f>ROUND(W368*AI368,2)</f>
        <v>0</v>
      </c>
      <c r="AM368" s="239">
        <v>1.034</v>
      </c>
      <c r="AN368" s="243">
        <v>-0.1802</v>
      </c>
      <c r="AO368" s="240" t="e">
        <f>#REF!-AM368</f>
        <v>#REF!</v>
      </c>
      <c r="AQ368" s="241">
        <f t="shared" si="236"/>
        <v>0.28870000000000001</v>
      </c>
      <c r="AR368" s="382">
        <v>15</v>
      </c>
      <c r="AS368" s="388" t="b">
        <f t="shared" si="237"/>
        <v>0</v>
      </c>
      <c r="AT368" s="411" t="e">
        <f>ROUND(W368/T368*100-100,2)+#REF!</f>
        <v>#REF!</v>
      </c>
      <c r="AW368" t="e">
        <f t="shared" si="238"/>
        <v>#DIV/0!</v>
      </c>
    </row>
    <row r="369" spans="1:49" ht="29.25" customHeight="1" x14ac:dyDescent="0.3">
      <c r="A369" s="595" t="s">
        <v>588</v>
      </c>
      <c r="B369" s="583" t="s">
        <v>35</v>
      </c>
      <c r="C369" s="585" t="s">
        <v>138</v>
      </c>
      <c r="D369" s="583" t="s">
        <v>325</v>
      </c>
      <c r="E369" s="588" t="s">
        <v>321</v>
      </c>
      <c r="F369" s="583">
        <f>VLOOKUP(E369,'условия, ФОТ'!$A$14:$I$28,9, FALSE)</f>
        <v>398.28</v>
      </c>
      <c r="G369" s="583">
        <v>0.12</v>
      </c>
      <c r="H369" s="583">
        <f t="shared" si="239"/>
        <v>47.79</v>
      </c>
      <c r="I369" s="583">
        <f t="shared" si="220"/>
        <v>14.43</v>
      </c>
      <c r="J369" s="583">
        <f t="shared" si="240"/>
        <v>62.22</v>
      </c>
      <c r="K369" s="589"/>
      <c r="L369" s="583"/>
      <c r="M369" s="583"/>
      <c r="N369" s="583"/>
      <c r="O369" s="583"/>
      <c r="P369" s="583">
        <f t="shared" si="242"/>
        <v>62.22</v>
      </c>
      <c r="Q369" s="583">
        <f t="shared" si="223"/>
        <v>48.22</v>
      </c>
      <c r="R369" s="584">
        <f>ROUND(T369/1.2,2)</f>
        <v>116.67</v>
      </c>
      <c r="S369" s="584">
        <f>ROUND(R369*$S$5,2)</f>
        <v>23.33</v>
      </c>
      <c r="T369" s="584">
        <f t="shared" si="234"/>
        <v>140</v>
      </c>
      <c r="U369" s="121">
        <v>72</v>
      </c>
      <c r="V369" s="122">
        <f t="shared" si="225"/>
        <v>94.444444444444429</v>
      </c>
      <c r="W369" s="479"/>
      <c r="X369" s="396"/>
      <c r="Y369" s="514">
        <v>5.4100000000000002E-2</v>
      </c>
      <c r="Z369" s="464" t="e">
        <f>#REF!*Y369</f>
        <v>#REF!</v>
      </c>
      <c r="AB369" s="404">
        <v>56.870000000000005</v>
      </c>
      <c r="AC369" s="434"/>
      <c r="AD369" s="478">
        <f t="shared" si="235"/>
        <v>68</v>
      </c>
      <c r="AE369" s="394"/>
      <c r="AG369" s="237">
        <v>2.4899999999999999E-2</v>
      </c>
      <c r="AH369" s="236">
        <f t="shared" si="193"/>
        <v>2.4899999999999999E-2</v>
      </c>
      <c r="AI369" s="235">
        <v>0</v>
      </c>
      <c r="AK369" s="152"/>
      <c r="AM369" s="239">
        <v>1.034</v>
      </c>
      <c r="AN369" s="243">
        <v>2.4899999999999999E-2</v>
      </c>
      <c r="AO369" s="240" t="e">
        <f>#REF!-AM369</f>
        <v>#REF!</v>
      </c>
      <c r="AQ369" s="241">
        <f t="shared" si="236"/>
        <v>2.9200000000000004E-2</v>
      </c>
      <c r="AR369" s="382">
        <v>57</v>
      </c>
      <c r="AS369" s="388" t="b">
        <f t="shared" si="237"/>
        <v>0</v>
      </c>
      <c r="AT369" s="411" t="e">
        <f>ROUND(W369/T369*100-100,2)+#REF!</f>
        <v>#REF!</v>
      </c>
      <c r="AW369" t="e">
        <f t="shared" si="238"/>
        <v>#DIV/0!</v>
      </c>
    </row>
    <row r="370" spans="1:49" ht="16.5" customHeight="1" x14ac:dyDescent="0.3">
      <c r="A370" s="801" t="s">
        <v>633</v>
      </c>
      <c r="B370" s="797" t="s">
        <v>35</v>
      </c>
      <c r="C370" s="800" t="s">
        <v>139</v>
      </c>
      <c r="D370" s="812" t="s">
        <v>20</v>
      </c>
      <c r="E370" s="588" t="s">
        <v>169</v>
      </c>
      <c r="F370" s="583">
        <f>VLOOKUP(E370,'условия, ФОТ'!$A$14:$I$28,9, FALSE)</f>
        <v>326.24</v>
      </c>
      <c r="G370" s="583">
        <v>1.1200000000000001</v>
      </c>
      <c r="H370" s="797">
        <f>ROUND(F370*G370+F371*G371,2)</f>
        <v>495.88</v>
      </c>
      <c r="I370" s="797">
        <f t="shared" si="220"/>
        <v>149.76</v>
      </c>
      <c r="J370" s="797">
        <f t="shared" si="240"/>
        <v>645.64</v>
      </c>
      <c r="K370" s="589"/>
      <c r="L370" s="583"/>
      <c r="M370" s="583"/>
      <c r="N370" s="583"/>
      <c r="O370" s="583"/>
      <c r="P370" s="797">
        <f t="shared" si="242"/>
        <v>645.64</v>
      </c>
      <c r="Q370" s="797">
        <f t="shared" si="223"/>
        <v>500.37</v>
      </c>
      <c r="R370" s="798">
        <f>ROUND(T370/1.2,2)</f>
        <v>1233.33</v>
      </c>
      <c r="S370" s="798">
        <f t="shared" si="224"/>
        <v>246.67</v>
      </c>
      <c r="T370" s="798">
        <f t="shared" si="234"/>
        <v>1480</v>
      </c>
      <c r="U370" s="794">
        <v>915</v>
      </c>
      <c r="V370" s="793">
        <f t="shared" si="225"/>
        <v>61.748633879781437</v>
      </c>
      <c r="W370" s="787"/>
      <c r="X370" s="837"/>
      <c r="Y370" s="770">
        <v>7.5999999999999998E-2</v>
      </c>
      <c r="Z370" s="776" t="e">
        <f>#REF!*Y370</f>
        <v>#REF!</v>
      </c>
      <c r="AB370" s="404">
        <v>631.774</v>
      </c>
      <c r="AC370" s="741"/>
      <c r="AD370" s="763">
        <f t="shared" si="235"/>
        <v>565</v>
      </c>
      <c r="AE370" s="394"/>
      <c r="AG370" s="759">
        <v>-0.10100000000000001</v>
      </c>
      <c r="AH370" s="751">
        <f t="shared" si="193"/>
        <v>1.101</v>
      </c>
      <c r="AI370" s="751">
        <v>1.1379999999999999</v>
      </c>
      <c r="AK370" s="879">
        <f>ROUND(W370*AI370,2)</f>
        <v>0</v>
      </c>
      <c r="AM370" s="759">
        <v>1.034</v>
      </c>
      <c r="AN370" s="877">
        <v>-0.10100000000000001</v>
      </c>
      <c r="AO370" s="751" t="e">
        <f>#REF!-AM370</f>
        <v>#REF!</v>
      </c>
      <c r="AQ370" s="747">
        <f t="shared" si="236"/>
        <v>0.17699999999999999</v>
      </c>
      <c r="AR370" s="741">
        <v>737</v>
      </c>
      <c r="AS370" s="388" t="b">
        <f t="shared" si="237"/>
        <v>0</v>
      </c>
      <c r="AT370" s="411" t="e">
        <f>ROUND(W370/T370*100-100,2)+#REF!</f>
        <v>#REF!</v>
      </c>
      <c r="AW370" t="e">
        <f t="shared" si="238"/>
        <v>#DIV/0!</v>
      </c>
    </row>
    <row r="371" spans="1:49" ht="25.5" x14ac:dyDescent="0.3">
      <c r="A371" s="802"/>
      <c r="B371" s="797"/>
      <c r="C371" s="800"/>
      <c r="D371" s="812"/>
      <c r="E371" s="592" t="s">
        <v>381</v>
      </c>
      <c r="F371" s="583">
        <f>VLOOKUP(E371,'условия, ФОТ'!$A$14:$I$28,9, FALSE)</f>
        <v>326.24</v>
      </c>
      <c r="G371" s="583">
        <v>0.4</v>
      </c>
      <c r="H371" s="797"/>
      <c r="I371" s="797"/>
      <c r="J371" s="797"/>
      <c r="K371" s="589"/>
      <c r="L371" s="583"/>
      <c r="M371" s="583"/>
      <c r="N371" s="583"/>
      <c r="O371" s="583"/>
      <c r="P371" s="797">
        <f t="shared" si="242"/>
        <v>0</v>
      </c>
      <c r="Q371" s="797">
        <f t="shared" si="223"/>
        <v>0</v>
      </c>
      <c r="R371" s="798">
        <f t="shared" ref="R371" si="243">ROUND(T371/1.18,2)</f>
        <v>0</v>
      </c>
      <c r="S371" s="798">
        <f t="shared" si="224"/>
        <v>0</v>
      </c>
      <c r="T371" s="798">
        <f>ROUND((P371+Q371)*(1+$R$5)*1.18,0)</f>
        <v>0</v>
      </c>
      <c r="U371" s="795">
        <v>0</v>
      </c>
      <c r="V371" s="793"/>
      <c r="W371" s="788"/>
      <c r="X371" s="837"/>
      <c r="Y371" s="770"/>
      <c r="Z371" s="777"/>
      <c r="AC371" s="741"/>
      <c r="AD371" s="764"/>
      <c r="AE371" s="394"/>
      <c r="AG371" s="760"/>
      <c r="AH371" s="752"/>
      <c r="AI371" s="752"/>
      <c r="AK371" s="880"/>
      <c r="AM371" s="760"/>
      <c r="AN371" s="878"/>
      <c r="AO371" s="752"/>
      <c r="AQ371" s="748"/>
      <c r="AR371" s="741"/>
      <c r="AS371" s="388" t="b">
        <f t="shared" si="237"/>
        <v>1</v>
      </c>
      <c r="AT371" s="411"/>
    </row>
    <row r="372" spans="1:49" ht="25.5" x14ac:dyDescent="0.3">
      <c r="A372" s="595" t="s">
        <v>634</v>
      </c>
      <c r="B372" s="583" t="s">
        <v>35</v>
      </c>
      <c r="C372" s="585" t="s">
        <v>140</v>
      </c>
      <c r="D372" s="583" t="s">
        <v>325</v>
      </c>
      <c r="E372" s="588" t="s">
        <v>170</v>
      </c>
      <c r="F372" s="583">
        <f>VLOOKUP(E372,'условия, ФОТ'!$A$14:$I$28,9, FALSE)</f>
        <v>319.19</v>
      </c>
      <c r="G372" s="583">
        <v>0.34</v>
      </c>
      <c r="H372" s="583">
        <f t="shared" si="239"/>
        <v>108.52</v>
      </c>
      <c r="I372" s="583">
        <f t="shared" si="220"/>
        <v>32.770000000000003</v>
      </c>
      <c r="J372" s="583">
        <f t="shared" si="240"/>
        <v>141.29</v>
      </c>
      <c r="K372" s="589"/>
      <c r="L372" s="583"/>
      <c r="M372" s="583"/>
      <c r="N372" s="583"/>
      <c r="O372" s="583"/>
      <c r="P372" s="583">
        <f t="shared" si="242"/>
        <v>141.29</v>
      </c>
      <c r="Q372" s="583">
        <f t="shared" si="223"/>
        <v>109.5</v>
      </c>
      <c r="R372" s="584">
        <f>ROUND(T372/1.2,2)</f>
        <v>286.67</v>
      </c>
      <c r="S372" s="584">
        <f t="shared" si="224"/>
        <v>57.33</v>
      </c>
      <c r="T372" s="584">
        <f>ROUND((P372+Q372)*(1+Y372)*1.2,0)</f>
        <v>344</v>
      </c>
      <c r="U372" s="121">
        <v>276</v>
      </c>
      <c r="V372" s="122">
        <f t="shared" si="225"/>
        <v>24.637681159420282</v>
      </c>
      <c r="W372" s="479"/>
      <c r="X372" s="396"/>
      <c r="Y372" s="514">
        <v>0.1439</v>
      </c>
      <c r="Z372" s="464" t="e">
        <f>#REF!*Y372</f>
        <v>#REF!</v>
      </c>
      <c r="AB372" s="404">
        <v>219.208</v>
      </c>
      <c r="AC372" s="434"/>
      <c r="AD372" s="478">
        <f>T372-U372</f>
        <v>68</v>
      </c>
      <c r="AE372" s="394"/>
      <c r="AG372" s="237">
        <v>2.7699999999999999E-2</v>
      </c>
      <c r="AH372" s="236">
        <f t="shared" si="193"/>
        <v>2.7699999999999999E-2</v>
      </c>
      <c r="AI372" s="235">
        <v>0</v>
      </c>
      <c r="AK372" s="152"/>
      <c r="AM372" s="239">
        <v>1.034</v>
      </c>
      <c r="AN372" s="243">
        <v>2.7699999999999999E-2</v>
      </c>
      <c r="AO372" s="240" t="e">
        <f>#REF!-AM372</f>
        <v>#REF!</v>
      </c>
      <c r="AQ372" s="241">
        <f>Y372-AN372</f>
        <v>0.1162</v>
      </c>
      <c r="AR372" s="382">
        <v>219</v>
      </c>
      <c r="AS372" s="388" t="b">
        <f t="shared" si="237"/>
        <v>0</v>
      </c>
      <c r="AT372" s="411" t="e">
        <f>ROUND(W372/T372*100-100,2)+#REF!</f>
        <v>#REF!</v>
      </c>
      <c r="AW372" t="e">
        <f>ROUND(T372/W372,3)</f>
        <v>#DIV/0!</v>
      </c>
    </row>
    <row r="373" spans="1:49" s="57" customFormat="1" ht="19.5" customHeight="1" x14ac:dyDescent="0.3">
      <c r="A373" s="801" t="s">
        <v>635</v>
      </c>
      <c r="B373" s="797" t="s">
        <v>35</v>
      </c>
      <c r="C373" s="800" t="s">
        <v>141</v>
      </c>
      <c r="D373" s="797" t="s">
        <v>334</v>
      </c>
      <c r="E373" s="583" t="s">
        <v>169</v>
      </c>
      <c r="F373" s="583">
        <f>VLOOKUP(E373,'условия, ФОТ'!$A$14:$I$28,9, FALSE)</f>
        <v>326.24</v>
      </c>
      <c r="G373" s="583">
        <v>0.1</v>
      </c>
      <c r="H373" s="797">
        <f>ROUND(F373*G373+F374*G374,2)</f>
        <v>74.489999999999995</v>
      </c>
      <c r="I373" s="797">
        <f t="shared" si="220"/>
        <v>22.5</v>
      </c>
      <c r="J373" s="797">
        <f t="shared" si="240"/>
        <v>96.99</v>
      </c>
      <c r="K373" s="589"/>
      <c r="L373" s="583"/>
      <c r="M373" s="583"/>
      <c r="N373" s="583"/>
      <c r="O373" s="797">
        <f>ROUND('расход ГСМ'!J4/4,2)</f>
        <v>117.71</v>
      </c>
      <c r="P373" s="797">
        <f>J373+O373</f>
        <v>214.7</v>
      </c>
      <c r="Q373" s="797">
        <f t="shared" si="223"/>
        <v>166.39</v>
      </c>
      <c r="R373" s="798">
        <f>ROUND(T373/1.2,2)</f>
        <v>420</v>
      </c>
      <c r="S373" s="798">
        <f t="shared" si="224"/>
        <v>84</v>
      </c>
      <c r="T373" s="798">
        <f>ROUND((P373+Q373)*(1+Y373)*1.2,0)</f>
        <v>504</v>
      </c>
      <c r="U373" s="794">
        <v>397</v>
      </c>
      <c r="V373" s="793">
        <f t="shared" si="225"/>
        <v>26.952141057934512</v>
      </c>
      <c r="W373" s="780"/>
      <c r="X373" s="837"/>
      <c r="Y373" s="769">
        <v>0.10299999999999999</v>
      </c>
      <c r="Z373" s="860" t="e">
        <f>#REF!*Y373</f>
        <v>#REF!</v>
      </c>
      <c r="AB373" s="57">
        <v>350.52600000000001</v>
      </c>
      <c r="AC373" s="741"/>
      <c r="AD373" s="765">
        <f>T373-U373</f>
        <v>107</v>
      </c>
      <c r="AE373" s="394"/>
      <c r="AG373" s="755">
        <v>7.85E-2</v>
      </c>
      <c r="AH373" s="751">
        <f t="shared" si="193"/>
        <v>7.85E-2</v>
      </c>
      <c r="AI373" s="751">
        <v>0</v>
      </c>
      <c r="AK373" s="751"/>
      <c r="AL373" s="487"/>
      <c r="AM373" s="755">
        <v>1.034</v>
      </c>
      <c r="AN373" s="873">
        <v>7.85E-2</v>
      </c>
      <c r="AO373" s="751" t="e">
        <f>#REF!-AM373</f>
        <v>#REF!</v>
      </c>
      <c r="AQ373" s="747">
        <f>Y373-AN373</f>
        <v>2.4499999999999994E-2</v>
      </c>
      <c r="AR373" s="741">
        <v>351</v>
      </c>
      <c r="AS373" s="388" t="b">
        <f t="shared" si="237"/>
        <v>0</v>
      </c>
      <c r="AT373" s="488" t="e">
        <f>ROUND(W373/T373*100-100,2)+#REF!</f>
        <v>#REF!</v>
      </c>
      <c r="AW373" s="57" t="e">
        <f>ROUND(T373/W373,3)</f>
        <v>#DIV/0!</v>
      </c>
    </row>
    <row r="374" spans="1:49" s="57" customFormat="1" ht="24" customHeight="1" x14ac:dyDescent="0.3">
      <c r="A374" s="802"/>
      <c r="B374" s="797"/>
      <c r="C374" s="800"/>
      <c r="D374" s="797"/>
      <c r="E374" s="588" t="s">
        <v>687</v>
      </c>
      <c r="F374" s="583">
        <f>VLOOKUP(E374,'условия, ФОТ'!$A$14:$I$28,9, FALSE)</f>
        <v>418.63</v>
      </c>
      <c r="G374" s="583">
        <v>0.1</v>
      </c>
      <c r="H374" s="797"/>
      <c r="I374" s="797"/>
      <c r="J374" s="797">
        <f t="shared" ref="J374" si="244">H374+I374</f>
        <v>0</v>
      </c>
      <c r="K374" s="589"/>
      <c r="L374" s="583"/>
      <c r="M374" s="583"/>
      <c r="N374" s="583"/>
      <c r="O374" s="797"/>
      <c r="P374" s="797"/>
      <c r="Q374" s="797"/>
      <c r="R374" s="798"/>
      <c r="S374" s="798"/>
      <c r="T374" s="798">
        <f>ROUND((P374+Q374)*(1+$R$5)*1.18,0)</f>
        <v>0</v>
      </c>
      <c r="U374" s="795">
        <v>0</v>
      </c>
      <c r="V374" s="793"/>
      <c r="W374" s="781"/>
      <c r="X374" s="837"/>
      <c r="Y374" s="769"/>
      <c r="Z374" s="861"/>
      <c r="AC374" s="741"/>
      <c r="AD374" s="766"/>
      <c r="AE374" s="394"/>
      <c r="AG374" s="756"/>
      <c r="AH374" s="752"/>
      <c r="AI374" s="752"/>
      <c r="AK374" s="752"/>
      <c r="AL374" s="487"/>
      <c r="AM374" s="756"/>
      <c r="AN374" s="874"/>
      <c r="AO374" s="752"/>
      <c r="AQ374" s="748"/>
      <c r="AR374" s="741"/>
      <c r="AS374" s="388" t="b">
        <f t="shared" si="237"/>
        <v>1</v>
      </c>
      <c r="AT374" s="488"/>
    </row>
    <row r="375" spans="1:49" ht="39.75" customHeight="1" x14ac:dyDescent="0.3">
      <c r="A375" s="595" t="s">
        <v>636</v>
      </c>
      <c r="B375" s="583" t="s">
        <v>35</v>
      </c>
      <c r="C375" s="585" t="s">
        <v>142</v>
      </c>
      <c r="D375" s="583" t="s">
        <v>320</v>
      </c>
      <c r="E375" s="583" t="s">
        <v>169</v>
      </c>
      <c r="F375" s="583">
        <f>VLOOKUP(E375,'условия, ФОТ'!$A$14:$I$28,9, FALSE)</f>
        <v>326.24</v>
      </c>
      <c r="G375" s="583">
        <v>1.4</v>
      </c>
      <c r="H375" s="583">
        <f t="shared" si="239"/>
        <v>456.74</v>
      </c>
      <c r="I375" s="583">
        <f t="shared" si="220"/>
        <v>137.94</v>
      </c>
      <c r="J375" s="583">
        <f t="shared" si="240"/>
        <v>594.68000000000006</v>
      </c>
      <c r="K375" s="589"/>
      <c r="L375" s="583"/>
      <c r="M375" s="583"/>
      <c r="N375" s="583"/>
      <c r="O375" s="583"/>
      <c r="P375" s="583">
        <f t="shared" si="242"/>
        <v>594.68000000000006</v>
      </c>
      <c r="Q375" s="583">
        <f t="shared" si="223"/>
        <v>460.88</v>
      </c>
      <c r="R375" s="584">
        <f>ROUND(T375/1.2,2)</f>
        <v>1135.83</v>
      </c>
      <c r="S375" s="584">
        <f>ROUND(R375*$S$5,2)</f>
        <v>227.17</v>
      </c>
      <c r="T375" s="584">
        <f>ROUND((P375+Q375)*(1+Y375)*1.2,0)</f>
        <v>1363</v>
      </c>
      <c r="U375" s="121">
        <v>808</v>
      </c>
      <c r="V375" s="122">
        <f t="shared" si="225"/>
        <v>68.688118811881196</v>
      </c>
      <c r="W375" s="479"/>
      <c r="X375" s="396"/>
      <c r="Y375" s="514">
        <v>7.6300000000000007E-2</v>
      </c>
      <c r="Z375" s="464" t="e">
        <f>#REF!*Y375</f>
        <v>#REF!</v>
      </c>
      <c r="AB375" s="404">
        <v>555.25800000000004</v>
      </c>
      <c r="AC375" s="434"/>
      <c r="AD375" s="478">
        <f>T375-U375</f>
        <v>555</v>
      </c>
      <c r="AE375" s="394"/>
      <c r="AG375" s="237">
        <v>-0.14219999999999999</v>
      </c>
      <c r="AH375" s="236">
        <f t="shared" si="193"/>
        <v>1.1421999999999999</v>
      </c>
      <c r="AI375" s="235">
        <v>1.181</v>
      </c>
      <c r="AK375" s="152">
        <f>ROUND(W375*AI375,2)</f>
        <v>0</v>
      </c>
      <c r="AM375" s="239">
        <v>1.034</v>
      </c>
      <c r="AN375" s="243">
        <v>-0.14219999999999999</v>
      </c>
      <c r="AO375" s="240" t="e">
        <f>#REF!-AM375</f>
        <v>#REF!</v>
      </c>
      <c r="AQ375" s="241">
        <f>Y375-AN375</f>
        <v>0.2185</v>
      </c>
      <c r="AR375" s="382">
        <v>679</v>
      </c>
      <c r="AS375" s="388" t="b">
        <f t="shared" si="237"/>
        <v>0</v>
      </c>
      <c r="AT375" s="411" t="e">
        <f>ROUND(W375/T375*100-100,2)+#REF!</f>
        <v>#REF!</v>
      </c>
      <c r="AW375" t="e">
        <f>ROUND(T375/W375,3)</f>
        <v>#DIV/0!</v>
      </c>
    </row>
    <row r="376" spans="1:49" ht="43.5" customHeight="1" x14ac:dyDescent="0.3">
      <c r="A376" s="586" t="s">
        <v>637</v>
      </c>
      <c r="B376" s="583" t="s">
        <v>35</v>
      </c>
      <c r="C376" s="585" t="s">
        <v>143</v>
      </c>
      <c r="D376" s="583" t="s">
        <v>360</v>
      </c>
      <c r="E376" s="588" t="s">
        <v>170</v>
      </c>
      <c r="F376" s="583">
        <f>VLOOKUP(E376,'условия, ФОТ'!$A$14:$I$28,9, FALSE)</f>
        <v>319.19</v>
      </c>
      <c r="G376" s="583">
        <v>0.5</v>
      </c>
      <c r="H376" s="583">
        <f t="shared" si="239"/>
        <v>159.6</v>
      </c>
      <c r="I376" s="583">
        <f t="shared" si="220"/>
        <v>48.2</v>
      </c>
      <c r="J376" s="583">
        <f t="shared" si="240"/>
        <v>207.8</v>
      </c>
      <c r="K376" s="589"/>
      <c r="L376" s="583"/>
      <c r="M376" s="583"/>
      <c r="N376" s="583"/>
      <c r="O376" s="583"/>
      <c r="P376" s="583">
        <f t="shared" si="242"/>
        <v>207.8</v>
      </c>
      <c r="Q376" s="583">
        <f t="shared" si="223"/>
        <v>161.05000000000001</v>
      </c>
      <c r="R376" s="584">
        <f>ROUND(T376/1.2,2)</f>
        <v>421.67</v>
      </c>
      <c r="S376" s="584">
        <f>ROUND(R376*$S$5,2)</f>
        <v>84.33</v>
      </c>
      <c r="T376" s="584">
        <f>ROUND((P376+Q376)*(1+Y376)*1.2,0)</f>
        <v>506</v>
      </c>
      <c r="U376" s="121">
        <v>406</v>
      </c>
      <c r="V376" s="122">
        <f t="shared" si="225"/>
        <v>24.630541871921167</v>
      </c>
      <c r="W376" s="479"/>
      <c r="X376" s="396"/>
      <c r="Y376" s="514">
        <v>0.14360000000000001</v>
      </c>
      <c r="Z376" s="464" t="e">
        <f>#REF!*Y376</f>
        <v>#REF!</v>
      </c>
      <c r="AB376" s="404">
        <v>321.57400000000001</v>
      </c>
      <c r="AC376" s="434"/>
      <c r="AD376" s="478">
        <f>T376-U376</f>
        <v>100</v>
      </c>
      <c r="AE376" s="394"/>
      <c r="AG376" s="237">
        <v>2.52E-2</v>
      </c>
      <c r="AH376" s="236">
        <f t="shared" si="193"/>
        <v>2.52E-2</v>
      </c>
      <c r="AI376" s="235">
        <v>0</v>
      </c>
      <c r="AK376" s="152"/>
      <c r="AM376" s="239">
        <v>1.034</v>
      </c>
      <c r="AN376" s="243">
        <v>2.52E-2</v>
      </c>
      <c r="AO376" s="240" t="e">
        <f>#REF!-AM376</f>
        <v>#REF!</v>
      </c>
      <c r="AQ376" s="241">
        <f>Y376-AN376</f>
        <v>0.11840000000000001</v>
      </c>
      <c r="AR376" s="382">
        <v>322</v>
      </c>
      <c r="AS376" s="388" t="b">
        <f t="shared" si="237"/>
        <v>0</v>
      </c>
      <c r="AT376" s="411" t="e">
        <f>ROUND(W376/T376*100-100,2)+#REF!</f>
        <v>#REF!</v>
      </c>
      <c r="AW376" t="e">
        <f>ROUND(T376/W376,3)</f>
        <v>#DIV/0!</v>
      </c>
    </row>
    <row r="377" spans="1:49" ht="66.75" customHeight="1" x14ac:dyDescent="0.3">
      <c r="A377" s="595" t="s">
        <v>638</v>
      </c>
      <c r="B377" s="583" t="s">
        <v>35</v>
      </c>
      <c r="C377" s="585" t="s">
        <v>323</v>
      </c>
      <c r="D377" s="583" t="s">
        <v>20</v>
      </c>
      <c r="E377" s="583" t="s">
        <v>169</v>
      </c>
      <c r="F377" s="583">
        <f>VLOOKUP(E377,'условия, ФОТ'!$A$14:$I$28,9, FALSE)</f>
        <v>326.24</v>
      </c>
      <c r="G377" s="583">
        <v>1.4</v>
      </c>
      <c r="H377" s="583">
        <f t="shared" si="239"/>
        <v>456.74</v>
      </c>
      <c r="I377" s="583">
        <f t="shared" si="220"/>
        <v>137.94</v>
      </c>
      <c r="J377" s="583">
        <f t="shared" si="240"/>
        <v>594.68000000000006</v>
      </c>
      <c r="K377" s="589"/>
      <c r="L377" s="583"/>
      <c r="M377" s="583"/>
      <c r="N377" s="583"/>
      <c r="O377" s="583"/>
      <c r="P377" s="583">
        <f t="shared" si="242"/>
        <v>594.68000000000006</v>
      </c>
      <c r="Q377" s="583">
        <f t="shared" si="223"/>
        <v>460.88</v>
      </c>
      <c r="R377" s="584">
        <f>ROUND(T377/1.2,2)</f>
        <v>1135.83</v>
      </c>
      <c r="S377" s="584">
        <f>ROUND(R377*$S$5,2)</f>
        <v>227.17</v>
      </c>
      <c r="T377" s="584">
        <f>ROUND((P377+Q377)*(1+Y377)*1.2,0)</f>
        <v>1363</v>
      </c>
      <c r="U377" s="121">
        <v>808</v>
      </c>
      <c r="V377" s="122">
        <f t="shared" si="225"/>
        <v>68.688118811881196</v>
      </c>
      <c r="W377" s="479"/>
      <c r="X377" s="396"/>
      <c r="Y377" s="514">
        <v>7.6300000000000007E-2</v>
      </c>
      <c r="Z377" s="464" t="e">
        <f>#REF!*Y377</f>
        <v>#REF!</v>
      </c>
      <c r="AB377" s="404">
        <v>555.25800000000004</v>
      </c>
      <c r="AC377" s="434"/>
      <c r="AD377" s="478">
        <f>T377-U377</f>
        <v>555</v>
      </c>
      <c r="AE377" s="394"/>
      <c r="AG377" s="237">
        <v>-0.14219999999999999</v>
      </c>
      <c r="AH377" s="236">
        <f t="shared" si="193"/>
        <v>1.1421999999999999</v>
      </c>
      <c r="AI377" s="235">
        <v>1.181</v>
      </c>
      <c r="AK377" s="152">
        <f>ROUND(W377*AI377,2)</f>
        <v>0</v>
      </c>
      <c r="AM377" s="239">
        <v>1.034</v>
      </c>
      <c r="AN377" s="243">
        <v>-0.14219999999999999</v>
      </c>
      <c r="AO377" s="240" t="e">
        <f>#REF!-AM377</f>
        <v>#REF!</v>
      </c>
      <c r="AQ377" s="241">
        <f>Y377-AN377</f>
        <v>0.2185</v>
      </c>
      <c r="AR377" s="382">
        <v>679</v>
      </c>
      <c r="AS377" s="388" t="b">
        <f t="shared" si="237"/>
        <v>0</v>
      </c>
      <c r="AT377" s="411" t="e">
        <f>ROUND(W377/T377*100-100,2)+#REF!</f>
        <v>#REF!</v>
      </c>
      <c r="AW377" t="e">
        <f>ROUND(T377/W377,3)</f>
        <v>#DIV/0!</v>
      </c>
    </row>
    <row r="378" spans="1:49" ht="8.25" customHeight="1" x14ac:dyDescent="0.3">
      <c r="B378" s="710"/>
      <c r="C378" s="711"/>
      <c r="D378" s="710"/>
      <c r="E378" s="710"/>
      <c r="F378" s="710"/>
      <c r="G378" s="710"/>
      <c r="H378" s="710"/>
      <c r="I378" s="710"/>
      <c r="J378" s="710"/>
      <c r="K378" s="711"/>
      <c r="L378" s="712"/>
      <c r="M378" s="712"/>
      <c r="N378" s="712"/>
      <c r="O378" s="712"/>
      <c r="P378" s="710"/>
      <c r="Q378" s="710"/>
      <c r="R378" s="713"/>
      <c r="S378" s="713"/>
      <c r="T378" s="713"/>
      <c r="X378" s="400"/>
      <c r="Z378" s="464"/>
    </row>
    <row r="379" spans="1:49" ht="16.5" customHeight="1" x14ac:dyDescent="0.3">
      <c r="B379" s="847" t="s">
        <v>598</v>
      </c>
      <c r="C379" s="847"/>
      <c r="D379" s="710"/>
      <c r="E379" s="710"/>
      <c r="F379" s="710"/>
      <c r="G379" s="710"/>
      <c r="H379" s="710"/>
      <c r="I379" s="710"/>
      <c r="J379" s="710"/>
      <c r="K379" s="711"/>
      <c r="L379" s="712"/>
      <c r="M379" s="712"/>
      <c r="N379" s="712"/>
      <c r="O379" s="712"/>
      <c r="P379" s="710"/>
      <c r="Q379" s="710"/>
      <c r="R379" s="713"/>
      <c r="S379" s="713"/>
      <c r="T379" s="713"/>
      <c r="W379" s="462">
        <f>SUM(W8:W377)</f>
        <v>70024.70199999999</v>
      </c>
      <c r="X379" s="403"/>
      <c r="Z379" s="463" t="e">
        <f>SUM(Z8:Z377)</f>
        <v>#REF!</v>
      </c>
      <c r="AB379" s="405">
        <f>SUM(AB8:AB377)</f>
        <v>65072.722000000031</v>
      </c>
      <c r="AC379" s="463"/>
      <c r="AD379" s="484">
        <f>SUM(AD8:AD378)</f>
        <v>76145</v>
      </c>
      <c r="AE379" s="101"/>
      <c r="AM379" s="246">
        <f>SUM(AM8:AM377)</f>
        <v>163.37200000000004</v>
      </c>
      <c r="AN379" s="160">
        <f>SUM(AN8:AN377)</f>
        <v>-3.8504999999999971</v>
      </c>
      <c r="AO379" s="246" t="e">
        <f>SUM(AO8:AO377)</f>
        <v>#REF!</v>
      </c>
      <c r="AQ379" s="256">
        <f>SUM(AQ8:AQ377)</f>
        <v>52.371400000000015</v>
      </c>
      <c r="AR379" s="84">
        <f>SUM(AR8:AR377)</f>
        <v>69571</v>
      </c>
    </row>
    <row r="380" spans="1:49" ht="30" customHeight="1" x14ac:dyDescent="0.3">
      <c r="A380" s="843" t="s">
        <v>597</v>
      </c>
      <c r="B380" s="843"/>
      <c r="C380" s="843"/>
      <c r="D380" s="843"/>
      <c r="E380" s="843"/>
      <c r="F380" s="843"/>
      <c r="G380" s="843"/>
      <c r="H380" s="843"/>
      <c r="I380" s="843"/>
      <c r="J380" s="843"/>
      <c r="K380" s="843"/>
      <c r="L380" s="843"/>
      <c r="M380" s="843"/>
      <c r="N380" s="843"/>
      <c r="O380" s="843"/>
      <c r="P380" s="843"/>
      <c r="Q380" s="843"/>
      <c r="R380" s="843"/>
      <c r="S380" s="843"/>
      <c r="T380" s="843"/>
      <c r="W380" s="471"/>
      <c r="X380" s="472"/>
    </row>
    <row r="381" spans="1:49" ht="38.25" customHeight="1" x14ac:dyDescent="0.3">
      <c r="B381" s="710"/>
      <c r="C381" s="725" t="s">
        <v>724</v>
      </c>
      <c r="D381" s="726"/>
      <c r="E381" s="726"/>
      <c r="F381" s="726"/>
      <c r="G381" s="726" t="s">
        <v>592</v>
      </c>
      <c r="H381" s="726"/>
      <c r="I381" s="726" t="s">
        <v>725</v>
      </c>
      <c r="J381" s="726"/>
      <c r="K381" s="711"/>
      <c r="L381" s="712"/>
      <c r="M381" s="712"/>
      <c r="N381" s="712"/>
      <c r="O381" s="712"/>
      <c r="P381" s="710"/>
      <c r="Q381" s="710"/>
      <c r="R381" s="713"/>
      <c r="S381" s="713"/>
      <c r="T381" s="713"/>
      <c r="W381" s="473"/>
      <c r="X381" s="472"/>
      <c r="Y381" s="469">
        <f>SUM(Y8:Y377)</f>
        <v>53.517700000000048</v>
      </c>
      <c r="AQ381" s="254">
        <v>8.8387999999999991</v>
      </c>
    </row>
    <row r="382" spans="1:49" ht="9" customHeight="1" x14ac:dyDescent="0.3">
      <c r="C382" s="725"/>
      <c r="D382" s="726"/>
      <c r="E382" s="726"/>
      <c r="F382" s="726"/>
      <c r="G382" s="726"/>
      <c r="H382" s="726"/>
      <c r="I382" s="726"/>
      <c r="J382" s="726"/>
      <c r="K382" s="711"/>
    </row>
    <row r="383" spans="1:49" ht="30.75" customHeight="1" x14ac:dyDescent="0.3">
      <c r="C383" s="725" t="s">
        <v>594</v>
      </c>
      <c r="D383" s="726"/>
      <c r="E383" s="726"/>
      <c r="F383" s="726"/>
      <c r="G383" s="726" t="s">
        <v>592</v>
      </c>
      <c r="H383" s="726"/>
      <c r="I383" s="726" t="s">
        <v>595</v>
      </c>
      <c r="J383" s="726"/>
      <c r="K383" s="711"/>
    </row>
    <row r="384" spans="1:49" x14ac:dyDescent="0.3">
      <c r="C384" s="711"/>
      <c r="D384" s="710"/>
      <c r="E384" s="710"/>
      <c r="F384" s="710"/>
      <c r="G384" s="710"/>
      <c r="H384" s="710"/>
      <c r="I384" s="710"/>
      <c r="J384" s="710"/>
      <c r="K384" s="711"/>
    </row>
    <row r="385" spans="3:27" x14ac:dyDescent="0.3">
      <c r="C385" s="711"/>
      <c r="D385" s="710"/>
      <c r="E385" s="710"/>
      <c r="F385" s="710"/>
      <c r="G385" s="710"/>
      <c r="H385" s="710"/>
      <c r="I385" s="710"/>
      <c r="J385" s="710"/>
      <c r="K385" s="711"/>
      <c r="R385" s="730">
        <f>SUM(R8:R377)</f>
        <v>140549.33000000002</v>
      </c>
      <c r="S385" s="730">
        <f>SUM(S8:S377)</f>
        <v>28109.862000000008</v>
      </c>
      <c r="T385" s="730">
        <f>SUM(T8:T377)</f>
        <v>168675.41503999999</v>
      </c>
      <c r="W385" s="401">
        <f>R385+S385</f>
        <v>168659.19200000004</v>
      </c>
      <c r="X385" s="402"/>
      <c r="Y385" s="250" t="s">
        <v>653</v>
      </c>
      <c r="Z385" s="410"/>
      <c r="AA385" s="449"/>
    </row>
    <row r="386" spans="3:27" x14ac:dyDescent="0.3">
      <c r="X386" s="485"/>
      <c r="Y386" s="486" t="s">
        <v>690</v>
      </c>
    </row>
    <row r="387" spans="3:27" x14ac:dyDescent="0.3">
      <c r="T387" s="729">
        <f>T385/120*20</f>
        <v>28112.56917333333</v>
      </c>
      <c r="W387" s="57" t="s">
        <v>665</v>
      </c>
    </row>
    <row r="388" spans="3:27" hidden="1" x14ac:dyDescent="0.3">
      <c r="T388" s="729">
        <v>64130</v>
      </c>
      <c r="W388" s="57" t="s">
        <v>660</v>
      </c>
      <c r="Y388" s="249">
        <v>-4.1042999999999976</v>
      </c>
      <c r="Z388" s="404">
        <v>-111.60674000000024</v>
      </c>
    </row>
    <row r="389" spans="3:27" hidden="1" x14ac:dyDescent="0.3">
      <c r="T389" s="729">
        <f>T385-T388</f>
        <v>104545.41503999999</v>
      </c>
      <c r="Y389" s="249">
        <v>4.7345000000000033</v>
      </c>
      <c r="Z389" s="404">
        <v>2649.64</v>
      </c>
    </row>
    <row r="390" spans="3:27" hidden="1" x14ac:dyDescent="0.3">
      <c r="Y390" s="255">
        <f>-(Y388)+Y389</f>
        <v>8.8388000000000009</v>
      </c>
    </row>
    <row r="396" spans="3:27" x14ac:dyDescent="0.3">
      <c r="Y396" s="412">
        <f>ROUND(T385/W379*100%-100%,4)</f>
        <v>1.4088000000000001</v>
      </c>
      <c r="Z396" s="404" t="s">
        <v>663</v>
      </c>
    </row>
    <row r="397" spans="3:27" x14ac:dyDescent="0.3">
      <c r="W397" s="401"/>
    </row>
  </sheetData>
  <mergeCells count="729">
    <mergeCell ref="U22:U23"/>
    <mergeCell ref="Z11:Z12"/>
    <mergeCell ref="Z22:Z23"/>
    <mergeCell ref="X25:X26"/>
    <mergeCell ref="X40:X41"/>
    <mergeCell ref="X43:X44"/>
    <mergeCell ref="Z43:Z44"/>
    <mergeCell ref="V4:V5"/>
    <mergeCell ref="V11:V12"/>
    <mergeCell ref="V22:V23"/>
    <mergeCell ref="V25:V26"/>
    <mergeCell ref="V43:V44"/>
    <mergeCell ref="U40:U41"/>
    <mergeCell ref="Z40:Z41"/>
    <mergeCell ref="AA1:AA7"/>
    <mergeCell ref="AC1:AC7"/>
    <mergeCell ref="AD1:AD7"/>
    <mergeCell ref="AC11:AC12"/>
    <mergeCell ref="AC22:AC23"/>
    <mergeCell ref="AC25:AC26"/>
    <mergeCell ref="AC40:AC41"/>
    <mergeCell ref="AC43:AC44"/>
    <mergeCell ref="AA25:AA26"/>
    <mergeCell ref="AA40:AA41"/>
    <mergeCell ref="AM89:AM90"/>
    <mergeCell ref="AN89:AN90"/>
    <mergeCell ref="AM108:AM109"/>
    <mergeCell ref="AN108:AN109"/>
    <mergeCell ref="AK89:AK90"/>
    <mergeCell ref="AK74:AK75"/>
    <mergeCell ref="U370:U371"/>
    <mergeCell ref="U89:U90"/>
    <mergeCell ref="U74:U75"/>
    <mergeCell ref="AC89:AC90"/>
    <mergeCell ref="AC108:AC109"/>
    <mergeCell ref="AA117:AA118"/>
    <mergeCell ref="AA130:AA131"/>
    <mergeCell ref="AA316:AA317"/>
    <mergeCell ref="AA324:AA325"/>
    <mergeCell ref="AA327:AA328"/>
    <mergeCell ref="AC117:AC118"/>
    <mergeCell ref="Z108:Z109"/>
    <mergeCell ref="Z145:Z146"/>
    <mergeCell ref="X370:X371"/>
    <mergeCell ref="X225:X226"/>
    <mergeCell ref="X74:X75"/>
    <mergeCell ref="X89:X90"/>
    <mergeCell ref="X117:X118"/>
    <mergeCell ref="AK43:AK44"/>
    <mergeCell ref="AK40:AK41"/>
    <mergeCell ref="AM40:AM41"/>
    <mergeCell ref="AN40:AN41"/>
    <mergeCell ref="AM43:AM44"/>
    <mergeCell ref="AN43:AN44"/>
    <mergeCell ref="AM74:AM75"/>
    <mergeCell ref="AD74:AD75"/>
    <mergeCell ref="AC74:AC75"/>
    <mergeCell ref="AG74:AG75"/>
    <mergeCell ref="AH74:AH75"/>
    <mergeCell ref="AN74:AN75"/>
    <mergeCell ref="AS130:AS131"/>
    <mergeCell ref="AS145:AS146"/>
    <mergeCell ref="AS225:AS226"/>
    <mergeCell ref="AS234:AS235"/>
    <mergeCell ref="AS308:AS309"/>
    <mergeCell ref="AS316:AS317"/>
    <mergeCell ref="AG225:AG226"/>
    <mergeCell ref="AH225:AH226"/>
    <mergeCell ref="AG234:AG235"/>
    <mergeCell ref="AH234:AH235"/>
    <mergeCell ref="AG308:AG309"/>
    <mergeCell ref="AH308:AH309"/>
    <mergeCell ref="AG316:AG317"/>
    <mergeCell ref="AH316:AH317"/>
    <mergeCell ref="AO145:AO146"/>
    <mergeCell ref="AO225:AO226"/>
    <mergeCell ref="AO234:AO235"/>
    <mergeCell ref="AO308:AO309"/>
    <mergeCell ref="AO316:AO317"/>
    <mergeCell ref="AK225:AK226"/>
    <mergeCell ref="AK234:AK235"/>
    <mergeCell ref="AS324:AS325"/>
    <mergeCell ref="AS327:AS328"/>
    <mergeCell ref="AM225:AM226"/>
    <mergeCell ref="AN225:AN226"/>
    <mergeCell ref="AM234:AM235"/>
    <mergeCell ref="AN234:AN235"/>
    <mergeCell ref="AE304:AX304"/>
    <mergeCell ref="AS11:AS12"/>
    <mergeCell ref="AS22:AS23"/>
    <mergeCell ref="AS25:AS26"/>
    <mergeCell ref="AS43:AS44"/>
    <mergeCell ref="AS40:AS41"/>
    <mergeCell ref="AS74:AS75"/>
    <mergeCell ref="AS89:AS90"/>
    <mergeCell ref="AS108:AS109"/>
    <mergeCell ref="AS117:AS118"/>
    <mergeCell ref="AK11:AK12"/>
    <mergeCell ref="AM11:AM12"/>
    <mergeCell ref="AN11:AN12"/>
    <mergeCell ref="AK22:AK23"/>
    <mergeCell ref="AM22:AM23"/>
    <mergeCell ref="AN22:AN23"/>
    <mergeCell ref="AK25:AK26"/>
    <mergeCell ref="AM25:AM26"/>
    <mergeCell ref="AN2:AN7"/>
    <mergeCell ref="AM2:AM7"/>
    <mergeCell ref="AK373:AK374"/>
    <mergeCell ref="AM373:AM374"/>
    <mergeCell ref="AN373:AN374"/>
    <mergeCell ref="AM324:AM325"/>
    <mergeCell ref="AN324:AN325"/>
    <mergeCell ref="AM327:AM328"/>
    <mergeCell ref="AN327:AN328"/>
    <mergeCell ref="AK354:AK355"/>
    <mergeCell ref="AM354:AM355"/>
    <mergeCell ref="AN354:AN355"/>
    <mergeCell ref="AK370:AK371"/>
    <mergeCell ref="AM370:AM371"/>
    <mergeCell ref="AN370:AN371"/>
    <mergeCell ref="AK308:AK309"/>
    <mergeCell ref="AM308:AM309"/>
    <mergeCell ref="AN308:AN309"/>
    <mergeCell ref="AM316:AM317"/>
    <mergeCell ref="AN316:AN317"/>
    <mergeCell ref="AM117:AM118"/>
    <mergeCell ref="AN117:AN118"/>
    <mergeCell ref="AM145:AM146"/>
    <mergeCell ref="AN145:AN146"/>
    <mergeCell ref="AN25:AN26"/>
    <mergeCell ref="AD11:AD12"/>
    <mergeCell ref="AD22:AD23"/>
    <mergeCell ref="AD25:AD26"/>
    <mergeCell ref="AD40:AD41"/>
    <mergeCell ref="AD43:AD44"/>
    <mergeCell ref="N25:N26"/>
    <mergeCell ref="O25:O26"/>
    <mergeCell ref="AG11:AG12"/>
    <mergeCell ref="AH11:AH12"/>
    <mergeCell ref="AG22:AG23"/>
    <mergeCell ref="AH22:AH23"/>
    <mergeCell ref="AG25:AG26"/>
    <mergeCell ref="AH25:AH26"/>
    <mergeCell ref="U25:U26"/>
    <mergeCell ref="Q43:Q44"/>
    <mergeCell ref="R43:R44"/>
    <mergeCell ref="T43:T44"/>
    <mergeCell ref="AG40:AG41"/>
    <mergeCell ref="AH40:AH41"/>
    <mergeCell ref="AG43:AG44"/>
    <mergeCell ref="AH43:AH44"/>
    <mergeCell ref="X11:X12"/>
    <mergeCell ref="X22:X23"/>
    <mergeCell ref="J25:J26"/>
    <mergeCell ref="P25:P26"/>
    <mergeCell ref="H40:H41"/>
    <mergeCell ref="H43:H44"/>
    <mergeCell ref="I40:I41"/>
    <mergeCell ref="J40:J41"/>
    <mergeCell ref="P40:P41"/>
    <mergeCell ref="K25:K26"/>
    <mergeCell ref="I43:I44"/>
    <mergeCell ref="J43:J44"/>
    <mergeCell ref="K43:K44"/>
    <mergeCell ref="L25:L26"/>
    <mergeCell ref="M25:M26"/>
    <mergeCell ref="K40:K41"/>
    <mergeCell ref="L40:L41"/>
    <mergeCell ref="P43:P44"/>
    <mergeCell ref="N43:N44"/>
    <mergeCell ref="O43:O44"/>
    <mergeCell ref="N40:N41"/>
    <mergeCell ref="O40:O41"/>
    <mergeCell ref="T40:T41"/>
    <mergeCell ref="Z370:Z371"/>
    <mergeCell ref="Z373:Z374"/>
    <mergeCell ref="A102:Q102"/>
    <mergeCell ref="A211:Q211"/>
    <mergeCell ref="A294:Q294"/>
    <mergeCell ref="A234:A235"/>
    <mergeCell ref="O145:O146"/>
    <mergeCell ref="H145:H146"/>
    <mergeCell ref="I145:I146"/>
    <mergeCell ref="J145:J146"/>
    <mergeCell ref="A225:A226"/>
    <mergeCell ref="B234:B235"/>
    <mergeCell ref="C234:C235"/>
    <mergeCell ref="B225:B226"/>
    <mergeCell ref="H225:H226"/>
    <mergeCell ref="I225:I226"/>
    <mergeCell ref="J225:J226"/>
    <mergeCell ref="H108:H109"/>
    <mergeCell ref="I108:I109"/>
    <mergeCell ref="J108:J109"/>
    <mergeCell ref="Y354:Y355"/>
    <mergeCell ref="U43:U44"/>
    <mergeCell ref="S130:S131"/>
    <mergeCell ref="X373:X374"/>
    <mergeCell ref="X308:X309"/>
    <mergeCell ref="X4:X7"/>
    <mergeCell ref="W4:W7"/>
    <mergeCell ref="Y225:Y226"/>
    <mergeCell ref="Y234:Y235"/>
    <mergeCell ref="Z74:Z75"/>
    <mergeCell ref="Z89:Z90"/>
    <mergeCell ref="Y4:Y7"/>
    <mergeCell ref="Z225:Z226"/>
    <mergeCell ref="Y74:Y75"/>
    <mergeCell ref="Y89:Y90"/>
    <mergeCell ref="Y22:Y23"/>
    <mergeCell ref="Y25:Y26"/>
    <mergeCell ref="Y40:Y41"/>
    <mergeCell ref="Y43:Y44"/>
    <mergeCell ref="Y108:Y109"/>
    <mergeCell ref="Y117:Y118"/>
    <mergeCell ref="Y130:Y131"/>
    <mergeCell ref="Y11:Y12"/>
    <mergeCell ref="Z117:Z118"/>
    <mergeCell ref="Z130:Z131"/>
    <mergeCell ref="Z25:Z26"/>
    <mergeCell ref="W370:W371"/>
    <mergeCell ref="S324:S325"/>
    <mergeCell ref="X108:X109"/>
    <mergeCell ref="X130:X131"/>
    <mergeCell ref="X145:X146"/>
    <mergeCell ref="X234:X235"/>
    <mergeCell ref="X316:X317"/>
    <mergeCell ref="X324:X325"/>
    <mergeCell ref="A380:T380"/>
    <mergeCell ref="P1:T1"/>
    <mergeCell ref="A2:T2"/>
    <mergeCell ref="B379:C379"/>
    <mergeCell ref="A125:I127"/>
    <mergeCell ref="A53:I55"/>
    <mergeCell ref="A142:I144"/>
    <mergeCell ref="B107:C107"/>
    <mergeCell ref="B128:C128"/>
    <mergeCell ref="B39:C39"/>
    <mergeCell ref="A108:A124"/>
    <mergeCell ref="A129:A141"/>
    <mergeCell ref="A145:A146"/>
    <mergeCell ref="K145:K146"/>
    <mergeCell ref="L145:L146"/>
    <mergeCell ref="M145:M146"/>
    <mergeCell ref="N145:N146"/>
    <mergeCell ref="R145:R146"/>
    <mergeCell ref="X354:X355"/>
    <mergeCell ref="X327:X328"/>
    <mergeCell ref="H234:H235"/>
    <mergeCell ref="I234:I235"/>
    <mergeCell ref="J234:J235"/>
    <mergeCell ref="P234:P235"/>
    <mergeCell ref="K234:K235"/>
    <mergeCell ref="L234:L235"/>
    <mergeCell ref="M234:M235"/>
    <mergeCell ref="V327:V328"/>
    <mergeCell ref="V324:V325"/>
    <mergeCell ref="V316:V317"/>
    <mergeCell ref="V308:V309"/>
    <mergeCell ref="P316:P317"/>
    <mergeCell ref="O324:O325"/>
    <mergeCell ref="O327:O328"/>
    <mergeCell ref="P327:P328"/>
    <mergeCell ref="Q327:Q328"/>
    <mergeCell ref="R327:R328"/>
    <mergeCell ref="S327:S328"/>
    <mergeCell ref="T327:T328"/>
    <mergeCell ref="U327:U328"/>
    <mergeCell ref="P324:P325"/>
    <mergeCell ref="K324:K325"/>
    <mergeCell ref="L324:L325"/>
    <mergeCell ref="R308:R309"/>
    <mergeCell ref="T130:T131"/>
    <mergeCell ref="P130:P131"/>
    <mergeCell ref="L74:L75"/>
    <mergeCell ref="M74:M75"/>
    <mergeCell ref="M40:M41"/>
    <mergeCell ref="R74:R75"/>
    <mergeCell ref="S74:S75"/>
    <mergeCell ref="Q89:Q90"/>
    <mergeCell ref="N234:N235"/>
    <mergeCell ref="O234:O235"/>
    <mergeCell ref="Q234:Q235"/>
    <mergeCell ref="R234:R235"/>
    <mergeCell ref="R89:R90"/>
    <mergeCell ref="S89:S90"/>
    <mergeCell ref="T89:T90"/>
    <mergeCell ref="O89:O90"/>
    <mergeCell ref="R130:R131"/>
    <mergeCell ref="S108:S109"/>
    <mergeCell ref="T108:T109"/>
    <mergeCell ref="P117:P118"/>
    <mergeCell ref="K130:K131"/>
    <mergeCell ref="T308:T309"/>
    <mergeCell ref="U316:U317"/>
    <mergeCell ref="B40:B41"/>
    <mergeCell ref="C40:C41"/>
    <mergeCell ref="D40:D41"/>
    <mergeCell ref="B43:B44"/>
    <mergeCell ref="C43:C44"/>
    <mergeCell ref="S43:S44"/>
    <mergeCell ref="O74:O75"/>
    <mergeCell ref="Q74:Q75"/>
    <mergeCell ref="Q40:Q41"/>
    <mergeCell ref="R40:R41"/>
    <mergeCell ref="S40:S41"/>
    <mergeCell ref="L308:L309"/>
    <mergeCell ref="J130:J131"/>
    <mergeCell ref="P225:P226"/>
    <mergeCell ref="Q225:Q226"/>
    <mergeCell ref="R225:R226"/>
    <mergeCell ref="S225:S226"/>
    <mergeCell ref="T225:T226"/>
    <mergeCell ref="O225:O226"/>
    <mergeCell ref="K225:K226"/>
    <mergeCell ref="P145:P146"/>
    <mergeCell ref="Q145:Q146"/>
    <mergeCell ref="N327:N328"/>
    <mergeCell ref="A354:A355"/>
    <mergeCell ref="Q117:Q118"/>
    <mergeCell ref="R117:R118"/>
    <mergeCell ref="Q130:Q131"/>
    <mergeCell ref="V74:V75"/>
    <mergeCell ref="V84:V85"/>
    <mergeCell ref="V89:V90"/>
    <mergeCell ref="S354:S355"/>
    <mergeCell ref="T354:T355"/>
    <mergeCell ref="U354:U355"/>
    <mergeCell ref="T74:T75"/>
    <mergeCell ref="S234:S235"/>
    <mergeCell ref="T234:T235"/>
    <mergeCell ref="T117:T118"/>
    <mergeCell ref="S145:S146"/>
    <mergeCell ref="T145:T146"/>
    <mergeCell ref="U234:U235"/>
    <mergeCell ref="U108:U109"/>
    <mergeCell ref="U117:U118"/>
    <mergeCell ref="U308:U309"/>
    <mergeCell ref="U324:U325"/>
    <mergeCell ref="T324:T325"/>
    <mergeCell ref="S308:S309"/>
    <mergeCell ref="D327:D328"/>
    <mergeCell ref="K327:K328"/>
    <mergeCell ref="U225:U226"/>
    <mergeCell ref="U130:U131"/>
    <mergeCell ref="U145:U146"/>
    <mergeCell ref="B370:B371"/>
    <mergeCell ref="A370:A371"/>
    <mergeCell ref="D370:D371"/>
    <mergeCell ref="I354:I355"/>
    <mergeCell ref="J354:J355"/>
    <mergeCell ref="P354:P355"/>
    <mergeCell ref="Q354:Q355"/>
    <mergeCell ref="S370:S371"/>
    <mergeCell ref="T370:T371"/>
    <mergeCell ref="R354:R355"/>
    <mergeCell ref="C370:C371"/>
    <mergeCell ref="B354:B355"/>
    <mergeCell ref="C354:C355"/>
    <mergeCell ref="D354:D355"/>
    <mergeCell ref="H354:H355"/>
    <mergeCell ref="A360:T360"/>
    <mergeCell ref="C324:C325"/>
    <mergeCell ref="L327:L328"/>
    <mergeCell ref="M327:M328"/>
    <mergeCell ref="A324:A325"/>
    <mergeCell ref="A327:A328"/>
    <mergeCell ref="C316:C317"/>
    <mergeCell ref="G327:G328"/>
    <mergeCell ref="B324:B325"/>
    <mergeCell ref="A351:T351"/>
    <mergeCell ref="Q324:Q325"/>
    <mergeCell ref="R324:R325"/>
    <mergeCell ref="N324:N325"/>
    <mergeCell ref="G324:G325"/>
    <mergeCell ref="M324:M325"/>
    <mergeCell ref="H324:H325"/>
    <mergeCell ref="I324:I325"/>
    <mergeCell ref="J324:J325"/>
    <mergeCell ref="A316:A317"/>
    <mergeCell ref="K316:K317"/>
    <mergeCell ref="L316:L317"/>
    <mergeCell ref="M316:M317"/>
    <mergeCell ref="B327:B328"/>
    <mergeCell ref="C327:C328"/>
    <mergeCell ref="H327:H328"/>
    <mergeCell ref="I327:I328"/>
    <mergeCell ref="J327:J328"/>
    <mergeCell ref="D324:D325"/>
    <mergeCell ref="Q308:Q309"/>
    <mergeCell ref="O316:O317"/>
    <mergeCell ref="M308:M309"/>
    <mergeCell ref="N308:N309"/>
    <mergeCell ref="O308:O309"/>
    <mergeCell ref="D308:D309"/>
    <mergeCell ref="D316:D317"/>
    <mergeCell ref="H308:H309"/>
    <mergeCell ref="I308:I309"/>
    <mergeCell ref="J308:J309"/>
    <mergeCell ref="H316:H317"/>
    <mergeCell ref="I316:I317"/>
    <mergeCell ref="J316:J317"/>
    <mergeCell ref="G316:G317"/>
    <mergeCell ref="G308:G309"/>
    <mergeCell ref="C308:C309"/>
    <mergeCell ref="N316:N317"/>
    <mergeCell ref="Q316:Q317"/>
    <mergeCell ref="R316:R317"/>
    <mergeCell ref="K308:K309"/>
    <mergeCell ref="Q25:Q26"/>
    <mergeCell ref="R25:R26"/>
    <mergeCell ref="S25:S26"/>
    <mergeCell ref="T25:T26"/>
    <mergeCell ref="L225:L226"/>
    <mergeCell ref="M225:M226"/>
    <mergeCell ref="N225:N226"/>
    <mergeCell ref="O117:O118"/>
    <mergeCell ref="L130:L131"/>
    <mergeCell ref="M130:M131"/>
    <mergeCell ref="Q108:Q109"/>
    <mergeCell ref="O108:O109"/>
    <mergeCell ref="N108:N109"/>
    <mergeCell ref="P108:P109"/>
    <mergeCell ref="N130:N131"/>
    <mergeCell ref="O130:O131"/>
    <mergeCell ref="L108:L109"/>
    <mergeCell ref="M108:M109"/>
    <mergeCell ref="R108:R109"/>
    <mergeCell ref="K22:K23"/>
    <mergeCell ref="L22:L23"/>
    <mergeCell ref="M22:M23"/>
    <mergeCell ref="N22:N23"/>
    <mergeCell ref="Q22:Q23"/>
    <mergeCell ref="N74:N75"/>
    <mergeCell ref="L43:L44"/>
    <mergeCell ref="M43:M44"/>
    <mergeCell ref="S117:S118"/>
    <mergeCell ref="P22:P23"/>
    <mergeCell ref="O22:O23"/>
    <mergeCell ref="A100:T100"/>
    <mergeCell ref="A25:A26"/>
    <mergeCell ref="J74:J75"/>
    <mergeCell ref="P74:P75"/>
    <mergeCell ref="K89:K90"/>
    <mergeCell ref="L89:L90"/>
    <mergeCell ref="M89:M90"/>
    <mergeCell ref="N89:N90"/>
    <mergeCell ref="J117:J118"/>
    <mergeCell ref="J89:J90"/>
    <mergeCell ref="P89:P90"/>
    <mergeCell ref="K117:K118"/>
    <mergeCell ref="L117:L118"/>
    <mergeCell ref="D225:D226"/>
    <mergeCell ref="B74:B75"/>
    <mergeCell ref="A74:A75"/>
    <mergeCell ref="C74:C75"/>
    <mergeCell ref="D74:D75"/>
    <mergeCell ref="C22:C23"/>
    <mergeCell ref="H74:H75"/>
    <mergeCell ref="I74:I75"/>
    <mergeCell ref="D43:D44"/>
    <mergeCell ref="A40:A52"/>
    <mergeCell ref="B25:B26"/>
    <mergeCell ref="C25:C26"/>
    <mergeCell ref="D25:D26"/>
    <mergeCell ref="H25:H26"/>
    <mergeCell ref="I25:I26"/>
    <mergeCell ref="D145:D146"/>
    <mergeCell ref="H117:H118"/>
    <mergeCell ref="I117:I118"/>
    <mergeCell ref="H130:H131"/>
    <mergeCell ref="I130:I131"/>
    <mergeCell ref="H89:H90"/>
    <mergeCell ref="I89:I90"/>
    <mergeCell ref="A60:T60"/>
    <mergeCell ref="K74:K75"/>
    <mergeCell ref="M117:M118"/>
    <mergeCell ref="N117:N118"/>
    <mergeCell ref="K108:K109"/>
    <mergeCell ref="U4:U5"/>
    <mergeCell ref="U11:U12"/>
    <mergeCell ref="H11:H12"/>
    <mergeCell ref="I11:I12"/>
    <mergeCell ref="J11:J12"/>
    <mergeCell ref="P11:P12"/>
    <mergeCell ref="Q11:Q12"/>
    <mergeCell ref="R11:R12"/>
    <mergeCell ref="S11:S12"/>
    <mergeCell ref="T11:T12"/>
    <mergeCell ref="K4:K5"/>
    <mergeCell ref="L4:L5"/>
    <mergeCell ref="M4:M5"/>
    <mergeCell ref="T4:T5"/>
    <mergeCell ref="O11:O12"/>
    <mergeCell ref="K11:K12"/>
    <mergeCell ref="L11:L12"/>
    <mergeCell ref="N4:N5"/>
    <mergeCell ref="O4:O5"/>
    <mergeCell ref="P4:P5"/>
    <mergeCell ref="A7:T7"/>
    <mergeCell ref="A10:T10"/>
    <mergeCell ref="G4:G5"/>
    <mergeCell ref="H4:H5"/>
    <mergeCell ref="J4:J5"/>
    <mergeCell ref="A11:A12"/>
    <mergeCell ref="A22:A23"/>
    <mergeCell ref="T22:T23"/>
    <mergeCell ref="B22:B23"/>
    <mergeCell ref="A4:A5"/>
    <mergeCell ref="B4:B5"/>
    <mergeCell ref="C4:C5"/>
    <mergeCell ref="D4:D5"/>
    <mergeCell ref="E4:E5"/>
    <mergeCell ref="F4:F5"/>
    <mergeCell ref="D22:D23"/>
    <mergeCell ref="B11:B12"/>
    <mergeCell ref="C11:C12"/>
    <mergeCell ref="D11:D12"/>
    <mergeCell ref="M11:M12"/>
    <mergeCell ref="N11:N12"/>
    <mergeCell ref="R22:R23"/>
    <mergeCell ref="S22:S23"/>
    <mergeCell ref="H22:H23"/>
    <mergeCell ref="I22:I23"/>
    <mergeCell ref="J22:J23"/>
    <mergeCell ref="B373:B374"/>
    <mergeCell ref="C373:C374"/>
    <mergeCell ref="A373:A374"/>
    <mergeCell ref="D373:D374"/>
    <mergeCell ref="C145:C146"/>
    <mergeCell ref="A89:A90"/>
    <mergeCell ref="B89:B90"/>
    <mergeCell ref="C89:C90"/>
    <mergeCell ref="D89:D90"/>
    <mergeCell ref="C225:C226"/>
    <mergeCell ref="B316:B317"/>
    <mergeCell ref="B130:B131"/>
    <mergeCell ref="C130:C131"/>
    <mergeCell ref="D130:D131"/>
    <mergeCell ref="D117:D118"/>
    <mergeCell ref="B108:B109"/>
    <mergeCell ref="C108:C109"/>
    <mergeCell ref="D108:D109"/>
    <mergeCell ref="C117:C118"/>
    <mergeCell ref="B117:B118"/>
    <mergeCell ref="D234:D235"/>
    <mergeCell ref="B308:B309"/>
    <mergeCell ref="A308:A309"/>
    <mergeCell ref="V370:V371"/>
    <mergeCell ref="U373:U374"/>
    <mergeCell ref="V373:V374"/>
    <mergeCell ref="V234:V235"/>
    <mergeCell ref="V225:V226"/>
    <mergeCell ref="V354:V355"/>
    <mergeCell ref="O373:O374"/>
    <mergeCell ref="H373:H374"/>
    <mergeCell ref="I373:I374"/>
    <mergeCell ref="J373:J374"/>
    <mergeCell ref="P373:P374"/>
    <mergeCell ref="Q373:Q374"/>
    <mergeCell ref="R373:R374"/>
    <mergeCell ref="S373:S374"/>
    <mergeCell ref="T373:T374"/>
    <mergeCell ref="H370:H371"/>
    <mergeCell ref="I370:I371"/>
    <mergeCell ref="J370:J371"/>
    <mergeCell ref="P370:P371"/>
    <mergeCell ref="Q370:Q371"/>
    <mergeCell ref="R370:R371"/>
    <mergeCell ref="S316:S317"/>
    <mergeCell ref="T316:T317"/>
    <mergeCell ref="P308:P309"/>
    <mergeCell ref="W373:W374"/>
    <mergeCell ref="W11:W12"/>
    <mergeCell ref="W43:W44"/>
    <mergeCell ref="W40:W41"/>
    <mergeCell ref="W74:W75"/>
    <mergeCell ref="W89:W90"/>
    <mergeCell ref="W108:W109"/>
    <mergeCell ref="W117:W118"/>
    <mergeCell ref="W130:W131"/>
    <mergeCell ref="W145:W146"/>
    <mergeCell ref="W354:W355"/>
    <mergeCell ref="W324:W325"/>
    <mergeCell ref="W327:W328"/>
    <mergeCell ref="W22:W23"/>
    <mergeCell ref="W25:W26"/>
    <mergeCell ref="W225:W226"/>
    <mergeCell ref="W234:W235"/>
    <mergeCell ref="W308:W309"/>
    <mergeCell ref="W316:W317"/>
    <mergeCell ref="AC370:AC371"/>
    <mergeCell ref="AC373:AC374"/>
    <mergeCell ref="Y373:Y374"/>
    <mergeCell ref="AC130:AC131"/>
    <mergeCell ref="AC145:AC146"/>
    <mergeCell ref="AC225:AC226"/>
    <mergeCell ref="AC234:AC235"/>
    <mergeCell ref="AC308:AC309"/>
    <mergeCell ref="AC316:AC317"/>
    <mergeCell ref="AC324:AC325"/>
    <mergeCell ref="AC327:AC328"/>
    <mergeCell ref="AC354:AC355"/>
    <mergeCell ref="Y370:Y371"/>
    <mergeCell ref="Y145:Y146"/>
    <mergeCell ref="Y308:Y309"/>
    <mergeCell ref="Y316:Y317"/>
    <mergeCell ref="Y324:Y325"/>
    <mergeCell ref="Y327:Y328"/>
    <mergeCell ref="Z234:Z235"/>
    <mergeCell ref="Z308:Z309"/>
    <mergeCell ref="Z316:Z317"/>
    <mergeCell ref="Z324:Z325"/>
    <mergeCell ref="Z327:Z328"/>
    <mergeCell ref="Z354:Z355"/>
    <mergeCell ref="AD89:AD90"/>
    <mergeCell ref="AD108:AD109"/>
    <mergeCell ref="AD117:AD118"/>
    <mergeCell ref="AD130:AD131"/>
    <mergeCell ref="AD145:AD146"/>
    <mergeCell ref="AD225:AD226"/>
    <mergeCell ref="AD234:AD235"/>
    <mergeCell ref="AD308:AD309"/>
    <mergeCell ref="AD316:AD317"/>
    <mergeCell ref="AI373:AI374"/>
    <mergeCell ref="AI2:AI7"/>
    <mergeCell ref="AI130:AI131"/>
    <mergeCell ref="AI145:AI146"/>
    <mergeCell ref="AI225:AI226"/>
    <mergeCell ref="AI234:AI235"/>
    <mergeCell ref="AI308:AI309"/>
    <mergeCell ref="AI316:AI317"/>
    <mergeCell ref="AI324:AI325"/>
    <mergeCell ref="AI327:AI328"/>
    <mergeCell ref="AI354:AI355"/>
    <mergeCell ref="AI11:AI12"/>
    <mergeCell ref="AI22:AI23"/>
    <mergeCell ref="AI25:AI26"/>
    <mergeCell ref="AI40:AI41"/>
    <mergeCell ref="AI43:AI44"/>
    <mergeCell ref="AI74:AI75"/>
    <mergeCell ref="AI89:AI90"/>
    <mergeCell ref="AI108:AI109"/>
    <mergeCell ref="AI117:AI118"/>
    <mergeCell ref="AG89:AG90"/>
    <mergeCell ref="AH89:AH90"/>
    <mergeCell ref="AG108:AG109"/>
    <mergeCell ref="AH108:AH109"/>
    <mergeCell ref="AG117:AG118"/>
    <mergeCell ref="AH117:AH118"/>
    <mergeCell ref="AG130:AG131"/>
    <mergeCell ref="AH130:AH131"/>
    <mergeCell ref="AG145:AG146"/>
    <mergeCell ref="AH145:AH146"/>
    <mergeCell ref="AG373:AG374"/>
    <mergeCell ref="AH373:AH374"/>
    <mergeCell ref="AG324:AG325"/>
    <mergeCell ref="AH324:AH325"/>
    <mergeCell ref="AG327:AG328"/>
    <mergeCell ref="AH327:AH328"/>
    <mergeCell ref="AE336:AY336"/>
    <mergeCell ref="AE340:AY340"/>
    <mergeCell ref="AD354:AD355"/>
    <mergeCell ref="AG354:AG355"/>
    <mergeCell ref="AH354:AH355"/>
    <mergeCell ref="AG370:AG371"/>
    <mergeCell ref="AH370:AH371"/>
    <mergeCell ref="AD373:AD374"/>
    <mergeCell ref="AO373:AO374"/>
    <mergeCell ref="AO324:AO325"/>
    <mergeCell ref="AO327:AO328"/>
    <mergeCell ref="AO354:AO355"/>
    <mergeCell ref="AO370:AO371"/>
    <mergeCell ref="AQ373:AQ374"/>
    <mergeCell ref="AD324:AD325"/>
    <mergeCell ref="AD327:AD328"/>
    <mergeCell ref="AD370:AD371"/>
    <mergeCell ref="AI370:AI371"/>
    <mergeCell ref="AO11:AO12"/>
    <mergeCell ref="AO22:AO23"/>
    <mergeCell ref="AO25:AO26"/>
    <mergeCell ref="AO40:AO41"/>
    <mergeCell ref="AO43:AO44"/>
    <mergeCell ref="AO74:AO75"/>
    <mergeCell ref="AO89:AO90"/>
    <mergeCell ref="AO108:AO109"/>
    <mergeCell ref="AO117:AO118"/>
    <mergeCell ref="AQ11:AQ12"/>
    <mergeCell ref="AQ22:AQ23"/>
    <mergeCell ref="AQ25:AQ26"/>
    <mergeCell ref="AQ40:AQ41"/>
    <mergeCell ref="AQ43:AQ44"/>
    <mergeCell ref="AQ74:AQ75"/>
    <mergeCell ref="AQ89:AQ90"/>
    <mergeCell ref="AQ108:AQ109"/>
    <mergeCell ref="AQ370:AQ371"/>
    <mergeCell ref="AQ117:AQ118"/>
    <mergeCell ref="AQ145:AQ146"/>
    <mergeCell ref="AQ225:AQ226"/>
    <mergeCell ref="AQ234:AQ235"/>
    <mergeCell ref="AQ308:AQ309"/>
    <mergeCell ref="AQ316:AQ317"/>
    <mergeCell ref="AQ324:AQ325"/>
    <mergeCell ref="AQ327:AQ328"/>
    <mergeCell ref="AQ354:AQ355"/>
    <mergeCell ref="AE2:AE7"/>
    <mergeCell ref="Z1:Z7"/>
    <mergeCell ref="AR354:AR355"/>
    <mergeCell ref="AR370:AR371"/>
    <mergeCell ref="AR373:AR374"/>
    <mergeCell ref="AR117:AR118"/>
    <mergeCell ref="AR130:AR131"/>
    <mergeCell ref="AR145:AR146"/>
    <mergeCell ref="AR225:AR226"/>
    <mergeCell ref="AR234:AR235"/>
    <mergeCell ref="AR308:AR309"/>
    <mergeCell ref="AR316:AR317"/>
    <mergeCell ref="AR324:AR325"/>
    <mergeCell ref="AR327:AR328"/>
    <mergeCell ref="AR2:AR7"/>
    <mergeCell ref="AR11:AR12"/>
    <mergeCell ref="AR22:AR23"/>
    <mergeCell ref="AR25:AR26"/>
    <mergeCell ref="AR40:AR41"/>
    <mergeCell ref="AR43:AR44"/>
    <mergeCell ref="AR74:AR75"/>
    <mergeCell ref="AR89:AR90"/>
    <mergeCell ref="AR108:AR109"/>
    <mergeCell ref="AQ1:AQ7"/>
  </mergeCells>
  <conditionalFormatting sqref="AG8:AG303 AN8:AN303 AG351:AG377 AN337:AN339 AG337:AG339 AG341:AG349 AN341:AN377 AN305:AN335 AG305:AG335">
    <cfRule type="cellIs" dxfId="25" priority="52" operator="lessThan">
      <formula>0</formula>
    </cfRule>
  </conditionalFormatting>
  <conditionalFormatting sqref="AH8:AI303 AH337:AI339 AH341:AI377 AH305:AI335">
    <cfRule type="cellIs" dxfId="24" priority="51" operator="greaterThan">
      <formula>1</formula>
    </cfRule>
  </conditionalFormatting>
  <conditionalFormatting sqref="AQ8:AQ303 AQ337:AQ339 AQ341:AQ377 AQ305:AQ335">
    <cfRule type="cellIs" dxfId="23" priority="48" operator="greaterThan">
      <formula>0</formula>
    </cfRule>
  </conditionalFormatting>
  <conditionalFormatting sqref="AQ1:AQ303 AQ337:AQ339 AQ341:AQ1048576 AQ305:AQ335">
    <cfRule type="cellIs" dxfId="22" priority="47" operator="greaterThan">
      <formula>0</formula>
    </cfRule>
  </conditionalFormatting>
  <conditionalFormatting sqref="Y387:Y1048576 Y147:Y153 Y1:Y144 Y351:Y385 Y155:Y303 Y305:Y348">
    <cfRule type="cellIs" dxfId="21" priority="37" operator="lessThan">
      <formula>0</formula>
    </cfRule>
    <cfRule type="cellIs" dxfId="20" priority="41" operator="lessThan">
      <formula>0</formula>
    </cfRule>
    <cfRule type="cellIs" dxfId="19" priority="42" operator="greaterThan">
      <formula>0</formula>
    </cfRule>
  </conditionalFormatting>
  <conditionalFormatting sqref="Y145">
    <cfRule type="cellIs" dxfId="18" priority="13" operator="lessThan">
      <formula>0</formula>
    </cfRule>
    <cfRule type="cellIs" dxfId="17" priority="14" operator="lessThan">
      <formula>0</formula>
    </cfRule>
    <cfRule type="cellIs" dxfId="16" priority="15" operator="greaterThan">
      <formula>0</formula>
    </cfRule>
  </conditionalFormatting>
  <conditionalFormatting sqref="Y154">
    <cfRule type="cellIs" dxfId="15" priority="10" operator="lessThan">
      <formula>0</formula>
    </cfRule>
    <cfRule type="cellIs" dxfId="14" priority="11" operator="lessThan">
      <formula>0</formula>
    </cfRule>
    <cfRule type="cellIs" dxfId="13" priority="12" operator="greaterThan">
      <formula>0</formula>
    </cfRule>
  </conditionalFormatting>
  <conditionalFormatting sqref="Y349">
    <cfRule type="cellIs" dxfId="12" priority="7" operator="lessThan">
      <formula>0</formula>
    </cfRule>
    <cfRule type="cellIs" dxfId="11" priority="8" operator="lessThan">
      <formula>0</formula>
    </cfRule>
    <cfRule type="cellIs" dxfId="10" priority="9" operator="greaterThan">
      <formula>0</formula>
    </cfRule>
  </conditionalFormatting>
  <conditionalFormatting sqref="Y350">
    <cfRule type="cellIs" dxfId="9" priority="4" operator="lessThan">
      <formula>0</formula>
    </cfRule>
    <cfRule type="cellIs" dxfId="8" priority="5" operator="lessThan">
      <formula>0</formula>
    </cfRule>
    <cfRule type="cellIs" dxfId="7" priority="6" operator="greaterThan">
      <formula>0</formula>
    </cfRule>
  </conditionalFormatting>
  <conditionalFormatting sqref="Y304">
    <cfRule type="cellIs" dxfId="6" priority="1" operator="lessThan">
      <formula>0</formula>
    </cfRule>
    <cfRule type="cellIs" dxfId="5" priority="2" operator="lessThan">
      <formula>0</formula>
    </cfRule>
    <cfRule type="cellIs" dxfId="4" priority="3" operator="greaterThan">
      <formula>0</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Footer>&amp;R&amp;P</oddFooter>
  </headerFooter>
  <rowBreaks count="12" manualBreakCount="12">
    <brk id="30" max="19" man="1"/>
    <brk id="58" max="19" man="1"/>
    <brk id="83" max="19" man="1"/>
    <brk id="106" max="19" man="1"/>
    <brk id="132" max="19" man="1"/>
    <brk id="165" max="19" man="1"/>
    <brk id="198" max="19" man="1"/>
    <brk id="233" max="19" man="1"/>
    <brk id="269" max="19" man="1"/>
    <brk id="307" max="19" man="1"/>
    <brk id="344" max="19" man="1"/>
    <brk id="375"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77"/>
  <sheetViews>
    <sheetView tabSelected="1" view="pageBreakPreview" topLeftCell="A23" zoomScale="80" zoomScaleSheetLayoutView="80" workbookViewId="0">
      <selection activeCell="G20" sqref="G20"/>
    </sheetView>
  </sheetViews>
  <sheetFormatPr defaultRowHeight="15" outlineLevelRow="1" x14ac:dyDescent="0.25"/>
  <cols>
    <col min="1" max="1" width="9.140625" style="48"/>
    <col min="2" max="2" width="10.140625" bestFit="1" customWidth="1"/>
    <col min="3" max="3" width="50.140625" style="46" customWidth="1"/>
    <col min="4" max="4" width="13.85546875" style="16" customWidth="1"/>
    <col min="5" max="5" width="12.28515625" customWidth="1"/>
    <col min="6" max="6" width="10.7109375" customWidth="1"/>
    <col min="7" max="7" width="12.5703125" customWidth="1"/>
    <col min="8" max="8" width="14" hidden="1" customWidth="1"/>
    <col min="9" max="9" width="0" hidden="1" customWidth="1"/>
    <col min="10" max="10" width="9.85546875" hidden="1" customWidth="1"/>
    <col min="11" max="11" width="0" hidden="1" customWidth="1"/>
  </cols>
  <sheetData>
    <row r="1" spans="1:11" ht="69" customHeight="1" x14ac:dyDescent="0.25">
      <c r="A1" s="171"/>
      <c r="B1" s="172"/>
      <c r="C1" s="173"/>
      <c r="D1" s="943" t="s">
        <v>699</v>
      </c>
      <c r="E1" s="943"/>
      <c r="F1" s="943"/>
      <c r="G1" s="943"/>
    </row>
    <row r="2" spans="1:11" ht="66" customHeight="1" x14ac:dyDescent="0.25">
      <c r="A2" s="901" t="s">
        <v>723</v>
      </c>
      <c r="B2" s="902"/>
      <c r="C2" s="902"/>
      <c r="D2" s="902"/>
      <c r="E2" s="902"/>
      <c r="F2" s="902"/>
      <c r="G2" s="902"/>
    </row>
    <row r="3" spans="1:11" ht="12" customHeight="1" x14ac:dyDescent="0.25">
      <c r="A3" s="171"/>
      <c r="B3" s="172"/>
      <c r="C3" s="173"/>
      <c r="D3" s="194"/>
      <c r="E3" s="172"/>
      <c r="F3" s="172"/>
      <c r="G3" s="172"/>
    </row>
    <row r="4" spans="1:11" s="81" customFormat="1" ht="80.25" customHeight="1" x14ac:dyDescent="0.2">
      <c r="A4" s="903" t="s">
        <v>0</v>
      </c>
      <c r="B4" s="905" t="s">
        <v>1</v>
      </c>
      <c r="C4" s="907" t="s">
        <v>2</v>
      </c>
      <c r="D4" s="907" t="s">
        <v>3</v>
      </c>
      <c r="E4" s="670" t="s">
        <v>16</v>
      </c>
      <c r="F4" s="670" t="s">
        <v>22</v>
      </c>
      <c r="G4" s="905" t="s">
        <v>15</v>
      </c>
      <c r="H4" s="899"/>
      <c r="I4" s="810"/>
    </row>
    <row r="5" spans="1:11" s="81" customFormat="1" ht="18" customHeight="1" x14ac:dyDescent="0.2">
      <c r="A5" s="904"/>
      <c r="B5" s="906"/>
      <c r="C5" s="907"/>
      <c r="D5" s="908"/>
      <c r="E5" s="635">
        <f>'условия, ФОТ'!$C$8</f>
        <v>0.1</v>
      </c>
      <c r="F5" s="681">
        <v>0.2</v>
      </c>
      <c r="G5" s="909"/>
      <c r="H5" s="900"/>
      <c r="I5" s="811"/>
    </row>
    <row r="6" spans="1:11" s="3" customFormat="1" ht="15.75" x14ac:dyDescent="0.25">
      <c r="A6" s="682">
        <v>1</v>
      </c>
      <c r="B6" s="643">
        <v>2</v>
      </c>
      <c r="C6" s="683">
        <v>3</v>
      </c>
      <c r="D6" s="684">
        <v>4</v>
      </c>
      <c r="E6" s="643">
        <v>5</v>
      </c>
      <c r="F6" s="643">
        <v>6</v>
      </c>
      <c r="G6" s="643">
        <v>7</v>
      </c>
      <c r="H6" s="78"/>
      <c r="I6" s="78"/>
    </row>
    <row r="7" spans="1:11" s="83" customFormat="1" ht="21.75" customHeight="1" x14ac:dyDescent="0.25">
      <c r="A7" s="965" t="s">
        <v>383</v>
      </c>
      <c r="B7" s="966"/>
      <c r="C7" s="966"/>
      <c r="D7" s="966"/>
      <c r="E7" s="966"/>
      <c r="F7" s="966"/>
      <c r="G7" s="967"/>
      <c r="H7" s="82"/>
      <c r="I7" s="82"/>
    </row>
    <row r="8" spans="1:11" s="81" customFormat="1" ht="52.5" customHeight="1" x14ac:dyDescent="0.25">
      <c r="A8" s="672" t="s">
        <v>144</v>
      </c>
      <c r="B8" s="672" t="s">
        <v>178</v>
      </c>
      <c r="C8" s="648" t="s">
        <v>18</v>
      </c>
      <c r="D8" s="636" t="s">
        <v>20</v>
      </c>
      <c r="E8" s="673">
        <f>'калькуляция 2024'!R8</f>
        <v>1685.83</v>
      </c>
      <c r="F8" s="673">
        <f>'калькуляция 2024'!S8</f>
        <v>337.17</v>
      </c>
      <c r="G8" s="673">
        <f>E8+F8</f>
        <v>2023</v>
      </c>
      <c r="H8" s="99"/>
      <c r="I8" s="85"/>
      <c r="J8" s="57">
        <v>1287</v>
      </c>
      <c r="K8" s="81" t="b">
        <f>G8=J8</f>
        <v>0</v>
      </c>
    </row>
    <row r="9" spans="1:11" s="81" customFormat="1" ht="69" customHeight="1" x14ac:dyDescent="0.25">
      <c r="A9" s="672" t="s">
        <v>145</v>
      </c>
      <c r="B9" s="672" t="s">
        <v>179</v>
      </c>
      <c r="C9" s="648" t="s">
        <v>19</v>
      </c>
      <c r="D9" s="636" t="s">
        <v>20</v>
      </c>
      <c r="E9" s="673">
        <f>'калькуляция 2024'!R9</f>
        <v>1685.83</v>
      </c>
      <c r="F9" s="673">
        <f>'калькуляция 2024'!S9</f>
        <v>337.17</v>
      </c>
      <c r="G9" s="673">
        <f>E9+F9</f>
        <v>2023</v>
      </c>
      <c r="H9" s="99"/>
      <c r="I9" s="85"/>
      <c r="J9" s="57">
        <v>1287</v>
      </c>
      <c r="K9" s="81" t="b">
        <f t="shared" ref="K9:K72" si="0">G9=J9</f>
        <v>0</v>
      </c>
    </row>
    <row r="10" spans="1:11" s="83" customFormat="1" ht="21" customHeight="1" x14ac:dyDescent="0.25">
      <c r="A10" s="965" t="s">
        <v>322</v>
      </c>
      <c r="B10" s="966"/>
      <c r="C10" s="966"/>
      <c r="D10" s="966"/>
      <c r="E10" s="966"/>
      <c r="F10" s="966"/>
      <c r="G10" s="967"/>
      <c r="H10" s="84"/>
      <c r="I10" s="82"/>
      <c r="J10" s="57"/>
      <c r="K10" s="81" t="b">
        <f t="shared" si="0"/>
        <v>1</v>
      </c>
    </row>
    <row r="11" spans="1:11" s="81" customFormat="1" ht="20.25" customHeight="1" x14ac:dyDescent="0.25">
      <c r="A11" s="904" t="s">
        <v>146</v>
      </c>
      <c r="B11" s="904" t="s">
        <v>180</v>
      </c>
      <c r="C11" s="913" t="s">
        <v>23</v>
      </c>
      <c r="D11" s="907" t="s">
        <v>24</v>
      </c>
      <c r="E11" s="914">
        <f>'калькуляция 2024'!R11</f>
        <v>1753.33</v>
      </c>
      <c r="F11" s="914">
        <f>'калькуляция 2024'!S11</f>
        <v>350.67</v>
      </c>
      <c r="G11" s="914">
        <f>E11+F11</f>
        <v>2104</v>
      </c>
      <c r="H11" s="915"/>
      <c r="I11" s="912"/>
      <c r="J11" s="57">
        <v>968</v>
      </c>
      <c r="K11" s="81" t="b">
        <f t="shared" si="0"/>
        <v>0</v>
      </c>
    </row>
    <row r="12" spans="1:11" s="81" customFormat="1" ht="36" customHeight="1" x14ac:dyDescent="0.25">
      <c r="A12" s="904"/>
      <c r="B12" s="904"/>
      <c r="C12" s="913"/>
      <c r="D12" s="907"/>
      <c r="E12" s="914">
        <f>'калькуляция 2024'!R12</f>
        <v>0</v>
      </c>
      <c r="F12" s="914">
        <f>'калькуляция 2024'!S12</f>
        <v>0</v>
      </c>
      <c r="G12" s="914">
        <f t="shared" ref="G12" si="1">E12+F12</f>
        <v>0</v>
      </c>
      <c r="H12" s="916"/>
      <c r="I12" s="912"/>
      <c r="J12" s="57">
        <v>0</v>
      </c>
      <c r="K12" s="81" t="b">
        <f t="shared" si="0"/>
        <v>1</v>
      </c>
    </row>
    <row r="13" spans="1:11" s="81" customFormat="1" ht="15.75" hidden="1" customHeight="1" outlineLevel="1" x14ac:dyDescent="0.25">
      <c r="A13" s="672"/>
      <c r="B13" s="644"/>
      <c r="C13" s="645"/>
      <c r="D13" s="646"/>
      <c r="E13" s="647"/>
      <c r="F13" s="647"/>
      <c r="G13" s="647"/>
      <c r="H13" s="86"/>
      <c r="I13" s="87"/>
      <c r="J13" s="57"/>
      <c r="K13" s="81" t="b">
        <f t="shared" si="0"/>
        <v>1</v>
      </c>
    </row>
    <row r="14" spans="1:11" s="81" customFormat="1" ht="15.75" hidden="1" customHeight="1" outlineLevel="1" x14ac:dyDescent="0.25">
      <c r="A14" s="672"/>
      <c r="B14" s="644"/>
      <c r="C14" s="645"/>
      <c r="D14" s="646"/>
      <c r="E14" s="647"/>
      <c r="F14" s="647"/>
      <c r="G14" s="647"/>
      <c r="H14" s="86"/>
      <c r="I14" s="87"/>
      <c r="J14" s="57"/>
      <c r="K14" s="81" t="b">
        <f t="shared" si="0"/>
        <v>1</v>
      </c>
    </row>
    <row r="15" spans="1:11" s="81" customFormat="1" ht="15.75" hidden="1" customHeight="1" outlineLevel="1" x14ac:dyDescent="0.25">
      <c r="A15" s="672"/>
      <c r="B15" s="644"/>
      <c r="C15" s="645"/>
      <c r="D15" s="646"/>
      <c r="E15" s="647"/>
      <c r="F15" s="647"/>
      <c r="G15" s="647"/>
      <c r="H15" s="86"/>
      <c r="I15" s="87"/>
      <c r="J15" s="57"/>
      <c r="K15" s="81" t="b">
        <f t="shared" si="0"/>
        <v>1</v>
      </c>
    </row>
    <row r="16" spans="1:11" s="81" customFormat="1" ht="30" hidden="1" customHeight="1" outlineLevel="1" x14ac:dyDescent="0.25">
      <c r="A16" s="672"/>
      <c r="B16" s="644"/>
      <c r="C16" s="645"/>
      <c r="D16" s="646"/>
      <c r="E16" s="647"/>
      <c r="F16" s="647"/>
      <c r="G16" s="647"/>
      <c r="H16" s="86"/>
      <c r="I16" s="87"/>
      <c r="J16" s="57"/>
      <c r="K16" s="81" t="b">
        <f t="shared" si="0"/>
        <v>1</v>
      </c>
    </row>
    <row r="17" spans="1:11" s="81" customFormat="1" ht="15.75" hidden="1" customHeight="1" outlineLevel="1" x14ac:dyDescent="0.25">
      <c r="A17" s="672"/>
      <c r="B17" s="644"/>
      <c r="C17" s="645"/>
      <c r="D17" s="646"/>
      <c r="E17" s="647"/>
      <c r="F17" s="647"/>
      <c r="G17" s="647"/>
      <c r="H17" s="86"/>
      <c r="I17" s="87"/>
      <c r="J17" s="57"/>
      <c r="K17" s="81" t="b">
        <f t="shared" si="0"/>
        <v>1</v>
      </c>
    </row>
    <row r="18" spans="1:11" s="81" customFormat="1" ht="15.75" hidden="1" customHeight="1" outlineLevel="1" x14ac:dyDescent="0.25">
      <c r="A18" s="672"/>
      <c r="B18" s="644"/>
      <c r="C18" s="645"/>
      <c r="D18" s="646"/>
      <c r="E18" s="647"/>
      <c r="F18" s="647"/>
      <c r="G18" s="647"/>
      <c r="H18" s="86"/>
      <c r="I18" s="87"/>
      <c r="J18" s="57"/>
      <c r="K18" s="81" t="b">
        <f t="shared" si="0"/>
        <v>1</v>
      </c>
    </row>
    <row r="19" spans="1:11" s="81" customFormat="1" ht="15.75" hidden="1" customHeight="1" outlineLevel="1" x14ac:dyDescent="0.25">
      <c r="A19" s="672"/>
      <c r="B19" s="644"/>
      <c r="C19" s="645"/>
      <c r="D19" s="646"/>
      <c r="E19" s="647"/>
      <c r="F19" s="647"/>
      <c r="G19" s="647"/>
      <c r="H19" s="86"/>
      <c r="I19" s="87"/>
      <c r="J19" s="57"/>
      <c r="K19" s="81" t="b">
        <f t="shared" si="0"/>
        <v>1</v>
      </c>
    </row>
    <row r="20" spans="1:11" s="81" customFormat="1" ht="60" customHeight="1" collapsed="1" x14ac:dyDescent="0.25">
      <c r="A20" s="672" t="s">
        <v>450</v>
      </c>
      <c r="B20" s="672" t="s">
        <v>180</v>
      </c>
      <c r="C20" s="648" t="s">
        <v>384</v>
      </c>
      <c r="D20" s="636" t="s">
        <v>24</v>
      </c>
      <c r="E20" s="673">
        <f>'калькуляция 2024'!R20</f>
        <v>404.17</v>
      </c>
      <c r="F20" s="673">
        <f>'калькуляция 2024'!S20</f>
        <v>80.83</v>
      </c>
      <c r="G20" s="673">
        <f>E20+F20</f>
        <v>485</v>
      </c>
      <c r="H20" s="107"/>
      <c r="I20" s="85"/>
      <c r="J20" s="57">
        <v>248</v>
      </c>
      <c r="K20" s="81" t="b">
        <f t="shared" si="0"/>
        <v>0</v>
      </c>
    </row>
    <row r="21" spans="1:11" s="81" customFormat="1" ht="15.75" hidden="1" customHeight="1" outlineLevel="1" x14ac:dyDescent="0.25">
      <c r="A21" s="672"/>
      <c r="B21" s="644"/>
      <c r="C21" s="645"/>
      <c r="D21" s="646"/>
      <c r="E21" s="647"/>
      <c r="F21" s="647"/>
      <c r="G21" s="647"/>
      <c r="H21" s="108"/>
      <c r="I21" s="87"/>
      <c r="J21" s="57"/>
      <c r="K21" s="81" t="b">
        <f t="shared" si="0"/>
        <v>1</v>
      </c>
    </row>
    <row r="22" spans="1:11" s="81" customFormat="1" collapsed="1" x14ac:dyDescent="0.25">
      <c r="A22" s="904" t="s">
        <v>451</v>
      </c>
      <c r="B22" s="904" t="s">
        <v>181</v>
      </c>
      <c r="C22" s="913" t="s">
        <v>28</v>
      </c>
      <c r="D22" s="907" t="s">
        <v>29</v>
      </c>
      <c r="E22" s="914">
        <f>'калькуляция 2024'!R22</f>
        <v>1069.17</v>
      </c>
      <c r="F22" s="914">
        <f>'калькуляция 2024'!S22</f>
        <v>213.83</v>
      </c>
      <c r="G22" s="914">
        <f>E22+F22</f>
        <v>1283</v>
      </c>
      <c r="H22" s="915"/>
      <c r="I22" s="912"/>
      <c r="J22" s="57">
        <v>550</v>
      </c>
      <c r="K22" s="81" t="b">
        <f t="shared" si="0"/>
        <v>0</v>
      </c>
    </row>
    <row r="23" spans="1:11" s="81" customFormat="1" ht="18.95" customHeight="1" x14ac:dyDescent="0.25">
      <c r="A23" s="904"/>
      <c r="B23" s="904"/>
      <c r="C23" s="913"/>
      <c r="D23" s="907"/>
      <c r="E23" s="914">
        <f>'калькуляция 2024'!R23</f>
        <v>0</v>
      </c>
      <c r="F23" s="914">
        <f>'калькуляция 2024'!S23</f>
        <v>0</v>
      </c>
      <c r="G23" s="914">
        <f t="shared" ref="G23" si="2">E23+F23</f>
        <v>0</v>
      </c>
      <c r="H23" s="916"/>
      <c r="I23" s="912"/>
      <c r="J23" s="57">
        <v>0</v>
      </c>
      <c r="K23" s="81" t="b">
        <f t="shared" si="0"/>
        <v>1</v>
      </c>
    </row>
    <row r="24" spans="1:11" s="81" customFormat="1" ht="15.75" hidden="1" customHeight="1" outlineLevel="1" x14ac:dyDescent="0.25">
      <c r="A24" s="672"/>
      <c r="B24" s="644"/>
      <c r="C24" s="645"/>
      <c r="D24" s="646"/>
      <c r="E24" s="647"/>
      <c r="F24" s="647"/>
      <c r="G24" s="647"/>
      <c r="H24" s="86"/>
      <c r="I24" s="87"/>
      <c r="J24" s="57"/>
      <c r="K24" s="81" t="b">
        <f t="shared" si="0"/>
        <v>1</v>
      </c>
    </row>
    <row r="25" spans="1:11" s="81" customFormat="1" ht="23.25" customHeight="1" collapsed="1" x14ac:dyDescent="0.25">
      <c r="A25" s="920" t="s">
        <v>452</v>
      </c>
      <c r="B25" s="920" t="s">
        <v>356</v>
      </c>
      <c r="C25" s="923" t="s">
        <v>357</v>
      </c>
      <c r="D25" s="905" t="s">
        <v>36</v>
      </c>
      <c r="E25" s="918">
        <f>'калькуляция 2024'!R25</f>
        <v>622.5</v>
      </c>
      <c r="F25" s="918">
        <f>'калькуляция 2024'!S25</f>
        <v>124.5</v>
      </c>
      <c r="G25" s="918">
        <f>E25+F25</f>
        <v>747</v>
      </c>
      <c r="H25" s="915"/>
      <c r="I25" s="912"/>
      <c r="J25" s="57">
        <v>342</v>
      </c>
      <c r="K25" s="81" t="b">
        <f t="shared" si="0"/>
        <v>0</v>
      </c>
    </row>
    <row r="26" spans="1:11" s="81" customFormat="1" ht="27.95" customHeight="1" x14ac:dyDescent="0.25">
      <c r="A26" s="922"/>
      <c r="B26" s="922"/>
      <c r="C26" s="924"/>
      <c r="D26" s="909"/>
      <c r="E26" s="919">
        <f>'калькуляция 2024'!R26</f>
        <v>0</v>
      </c>
      <c r="F26" s="919">
        <f>'калькуляция 2024'!S26</f>
        <v>0</v>
      </c>
      <c r="G26" s="919">
        <f t="shared" ref="G26" si="3">E26+F26</f>
        <v>0</v>
      </c>
      <c r="H26" s="916"/>
      <c r="I26" s="912"/>
      <c r="J26" s="57">
        <v>0</v>
      </c>
      <c r="K26" s="81" t="b">
        <f t="shared" si="0"/>
        <v>1</v>
      </c>
    </row>
    <row r="27" spans="1:11" s="81" customFormat="1" ht="28.5" hidden="1" customHeight="1" outlineLevel="1" x14ac:dyDescent="0.25">
      <c r="A27" s="676"/>
      <c r="B27" s="676"/>
      <c r="C27" s="649"/>
      <c r="D27" s="650"/>
      <c r="E27" s="651"/>
      <c r="F27" s="651"/>
      <c r="G27" s="651"/>
      <c r="H27" s="100"/>
      <c r="I27" s="88"/>
      <c r="J27" s="57"/>
      <c r="K27" s="81" t="b">
        <f t="shared" si="0"/>
        <v>1</v>
      </c>
    </row>
    <row r="28" spans="1:11" s="81" customFormat="1" ht="45.95" customHeight="1" collapsed="1" x14ac:dyDescent="0.25">
      <c r="A28" s="665" t="s">
        <v>453</v>
      </c>
      <c r="B28" s="665" t="s">
        <v>30</v>
      </c>
      <c r="C28" s="677" t="s">
        <v>427</v>
      </c>
      <c r="D28" s="670" t="s">
        <v>31</v>
      </c>
      <c r="E28" s="674">
        <f>'калькуляция 2024'!R28</f>
        <v>335.83</v>
      </c>
      <c r="F28" s="674">
        <f>'калькуляция 2024'!S28</f>
        <v>67.17</v>
      </c>
      <c r="G28" s="674">
        <f>E28+F28</f>
        <v>403</v>
      </c>
      <c r="H28" s="107"/>
      <c r="I28" s="113"/>
      <c r="J28" s="57">
        <v>194</v>
      </c>
      <c r="K28" s="81" t="b">
        <f t="shared" si="0"/>
        <v>0</v>
      </c>
    </row>
    <row r="29" spans="1:11" s="81" customFormat="1" ht="34.5" hidden="1" customHeight="1" outlineLevel="1" x14ac:dyDescent="0.25">
      <c r="A29" s="665"/>
      <c r="B29" s="665"/>
      <c r="C29" s="677"/>
      <c r="D29" s="670"/>
      <c r="E29" s="674"/>
      <c r="F29" s="674"/>
      <c r="G29" s="674"/>
      <c r="H29" s="107"/>
      <c r="I29" s="106"/>
      <c r="J29" s="57"/>
      <c r="K29" s="81" t="b">
        <f t="shared" si="0"/>
        <v>1</v>
      </c>
    </row>
    <row r="30" spans="1:11" s="81" customFormat="1" ht="57" customHeight="1" collapsed="1" x14ac:dyDescent="0.25">
      <c r="A30" s="672" t="s">
        <v>454</v>
      </c>
      <c r="B30" s="672" t="s">
        <v>32</v>
      </c>
      <c r="C30" s="648" t="s">
        <v>33</v>
      </c>
      <c r="D30" s="636" t="s">
        <v>673</v>
      </c>
      <c r="E30" s="673">
        <f>'калькуляция 2024'!R30</f>
        <v>406.67</v>
      </c>
      <c r="F30" s="673">
        <f>'калькуляция 2024'!S30</f>
        <v>81.33</v>
      </c>
      <c r="G30" s="673">
        <f>E30+F30</f>
        <v>488</v>
      </c>
      <c r="H30" s="110"/>
      <c r="I30" s="85"/>
      <c r="J30" s="57">
        <v>243</v>
      </c>
      <c r="K30" s="81" t="b">
        <f t="shared" si="0"/>
        <v>0</v>
      </c>
    </row>
    <row r="31" spans="1:11" s="81" customFormat="1" ht="57.75" customHeight="1" x14ac:dyDescent="0.25">
      <c r="A31" s="672" t="s">
        <v>455</v>
      </c>
      <c r="B31" s="672" t="s">
        <v>182</v>
      </c>
      <c r="C31" s="648" t="s">
        <v>599</v>
      </c>
      <c r="D31" s="636" t="s">
        <v>34</v>
      </c>
      <c r="E31" s="673">
        <f>'калькуляция 2024'!R31</f>
        <v>213.33</v>
      </c>
      <c r="F31" s="673">
        <f>'калькуляция 2024'!S31</f>
        <v>42.67</v>
      </c>
      <c r="G31" s="673">
        <f>E31+F31</f>
        <v>256</v>
      </c>
      <c r="H31" s="110"/>
      <c r="I31" s="85"/>
      <c r="J31" s="57">
        <v>130</v>
      </c>
      <c r="K31" s="81" t="b">
        <f t="shared" si="0"/>
        <v>0</v>
      </c>
    </row>
    <row r="32" spans="1:11" s="81" customFormat="1" ht="24.75" hidden="1" customHeight="1" outlineLevel="1" x14ac:dyDescent="0.25">
      <c r="A32" s="672"/>
      <c r="B32" s="672"/>
      <c r="C32" s="648"/>
      <c r="D32" s="636"/>
      <c r="E32" s="673"/>
      <c r="F32" s="673"/>
      <c r="G32" s="673"/>
      <c r="H32" s="110"/>
      <c r="I32" s="85"/>
      <c r="J32" s="57"/>
      <c r="K32" s="81" t="b">
        <f t="shared" si="0"/>
        <v>1</v>
      </c>
    </row>
    <row r="33" spans="1:11" s="81" customFormat="1" ht="18" hidden="1" customHeight="1" outlineLevel="1" x14ac:dyDescent="0.25">
      <c r="A33" s="672"/>
      <c r="B33" s="672"/>
      <c r="C33" s="648"/>
      <c r="D33" s="636"/>
      <c r="E33" s="673"/>
      <c r="F33" s="673"/>
      <c r="G33" s="673"/>
      <c r="H33" s="110"/>
      <c r="I33" s="85"/>
      <c r="J33" s="57"/>
      <c r="K33" s="81" t="b">
        <f t="shared" si="0"/>
        <v>1</v>
      </c>
    </row>
    <row r="34" spans="1:11" s="81" customFormat="1" ht="17.25" hidden="1" customHeight="1" outlineLevel="1" x14ac:dyDescent="0.25">
      <c r="A34" s="672"/>
      <c r="B34" s="672"/>
      <c r="C34" s="648"/>
      <c r="D34" s="636"/>
      <c r="E34" s="673"/>
      <c r="F34" s="673"/>
      <c r="G34" s="673"/>
      <c r="H34" s="110"/>
      <c r="I34" s="85"/>
      <c r="J34" s="57"/>
      <c r="K34" s="81" t="b">
        <f t="shared" si="0"/>
        <v>1</v>
      </c>
    </row>
    <row r="35" spans="1:11" s="81" customFormat="1" ht="56.25" customHeight="1" collapsed="1" x14ac:dyDescent="0.25">
      <c r="A35" s="672" t="s">
        <v>456</v>
      </c>
      <c r="B35" s="672" t="s">
        <v>182</v>
      </c>
      <c r="C35" s="648" t="s">
        <v>600</v>
      </c>
      <c r="D35" s="636" t="s">
        <v>34</v>
      </c>
      <c r="E35" s="673">
        <f>'калькуляция 2024'!R35</f>
        <v>295</v>
      </c>
      <c r="F35" s="673">
        <f>'калькуляция 2024'!S35</f>
        <v>59</v>
      </c>
      <c r="G35" s="673">
        <f>E35+F35</f>
        <v>354</v>
      </c>
      <c r="H35" s="110"/>
      <c r="I35" s="85"/>
      <c r="J35" s="57">
        <v>179</v>
      </c>
      <c r="K35" s="81" t="b">
        <f t="shared" si="0"/>
        <v>0</v>
      </c>
    </row>
    <row r="36" spans="1:11" s="81" customFormat="1" ht="24" hidden="1" customHeight="1" outlineLevel="1" x14ac:dyDescent="0.25">
      <c r="A36" s="665"/>
      <c r="B36" s="665"/>
      <c r="C36" s="677"/>
      <c r="D36" s="670"/>
      <c r="E36" s="680"/>
      <c r="F36" s="680"/>
      <c r="G36" s="674"/>
      <c r="H36" s="107"/>
      <c r="I36" s="85"/>
      <c r="J36" s="57"/>
      <c r="K36" s="81" t="b">
        <f t="shared" si="0"/>
        <v>1</v>
      </c>
    </row>
    <row r="37" spans="1:11" s="81" customFormat="1" ht="15.75" hidden="1" customHeight="1" outlineLevel="1" x14ac:dyDescent="0.25">
      <c r="A37" s="665"/>
      <c r="B37" s="665"/>
      <c r="C37" s="677"/>
      <c r="D37" s="670"/>
      <c r="E37" s="680"/>
      <c r="F37" s="680"/>
      <c r="G37" s="674"/>
      <c r="H37" s="107"/>
      <c r="I37" s="85"/>
      <c r="J37" s="57"/>
      <c r="K37" s="81" t="b">
        <f t="shared" si="0"/>
        <v>1</v>
      </c>
    </row>
    <row r="38" spans="1:11" s="81" customFormat="1" ht="18.95" hidden="1" customHeight="1" outlineLevel="1" x14ac:dyDescent="0.25">
      <c r="A38" s="665"/>
      <c r="B38" s="665"/>
      <c r="C38" s="677"/>
      <c r="D38" s="670"/>
      <c r="E38" s="680"/>
      <c r="F38" s="680"/>
      <c r="G38" s="674"/>
      <c r="H38" s="107"/>
      <c r="I38" s="85"/>
      <c r="J38" s="57"/>
      <c r="K38" s="81" t="b">
        <f t="shared" si="0"/>
        <v>1</v>
      </c>
    </row>
    <row r="39" spans="1:11" s="81" customFormat="1" ht="31.5" customHeight="1" collapsed="1" x14ac:dyDescent="0.25">
      <c r="A39" s="665" t="s">
        <v>457</v>
      </c>
      <c r="B39" s="932" t="s">
        <v>365</v>
      </c>
      <c r="C39" s="933"/>
      <c r="D39" s="933"/>
      <c r="E39" s="652"/>
      <c r="F39" s="652"/>
      <c r="G39" s="653"/>
      <c r="H39" s="107"/>
      <c r="I39" s="85"/>
      <c r="J39" s="57"/>
      <c r="K39" s="81" t="b">
        <f t="shared" si="0"/>
        <v>1</v>
      </c>
    </row>
    <row r="40" spans="1:11" s="81" customFormat="1" ht="23.25" customHeight="1" x14ac:dyDescent="0.25">
      <c r="A40" s="920" t="s">
        <v>363</v>
      </c>
      <c r="B40" s="920" t="s">
        <v>356</v>
      </c>
      <c r="C40" s="923" t="s">
        <v>357</v>
      </c>
      <c r="D40" s="905" t="s">
        <v>36</v>
      </c>
      <c r="E40" s="918">
        <f>'калькуляция 2024'!R40</f>
        <v>622.5</v>
      </c>
      <c r="F40" s="918">
        <f>'калькуляция 2024'!S40</f>
        <v>124.5</v>
      </c>
      <c r="G40" s="918">
        <f t="shared" ref="G40:G41" si="4">E40+F40</f>
        <v>747</v>
      </c>
      <c r="H40" s="910"/>
      <c r="I40" s="85"/>
      <c r="J40" s="57">
        <v>342</v>
      </c>
      <c r="K40" s="81" t="b">
        <f t="shared" si="0"/>
        <v>0</v>
      </c>
    </row>
    <row r="41" spans="1:11" s="81" customFormat="1" ht="32.25" customHeight="1" x14ac:dyDescent="0.25">
      <c r="A41" s="921"/>
      <c r="B41" s="922"/>
      <c r="C41" s="924"/>
      <c r="D41" s="909"/>
      <c r="E41" s="919">
        <f>'калькуляция 2024'!R41</f>
        <v>0</v>
      </c>
      <c r="F41" s="919">
        <f>'калькуляция 2024'!S41</f>
        <v>0</v>
      </c>
      <c r="G41" s="919">
        <f t="shared" si="4"/>
        <v>0</v>
      </c>
      <c r="H41" s="911"/>
      <c r="I41" s="85"/>
      <c r="J41" s="57">
        <v>0</v>
      </c>
      <c r="K41" s="81" t="b">
        <f t="shared" si="0"/>
        <v>1</v>
      </c>
    </row>
    <row r="42" spans="1:11" s="81" customFormat="1" ht="1.5" hidden="1" customHeight="1" outlineLevel="1" x14ac:dyDescent="0.25">
      <c r="A42" s="921"/>
      <c r="B42" s="666"/>
      <c r="C42" s="678"/>
      <c r="D42" s="671"/>
      <c r="E42" s="651"/>
      <c r="F42" s="651"/>
      <c r="G42" s="651"/>
      <c r="H42" s="107"/>
      <c r="I42" s="85"/>
      <c r="J42" s="57"/>
      <c r="K42" s="81" t="b">
        <f t="shared" si="0"/>
        <v>1</v>
      </c>
    </row>
    <row r="43" spans="1:11" s="81" customFormat="1" ht="24" customHeight="1" collapsed="1" x14ac:dyDescent="0.25">
      <c r="A43" s="921"/>
      <c r="B43" s="904" t="s">
        <v>180</v>
      </c>
      <c r="C43" s="913" t="s">
        <v>23</v>
      </c>
      <c r="D43" s="907" t="s">
        <v>24</v>
      </c>
      <c r="E43" s="918">
        <f>'калькуляция 2024'!R43</f>
        <v>1753.33</v>
      </c>
      <c r="F43" s="918">
        <f>'калькуляция 2024'!S43</f>
        <v>350.67</v>
      </c>
      <c r="G43" s="918">
        <f t="shared" ref="G43:G44" si="5">E43+F43</f>
        <v>2104</v>
      </c>
      <c r="H43" s="910"/>
      <c r="I43" s="85"/>
      <c r="J43" s="57">
        <v>968</v>
      </c>
      <c r="K43" s="81" t="b">
        <f t="shared" si="0"/>
        <v>0</v>
      </c>
    </row>
    <row r="44" spans="1:11" s="81" customFormat="1" ht="36" customHeight="1" x14ac:dyDescent="0.25">
      <c r="A44" s="921"/>
      <c r="B44" s="904"/>
      <c r="C44" s="913"/>
      <c r="D44" s="907"/>
      <c r="E44" s="919">
        <f>'калькуляция 2024'!R44</f>
        <v>0</v>
      </c>
      <c r="F44" s="919">
        <f>'калькуляция 2024'!S44</f>
        <v>0</v>
      </c>
      <c r="G44" s="919">
        <f t="shared" si="5"/>
        <v>0</v>
      </c>
      <c r="H44" s="911"/>
      <c r="I44" s="85"/>
      <c r="J44" s="57">
        <v>0</v>
      </c>
      <c r="K44" s="81" t="b">
        <f t="shared" si="0"/>
        <v>1</v>
      </c>
    </row>
    <row r="45" spans="1:11" s="81" customFormat="1" ht="16.5" hidden="1" customHeight="1" outlineLevel="1" x14ac:dyDescent="0.25">
      <c r="A45" s="921"/>
      <c r="B45" s="672"/>
      <c r="C45" s="648"/>
      <c r="D45" s="636"/>
      <c r="E45" s="675"/>
      <c r="F45" s="675"/>
      <c r="G45" s="675"/>
      <c r="H45" s="107"/>
      <c r="I45" s="85"/>
      <c r="J45" s="57"/>
      <c r="K45" s="81" t="b">
        <f t="shared" si="0"/>
        <v>1</v>
      </c>
    </row>
    <row r="46" spans="1:11" s="81" customFormat="1" ht="18.95" hidden="1" customHeight="1" outlineLevel="1" x14ac:dyDescent="0.25">
      <c r="A46" s="921"/>
      <c r="B46" s="672"/>
      <c r="C46" s="648"/>
      <c r="D46" s="636"/>
      <c r="E46" s="675"/>
      <c r="F46" s="675"/>
      <c r="G46" s="675"/>
      <c r="H46" s="107"/>
      <c r="I46" s="85"/>
      <c r="J46" s="57"/>
      <c r="K46" s="81" t="b">
        <f t="shared" si="0"/>
        <v>1</v>
      </c>
    </row>
    <row r="47" spans="1:11" s="81" customFormat="1" ht="22.7" hidden="1" customHeight="1" outlineLevel="1" x14ac:dyDescent="0.25">
      <c r="A47" s="921"/>
      <c r="B47" s="672"/>
      <c r="C47" s="648"/>
      <c r="D47" s="636"/>
      <c r="E47" s="675"/>
      <c r="F47" s="675"/>
      <c r="G47" s="675"/>
      <c r="H47" s="107"/>
      <c r="I47" s="85"/>
      <c r="J47" s="57"/>
      <c r="K47" s="81" t="b">
        <f t="shared" si="0"/>
        <v>1</v>
      </c>
    </row>
    <row r="48" spans="1:11" s="81" customFormat="1" ht="30.75" hidden="1" customHeight="1" outlineLevel="1" x14ac:dyDescent="0.25">
      <c r="A48" s="921"/>
      <c r="B48" s="672"/>
      <c r="C48" s="648"/>
      <c r="D48" s="636"/>
      <c r="E48" s="675"/>
      <c r="F48" s="675"/>
      <c r="G48" s="675"/>
      <c r="H48" s="107"/>
      <c r="I48" s="85"/>
      <c r="J48" s="57"/>
      <c r="K48" s="81" t="b">
        <f t="shared" si="0"/>
        <v>1</v>
      </c>
    </row>
    <row r="49" spans="1:11" s="81" customFormat="1" ht="24" hidden="1" customHeight="1" outlineLevel="1" x14ac:dyDescent="0.25">
      <c r="A49" s="921"/>
      <c r="B49" s="672"/>
      <c r="C49" s="648"/>
      <c r="D49" s="636"/>
      <c r="E49" s="675"/>
      <c r="F49" s="675"/>
      <c r="G49" s="675"/>
      <c r="H49" s="107"/>
      <c r="I49" s="85"/>
      <c r="J49" s="57"/>
      <c r="K49" s="81" t="b">
        <f t="shared" si="0"/>
        <v>1</v>
      </c>
    </row>
    <row r="50" spans="1:11" s="81" customFormat="1" ht="17.25" hidden="1" customHeight="1" outlineLevel="1" x14ac:dyDescent="0.25">
      <c r="A50" s="921"/>
      <c r="B50" s="672"/>
      <c r="C50" s="648"/>
      <c r="D50" s="636"/>
      <c r="E50" s="675"/>
      <c r="F50" s="675"/>
      <c r="G50" s="675"/>
      <c r="H50" s="107"/>
      <c r="I50" s="85"/>
      <c r="J50" s="57"/>
      <c r="K50" s="81" t="b">
        <f t="shared" si="0"/>
        <v>1</v>
      </c>
    </row>
    <row r="51" spans="1:11" s="81" customFormat="1" ht="16.5" hidden="1" customHeight="1" outlineLevel="1" x14ac:dyDescent="0.25">
      <c r="A51" s="921"/>
      <c r="B51" s="672"/>
      <c r="C51" s="648"/>
      <c r="D51" s="636"/>
      <c r="E51" s="675"/>
      <c r="F51" s="675"/>
      <c r="G51" s="675"/>
      <c r="H51" s="107"/>
      <c r="I51" s="85"/>
      <c r="J51" s="57"/>
      <c r="K51" s="81" t="b">
        <f t="shared" si="0"/>
        <v>1</v>
      </c>
    </row>
    <row r="52" spans="1:11" s="81" customFormat="1" ht="60.75" customHeight="1" collapsed="1" x14ac:dyDescent="0.25">
      <c r="A52" s="922"/>
      <c r="B52" s="672" t="s">
        <v>182</v>
      </c>
      <c r="C52" s="648" t="s">
        <v>599</v>
      </c>
      <c r="D52" s="636" t="s">
        <v>34</v>
      </c>
      <c r="E52" s="673">
        <f>'калькуляция 2024'!R52</f>
        <v>213.33</v>
      </c>
      <c r="F52" s="673">
        <f>'калькуляция 2024'!S52</f>
        <v>42.67</v>
      </c>
      <c r="G52" s="673">
        <f>E52+F52</f>
        <v>256</v>
      </c>
      <c r="H52" s="107"/>
      <c r="I52" s="85"/>
      <c r="J52" s="57">
        <v>130</v>
      </c>
      <c r="K52" s="81" t="b">
        <f t="shared" si="0"/>
        <v>0</v>
      </c>
    </row>
    <row r="53" spans="1:11" s="81" customFormat="1" ht="30.75" customHeight="1" x14ac:dyDescent="0.25">
      <c r="A53" s="934" t="s">
        <v>596</v>
      </c>
      <c r="B53" s="935"/>
      <c r="C53" s="935"/>
      <c r="D53" s="935"/>
      <c r="E53" s="685"/>
      <c r="F53" s="685"/>
      <c r="G53" s="686"/>
      <c r="H53" s="107"/>
      <c r="I53" s="85"/>
      <c r="J53" s="57"/>
      <c r="K53" s="81" t="b">
        <f t="shared" si="0"/>
        <v>1</v>
      </c>
    </row>
    <row r="54" spans="1:11" s="81" customFormat="1" ht="30" customHeight="1" x14ac:dyDescent="0.25">
      <c r="A54" s="936"/>
      <c r="B54" s="937"/>
      <c r="C54" s="937"/>
      <c r="D54" s="937"/>
      <c r="E54" s="687"/>
      <c r="F54" s="687"/>
      <c r="G54" s="688"/>
      <c r="H54" s="107"/>
      <c r="I54" s="85"/>
      <c r="J54" s="57"/>
      <c r="K54" s="81" t="b">
        <f t="shared" si="0"/>
        <v>1</v>
      </c>
    </row>
    <row r="55" spans="1:11" s="81" customFormat="1" ht="30.75" customHeight="1" x14ac:dyDescent="0.25">
      <c r="A55" s="938"/>
      <c r="B55" s="939"/>
      <c r="C55" s="939"/>
      <c r="D55" s="939"/>
      <c r="E55" s="689"/>
      <c r="F55" s="689"/>
      <c r="G55" s="690"/>
      <c r="H55" s="107"/>
      <c r="I55" s="85"/>
      <c r="J55" s="57"/>
      <c r="K55" s="81" t="b">
        <f t="shared" si="0"/>
        <v>1</v>
      </c>
    </row>
    <row r="56" spans="1:11" s="81" customFormat="1" ht="42.75" customHeight="1" x14ac:dyDescent="0.25">
      <c r="A56" s="665" t="s">
        <v>458</v>
      </c>
      <c r="B56" s="672" t="s">
        <v>35</v>
      </c>
      <c r="C56" s="648" t="s">
        <v>171</v>
      </c>
      <c r="D56" s="636" t="s">
        <v>36</v>
      </c>
      <c r="E56" s="674">
        <f>'калькуляция 2024'!R56</f>
        <v>1031.67</v>
      </c>
      <c r="F56" s="674">
        <f>'калькуляция 2024'!S56</f>
        <v>206.33</v>
      </c>
      <c r="G56" s="674">
        <f>E56+F56</f>
        <v>1238</v>
      </c>
      <c r="H56" s="107"/>
      <c r="I56" s="113"/>
      <c r="J56" s="57">
        <v>570</v>
      </c>
      <c r="K56" s="81" t="b">
        <f t="shared" si="0"/>
        <v>0</v>
      </c>
    </row>
    <row r="57" spans="1:11" s="81" customFormat="1" ht="27" hidden="1" customHeight="1" outlineLevel="1" x14ac:dyDescent="0.25">
      <c r="A57" s="665"/>
      <c r="B57" s="666"/>
      <c r="C57" s="678"/>
      <c r="D57" s="671"/>
      <c r="E57" s="674"/>
      <c r="F57" s="674"/>
      <c r="G57" s="674"/>
      <c r="H57" s="107"/>
      <c r="I57" s="106"/>
      <c r="J57" s="57"/>
      <c r="K57" s="81" t="b">
        <f t="shared" si="0"/>
        <v>1</v>
      </c>
    </row>
    <row r="58" spans="1:11" s="81" customFormat="1" ht="78" customHeight="1" collapsed="1" x14ac:dyDescent="0.25">
      <c r="A58" s="672" t="s">
        <v>459</v>
      </c>
      <c r="B58" s="666" t="s">
        <v>183</v>
      </c>
      <c r="C58" s="678" t="s">
        <v>674</v>
      </c>
      <c r="D58" s="671" t="s">
        <v>20</v>
      </c>
      <c r="E58" s="673">
        <f>'калькуляция 2024'!R58</f>
        <v>1236.67</v>
      </c>
      <c r="F58" s="673">
        <f>'калькуляция 2024'!S58</f>
        <v>247.33</v>
      </c>
      <c r="G58" s="673">
        <f>E58+F58</f>
        <v>1484</v>
      </c>
      <c r="H58" s="110"/>
      <c r="I58" s="85"/>
      <c r="J58" s="57">
        <v>520</v>
      </c>
      <c r="K58" s="81" t="b">
        <f t="shared" si="0"/>
        <v>0</v>
      </c>
    </row>
    <row r="59" spans="1:11" s="81" customFormat="1" ht="73.5" customHeight="1" x14ac:dyDescent="0.25">
      <c r="A59" s="672" t="s">
        <v>460</v>
      </c>
      <c r="B59" s="666" t="s">
        <v>183</v>
      </c>
      <c r="C59" s="678" t="s">
        <v>675</v>
      </c>
      <c r="D59" s="671" t="s">
        <v>20</v>
      </c>
      <c r="E59" s="673">
        <f>'калькуляция 2024'!R59</f>
        <v>1854.17</v>
      </c>
      <c r="F59" s="673">
        <f>'калькуляция 2024'!S59</f>
        <v>370.83</v>
      </c>
      <c r="G59" s="673">
        <f>E59+F59</f>
        <v>2225</v>
      </c>
      <c r="H59" s="110"/>
      <c r="I59" s="85"/>
      <c r="J59" s="57">
        <v>780</v>
      </c>
      <c r="K59" s="81" t="b">
        <f t="shared" si="0"/>
        <v>0</v>
      </c>
    </row>
    <row r="60" spans="1:11" s="83" customFormat="1" ht="42" customHeight="1" x14ac:dyDescent="0.25">
      <c r="A60" s="968" t="s">
        <v>353</v>
      </c>
      <c r="B60" s="969"/>
      <c r="C60" s="969"/>
      <c r="D60" s="969"/>
      <c r="E60" s="969"/>
      <c r="F60" s="969"/>
      <c r="G60" s="970"/>
      <c r="H60" s="82"/>
      <c r="I60" s="82"/>
      <c r="J60" s="57"/>
      <c r="K60" s="81" t="b">
        <f t="shared" si="0"/>
        <v>1</v>
      </c>
    </row>
    <row r="61" spans="1:11" ht="37.5" customHeight="1" x14ac:dyDescent="0.25">
      <c r="A61" s="672" t="s">
        <v>461</v>
      </c>
      <c r="B61" s="672" t="s">
        <v>38</v>
      </c>
      <c r="C61" s="648" t="s">
        <v>370</v>
      </c>
      <c r="D61" s="636" t="s">
        <v>39</v>
      </c>
      <c r="E61" s="673">
        <f>'калькуляция 2024'!R61</f>
        <v>3824.17</v>
      </c>
      <c r="F61" s="673">
        <f>'калькуляция 2024'!S61</f>
        <v>764.83</v>
      </c>
      <c r="G61" s="673">
        <f>E61+F61</f>
        <v>4589</v>
      </c>
      <c r="H61" s="112"/>
      <c r="I61" s="80"/>
      <c r="J61" s="57">
        <v>2286</v>
      </c>
      <c r="K61" s="81" t="b">
        <f t="shared" si="0"/>
        <v>0</v>
      </c>
    </row>
    <row r="62" spans="1:11" ht="36.950000000000003" customHeight="1" x14ac:dyDescent="0.25">
      <c r="A62" s="672" t="s">
        <v>462</v>
      </c>
      <c r="B62" s="672" t="s">
        <v>35</v>
      </c>
      <c r="C62" s="648" t="s">
        <v>175</v>
      </c>
      <c r="D62" s="636" t="s">
        <v>39</v>
      </c>
      <c r="E62" s="673">
        <f>'калькуляция 2024'!R62</f>
        <v>879.17</v>
      </c>
      <c r="F62" s="673">
        <f>'калькуляция 2024'!S62</f>
        <v>175.83</v>
      </c>
      <c r="G62" s="673">
        <f>E62+F62</f>
        <v>1055</v>
      </c>
      <c r="H62" s="112"/>
      <c r="I62" s="80"/>
      <c r="J62" s="57">
        <v>509</v>
      </c>
      <c r="K62" s="81" t="b">
        <f t="shared" si="0"/>
        <v>0</v>
      </c>
    </row>
    <row r="63" spans="1:11" ht="18.95" hidden="1" customHeight="1" outlineLevel="1" x14ac:dyDescent="0.25">
      <c r="A63" s="672"/>
      <c r="B63" s="672"/>
      <c r="C63" s="648"/>
      <c r="D63" s="636"/>
      <c r="E63" s="673"/>
      <c r="F63" s="673"/>
      <c r="G63" s="673"/>
      <c r="H63" s="112"/>
      <c r="I63" s="80"/>
      <c r="J63" s="57"/>
      <c r="K63" s="81" t="b">
        <f t="shared" si="0"/>
        <v>1</v>
      </c>
    </row>
    <row r="64" spans="1:11" ht="18.95" hidden="1" customHeight="1" outlineLevel="1" x14ac:dyDescent="0.25">
      <c r="A64" s="672"/>
      <c r="B64" s="672"/>
      <c r="C64" s="648"/>
      <c r="D64" s="636"/>
      <c r="E64" s="673"/>
      <c r="F64" s="673"/>
      <c r="G64" s="673"/>
      <c r="H64" s="112"/>
      <c r="I64" s="80"/>
      <c r="J64" s="57"/>
      <c r="K64" s="81" t="b">
        <f t="shared" si="0"/>
        <v>1</v>
      </c>
    </row>
    <row r="65" spans="1:11" ht="55.5" customHeight="1" collapsed="1" x14ac:dyDescent="0.25">
      <c r="A65" s="672" t="s">
        <v>463</v>
      </c>
      <c r="B65" s="672" t="s">
        <v>349</v>
      </c>
      <c r="C65" s="648" t="s">
        <v>374</v>
      </c>
      <c r="D65" s="636" t="s">
        <v>350</v>
      </c>
      <c r="E65" s="673">
        <f>'калькуляция 2024'!R65</f>
        <v>589.16999999999996</v>
      </c>
      <c r="F65" s="673">
        <f>'калькуляция 2024'!S65</f>
        <v>117.83</v>
      </c>
      <c r="G65" s="673">
        <f>E65+F65</f>
        <v>707</v>
      </c>
      <c r="H65" s="112"/>
      <c r="I65" s="80"/>
      <c r="J65" s="57">
        <v>352</v>
      </c>
      <c r="K65" s="81" t="b">
        <f t="shared" si="0"/>
        <v>0</v>
      </c>
    </row>
    <row r="66" spans="1:11" ht="52.5" customHeight="1" x14ac:dyDescent="0.25">
      <c r="A66" s="672" t="s">
        <v>464</v>
      </c>
      <c r="B66" s="672" t="s">
        <v>349</v>
      </c>
      <c r="C66" s="648" t="s">
        <v>375</v>
      </c>
      <c r="D66" s="636" t="s">
        <v>350</v>
      </c>
      <c r="E66" s="673">
        <f>'калькуляция 2024'!R66</f>
        <v>1177.5</v>
      </c>
      <c r="F66" s="673">
        <f>'калькуляция 2024'!S66</f>
        <v>235.5</v>
      </c>
      <c r="G66" s="673">
        <f>E66+F66</f>
        <v>1413</v>
      </c>
      <c r="H66" s="112"/>
      <c r="I66" s="80"/>
      <c r="J66" s="57">
        <v>704</v>
      </c>
      <c r="K66" s="81" t="b">
        <f t="shared" si="0"/>
        <v>0</v>
      </c>
    </row>
    <row r="67" spans="1:11" ht="48" customHeight="1" x14ac:dyDescent="0.25">
      <c r="A67" s="672" t="s">
        <v>465</v>
      </c>
      <c r="B67" s="672" t="s">
        <v>351</v>
      </c>
      <c r="C67" s="648" t="s">
        <v>376</v>
      </c>
      <c r="D67" s="636" t="s">
        <v>350</v>
      </c>
      <c r="E67" s="673">
        <f>'калькуляция 2024'!R67</f>
        <v>2252.5</v>
      </c>
      <c r="F67" s="673">
        <f>'калькуляция 2024'!S67</f>
        <v>450.5</v>
      </c>
      <c r="G67" s="673">
        <f>E67+F67</f>
        <v>2703</v>
      </c>
      <c r="H67" s="112"/>
      <c r="I67" s="80"/>
      <c r="J67" s="57">
        <v>1346</v>
      </c>
      <c r="K67" s="81" t="b">
        <f t="shared" si="0"/>
        <v>0</v>
      </c>
    </row>
    <row r="68" spans="1:11" ht="53.25" customHeight="1" x14ac:dyDescent="0.25">
      <c r="A68" s="672" t="s">
        <v>466</v>
      </c>
      <c r="B68" s="672" t="s">
        <v>351</v>
      </c>
      <c r="C68" s="648" t="s">
        <v>607</v>
      </c>
      <c r="D68" s="636" t="s">
        <v>350</v>
      </c>
      <c r="E68" s="673">
        <f>'калькуляция 2024'!R68</f>
        <v>2842.5</v>
      </c>
      <c r="F68" s="673">
        <f>'калькуляция 2024'!S68</f>
        <v>568.5</v>
      </c>
      <c r="G68" s="673">
        <f>E68+F68</f>
        <v>3411</v>
      </c>
      <c r="H68" s="112"/>
      <c r="I68" s="80"/>
      <c r="J68" s="57">
        <v>1699</v>
      </c>
      <c r="K68" s="81" t="b">
        <f t="shared" si="0"/>
        <v>0</v>
      </c>
    </row>
    <row r="69" spans="1:11" ht="43.5" customHeight="1" x14ac:dyDescent="0.25">
      <c r="A69" s="672" t="s">
        <v>467</v>
      </c>
      <c r="B69" s="672" t="s">
        <v>35</v>
      </c>
      <c r="C69" s="648" t="s">
        <v>389</v>
      </c>
      <c r="D69" s="636" t="s">
        <v>350</v>
      </c>
      <c r="E69" s="673">
        <f>'калькуляция 2024'!R69</f>
        <v>698.33</v>
      </c>
      <c r="F69" s="673">
        <f>'калькуляция 2024'!S69</f>
        <v>139.66999999999999</v>
      </c>
      <c r="G69" s="673">
        <f>E69+F69</f>
        <v>838</v>
      </c>
      <c r="H69" s="112"/>
      <c r="I69" s="917"/>
      <c r="J69" s="57">
        <v>434</v>
      </c>
      <c r="K69" s="81" t="b">
        <f t="shared" si="0"/>
        <v>0</v>
      </c>
    </row>
    <row r="70" spans="1:11" ht="15.75" hidden="1" customHeight="1" outlineLevel="1" x14ac:dyDescent="0.25">
      <c r="A70" s="665"/>
      <c r="B70" s="665"/>
      <c r="C70" s="677"/>
      <c r="D70" s="670"/>
      <c r="E70" s="673"/>
      <c r="F70" s="673"/>
      <c r="G70" s="673"/>
      <c r="H70" s="112"/>
      <c r="I70" s="917"/>
      <c r="J70" s="57"/>
      <c r="K70" s="81" t="b">
        <f t="shared" si="0"/>
        <v>1</v>
      </c>
    </row>
    <row r="71" spans="1:11" ht="15.75" hidden="1" customHeight="1" outlineLevel="1" x14ac:dyDescent="0.25">
      <c r="A71" s="665"/>
      <c r="B71" s="665"/>
      <c r="C71" s="677"/>
      <c r="D71" s="670"/>
      <c r="E71" s="674"/>
      <c r="F71" s="674"/>
      <c r="G71" s="674"/>
      <c r="H71" s="111"/>
      <c r="I71" s="80"/>
      <c r="J71" s="57"/>
      <c r="K71" s="81" t="b">
        <f t="shared" si="0"/>
        <v>1</v>
      </c>
    </row>
    <row r="72" spans="1:11" ht="15.75" hidden="1" customHeight="1" outlineLevel="1" x14ac:dyDescent="0.25">
      <c r="A72" s="665"/>
      <c r="B72" s="665"/>
      <c r="C72" s="677"/>
      <c r="D72" s="670"/>
      <c r="E72" s="674"/>
      <c r="F72" s="674"/>
      <c r="G72" s="674"/>
      <c r="H72" s="111"/>
      <c r="I72" s="80"/>
      <c r="J72" s="57"/>
      <c r="K72" s="81" t="b">
        <f t="shared" si="0"/>
        <v>1</v>
      </c>
    </row>
    <row r="73" spans="1:11" ht="15.75" hidden="1" customHeight="1" outlineLevel="1" x14ac:dyDescent="0.25">
      <c r="A73" s="665"/>
      <c r="B73" s="665"/>
      <c r="C73" s="677"/>
      <c r="D73" s="670"/>
      <c r="E73" s="674"/>
      <c r="F73" s="674"/>
      <c r="G73" s="674"/>
      <c r="H73" s="111"/>
      <c r="I73" s="80"/>
      <c r="J73" s="57"/>
      <c r="K73" s="81" t="b">
        <f t="shared" ref="K73:K136" si="6">G73=J73</f>
        <v>1</v>
      </c>
    </row>
    <row r="74" spans="1:11" ht="19.5" customHeight="1" collapsed="1" x14ac:dyDescent="0.25">
      <c r="A74" s="920" t="s">
        <v>468</v>
      </c>
      <c r="B74" s="920" t="s">
        <v>35</v>
      </c>
      <c r="C74" s="923" t="s">
        <v>391</v>
      </c>
      <c r="D74" s="905" t="s">
        <v>350</v>
      </c>
      <c r="E74" s="918">
        <f>'калькуляция 2024'!R74</f>
        <v>1631.67</v>
      </c>
      <c r="F74" s="918">
        <f>'калькуляция 2024'!S74</f>
        <v>326.33</v>
      </c>
      <c r="G74" s="918">
        <f t="shared" ref="G74:G75" si="7">E74+F74</f>
        <v>1958</v>
      </c>
      <c r="H74" s="925"/>
      <c r="I74" s="917"/>
      <c r="J74" s="57">
        <v>889</v>
      </c>
      <c r="K74" s="81" t="b">
        <f t="shared" si="6"/>
        <v>0</v>
      </c>
    </row>
    <row r="75" spans="1:11" ht="37.5" customHeight="1" x14ac:dyDescent="0.25">
      <c r="A75" s="922"/>
      <c r="B75" s="922"/>
      <c r="C75" s="924"/>
      <c r="D75" s="909"/>
      <c r="E75" s="919">
        <f>'калькуляция 2024'!R75</f>
        <v>0</v>
      </c>
      <c r="F75" s="919">
        <f>'калькуляция 2024'!S75</f>
        <v>0</v>
      </c>
      <c r="G75" s="919">
        <f t="shared" si="7"/>
        <v>0</v>
      </c>
      <c r="H75" s="926"/>
      <c r="I75" s="917"/>
      <c r="J75" s="57">
        <v>0</v>
      </c>
      <c r="K75" s="81" t="b">
        <f t="shared" si="6"/>
        <v>1</v>
      </c>
    </row>
    <row r="76" spans="1:11" ht="15.75" hidden="1" customHeight="1" outlineLevel="1" x14ac:dyDescent="0.25">
      <c r="A76" s="666"/>
      <c r="B76" s="666"/>
      <c r="C76" s="678"/>
      <c r="D76" s="671"/>
      <c r="E76" s="673"/>
      <c r="F76" s="673"/>
      <c r="G76" s="673"/>
      <c r="H76" s="112"/>
      <c r="I76" s="79"/>
      <c r="J76" s="57"/>
      <c r="K76" s="81" t="b">
        <f t="shared" si="6"/>
        <v>1</v>
      </c>
    </row>
    <row r="77" spans="1:11" ht="18" hidden="1" customHeight="1" outlineLevel="1" x14ac:dyDescent="0.25">
      <c r="A77" s="666"/>
      <c r="B77" s="666"/>
      <c r="C77" s="678"/>
      <c r="D77" s="671"/>
      <c r="E77" s="673"/>
      <c r="F77" s="673"/>
      <c r="G77" s="673"/>
      <c r="H77" s="112"/>
      <c r="I77" s="79"/>
      <c r="J77" s="57"/>
      <c r="K77" s="81" t="b">
        <f t="shared" si="6"/>
        <v>1</v>
      </c>
    </row>
    <row r="78" spans="1:11" ht="15.75" hidden="1" customHeight="1" outlineLevel="1" x14ac:dyDescent="0.25">
      <c r="A78" s="666"/>
      <c r="B78" s="666"/>
      <c r="C78" s="678"/>
      <c r="D78" s="671"/>
      <c r="E78" s="673"/>
      <c r="F78" s="673"/>
      <c r="G78" s="673"/>
      <c r="H78" s="112"/>
      <c r="I78" s="79"/>
      <c r="J78" s="57"/>
      <c r="K78" s="81" t="b">
        <f t="shared" si="6"/>
        <v>1</v>
      </c>
    </row>
    <row r="79" spans="1:11" ht="15.75" hidden="1" customHeight="1" outlineLevel="1" x14ac:dyDescent="0.25">
      <c r="A79" s="666"/>
      <c r="B79" s="666"/>
      <c r="C79" s="678"/>
      <c r="D79" s="671"/>
      <c r="E79" s="673"/>
      <c r="F79" s="673"/>
      <c r="G79" s="673"/>
      <c r="H79" s="112"/>
      <c r="I79" s="79"/>
      <c r="J79" s="57"/>
      <c r="K79" s="81" t="b">
        <f t="shared" si="6"/>
        <v>1</v>
      </c>
    </row>
    <row r="80" spans="1:11" ht="15.75" hidden="1" customHeight="1" outlineLevel="1" x14ac:dyDescent="0.25">
      <c r="A80" s="666"/>
      <c r="B80" s="666"/>
      <c r="C80" s="678"/>
      <c r="D80" s="671"/>
      <c r="E80" s="673"/>
      <c r="F80" s="673"/>
      <c r="G80" s="673"/>
      <c r="H80" s="112"/>
      <c r="I80" s="79"/>
      <c r="J80" s="57"/>
      <c r="K80" s="81" t="b">
        <f t="shared" si="6"/>
        <v>1</v>
      </c>
    </row>
    <row r="81" spans="1:11" ht="15.75" hidden="1" customHeight="1" outlineLevel="1" x14ac:dyDescent="0.25">
      <c r="A81" s="666"/>
      <c r="B81" s="666"/>
      <c r="C81" s="678"/>
      <c r="D81" s="671"/>
      <c r="E81" s="673"/>
      <c r="F81" s="673"/>
      <c r="G81" s="673"/>
      <c r="H81" s="112"/>
      <c r="I81" s="79"/>
      <c r="J81" s="57"/>
      <c r="K81" s="81" t="b">
        <f t="shared" si="6"/>
        <v>1</v>
      </c>
    </row>
    <row r="82" spans="1:11" ht="15.75" hidden="1" customHeight="1" outlineLevel="1" x14ac:dyDescent="0.25">
      <c r="A82" s="666"/>
      <c r="B82" s="666"/>
      <c r="C82" s="678"/>
      <c r="D82" s="671"/>
      <c r="E82" s="673"/>
      <c r="F82" s="673"/>
      <c r="G82" s="673"/>
      <c r="H82" s="112"/>
      <c r="I82" s="79"/>
      <c r="J82" s="57"/>
      <c r="K82" s="81" t="b">
        <f t="shared" si="6"/>
        <v>1</v>
      </c>
    </row>
    <row r="83" spans="1:11" ht="15.75" hidden="1" customHeight="1" outlineLevel="1" x14ac:dyDescent="0.25">
      <c r="A83" s="666"/>
      <c r="B83" s="666"/>
      <c r="C83" s="678"/>
      <c r="D83" s="671"/>
      <c r="E83" s="673"/>
      <c r="F83" s="673"/>
      <c r="G83" s="673"/>
      <c r="H83" s="112"/>
      <c r="I83" s="79"/>
      <c r="J83" s="57"/>
      <c r="K83" s="81" t="b">
        <f t="shared" si="6"/>
        <v>1</v>
      </c>
    </row>
    <row r="84" spans="1:11" ht="41.25" customHeight="1" collapsed="1" x14ac:dyDescent="0.25">
      <c r="A84" s="672" t="s">
        <v>469</v>
      </c>
      <c r="B84" s="672" t="s">
        <v>35</v>
      </c>
      <c r="C84" s="648" t="s">
        <v>392</v>
      </c>
      <c r="D84" s="636" t="s">
        <v>350</v>
      </c>
      <c r="E84" s="673">
        <f>'калькуляция 2024'!R84</f>
        <v>834.17</v>
      </c>
      <c r="F84" s="673">
        <f>'калькуляция 2024'!S84</f>
        <v>166.83</v>
      </c>
      <c r="G84" s="673">
        <f>E84+F84</f>
        <v>1001</v>
      </c>
      <c r="H84" s="112"/>
      <c r="I84" s="917"/>
      <c r="J84" s="57">
        <v>519</v>
      </c>
      <c r="K84" s="81" t="b">
        <f t="shared" si="6"/>
        <v>0</v>
      </c>
    </row>
    <row r="85" spans="1:11" ht="15.75" hidden="1" customHeight="1" outlineLevel="1" x14ac:dyDescent="0.25">
      <c r="A85" s="672"/>
      <c r="B85" s="672"/>
      <c r="C85" s="648"/>
      <c r="D85" s="636"/>
      <c r="E85" s="673"/>
      <c r="F85" s="673"/>
      <c r="G85" s="673"/>
      <c r="H85" s="112"/>
      <c r="I85" s="917"/>
      <c r="J85" s="57"/>
      <c r="K85" s="81" t="b">
        <f t="shared" si="6"/>
        <v>1</v>
      </c>
    </row>
    <row r="86" spans="1:11" ht="15.75" hidden="1" customHeight="1" outlineLevel="1" x14ac:dyDescent="0.25">
      <c r="A86" s="672"/>
      <c r="B86" s="672"/>
      <c r="C86" s="648"/>
      <c r="D86" s="636"/>
      <c r="E86" s="674"/>
      <c r="F86" s="674"/>
      <c r="G86" s="674"/>
      <c r="H86" s="112"/>
      <c r="I86" s="109"/>
      <c r="J86" s="57"/>
      <c r="K86" s="81" t="b">
        <f t="shared" si="6"/>
        <v>1</v>
      </c>
    </row>
    <row r="87" spans="1:11" ht="15.75" hidden="1" customHeight="1" outlineLevel="1" x14ac:dyDescent="0.25">
      <c r="A87" s="672"/>
      <c r="B87" s="672"/>
      <c r="C87" s="648"/>
      <c r="D87" s="636"/>
      <c r="E87" s="674"/>
      <c r="F87" s="674"/>
      <c r="G87" s="674"/>
      <c r="H87" s="112"/>
      <c r="I87" s="109"/>
      <c r="J87" s="57"/>
      <c r="K87" s="81" t="b">
        <f t="shared" si="6"/>
        <v>1</v>
      </c>
    </row>
    <row r="88" spans="1:11" ht="15.75" hidden="1" customHeight="1" outlineLevel="1" x14ac:dyDescent="0.25">
      <c r="A88" s="672"/>
      <c r="B88" s="672"/>
      <c r="C88" s="648"/>
      <c r="D88" s="636"/>
      <c r="E88" s="674"/>
      <c r="F88" s="674"/>
      <c r="G88" s="674"/>
      <c r="H88" s="112"/>
      <c r="I88" s="109"/>
      <c r="J88" s="57"/>
      <c r="K88" s="81" t="b">
        <f t="shared" si="6"/>
        <v>1</v>
      </c>
    </row>
    <row r="89" spans="1:11" collapsed="1" x14ac:dyDescent="0.25">
      <c r="A89" s="904" t="s">
        <v>470</v>
      </c>
      <c r="B89" s="904" t="s">
        <v>35</v>
      </c>
      <c r="C89" s="913" t="s">
        <v>393</v>
      </c>
      <c r="D89" s="907" t="s">
        <v>350</v>
      </c>
      <c r="E89" s="918">
        <f>'калькуляция 2024'!R89</f>
        <v>1788.33</v>
      </c>
      <c r="F89" s="918">
        <f>'калькуляция 2024'!S89</f>
        <v>357.67</v>
      </c>
      <c r="G89" s="918">
        <f t="shared" ref="G89:G90" si="8">E89+F89</f>
        <v>2146</v>
      </c>
      <c r="H89" s="927"/>
      <c r="I89" s="917"/>
      <c r="J89" s="57">
        <v>975</v>
      </c>
      <c r="K89" s="81" t="b">
        <f t="shared" si="6"/>
        <v>0</v>
      </c>
    </row>
    <row r="90" spans="1:11" ht="22.7" customHeight="1" x14ac:dyDescent="0.25">
      <c r="A90" s="904"/>
      <c r="B90" s="904"/>
      <c r="C90" s="913"/>
      <c r="D90" s="907"/>
      <c r="E90" s="919">
        <f>'калькуляция 2024'!R90</f>
        <v>0</v>
      </c>
      <c r="F90" s="919">
        <f>'калькуляция 2024'!S90</f>
        <v>0</v>
      </c>
      <c r="G90" s="919">
        <f t="shared" si="8"/>
        <v>0</v>
      </c>
      <c r="H90" s="927"/>
      <c r="I90" s="917"/>
      <c r="J90" s="57">
        <v>0</v>
      </c>
      <c r="K90" s="81" t="b">
        <f t="shared" si="6"/>
        <v>1</v>
      </c>
    </row>
    <row r="91" spans="1:11" ht="15.75" hidden="1" customHeight="1" outlineLevel="1" x14ac:dyDescent="0.25">
      <c r="A91" s="672"/>
      <c r="B91" s="672"/>
      <c r="C91" s="648"/>
      <c r="D91" s="636"/>
      <c r="E91" s="673"/>
      <c r="F91" s="673"/>
      <c r="G91" s="673"/>
      <c r="H91" s="112"/>
      <c r="I91" s="79"/>
      <c r="J91" s="57"/>
      <c r="K91" s="81" t="b">
        <f t="shared" si="6"/>
        <v>1</v>
      </c>
    </row>
    <row r="92" spans="1:11" ht="15.75" hidden="1" customHeight="1" outlineLevel="1" x14ac:dyDescent="0.25">
      <c r="A92" s="672"/>
      <c r="B92" s="672"/>
      <c r="C92" s="648"/>
      <c r="D92" s="636"/>
      <c r="E92" s="673"/>
      <c r="F92" s="673"/>
      <c r="G92" s="673"/>
      <c r="H92" s="112"/>
      <c r="I92" s="79"/>
      <c r="J92" s="57"/>
      <c r="K92" s="81" t="b">
        <f t="shared" si="6"/>
        <v>1</v>
      </c>
    </row>
    <row r="93" spans="1:11" ht="15.75" hidden="1" customHeight="1" outlineLevel="1" x14ac:dyDescent="0.25">
      <c r="A93" s="672"/>
      <c r="B93" s="672"/>
      <c r="C93" s="648"/>
      <c r="D93" s="636"/>
      <c r="E93" s="673"/>
      <c r="F93" s="673"/>
      <c r="G93" s="673"/>
      <c r="H93" s="112"/>
      <c r="I93" s="79"/>
      <c r="J93" s="57"/>
      <c r="K93" s="81" t="b">
        <f t="shared" si="6"/>
        <v>1</v>
      </c>
    </row>
    <row r="94" spans="1:11" ht="15.75" hidden="1" customHeight="1" outlineLevel="1" x14ac:dyDescent="0.25">
      <c r="A94" s="672"/>
      <c r="B94" s="672"/>
      <c r="C94" s="648"/>
      <c r="D94" s="636"/>
      <c r="E94" s="673"/>
      <c r="F94" s="673"/>
      <c r="G94" s="673"/>
      <c r="H94" s="112"/>
      <c r="I94" s="79"/>
      <c r="J94" s="57"/>
      <c r="K94" s="81" t="b">
        <f t="shared" si="6"/>
        <v>1</v>
      </c>
    </row>
    <row r="95" spans="1:11" ht="15.75" hidden="1" customHeight="1" outlineLevel="1" x14ac:dyDescent="0.25">
      <c r="A95" s="672"/>
      <c r="B95" s="672"/>
      <c r="C95" s="648"/>
      <c r="D95" s="636"/>
      <c r="E95" s="673"/>
      <c r="F95" s="673"/>
      <c r="G95" s="673"/>
      <c r="H95" s="112"/>
      <c r="I95" s="79"/>
      <c r="J95" s="57"/>
      <c r="K95" s="81" t="b">
        <f t="shared" si="6"/>
        <v>1</v>
      </c>
    </row>
    <row r="96" spans="1:11" ht="15.75" hidden="1" customHeight="1" outlineLevel="1" x14ac:dyDescent="0.25">
      <c r="A96" s="672"/>
      <c r="B96" s="672"/>
      <c r="C96" s="648"/>
      <c r="D96" s="636"/>
      <c r="E96" s="673"/>
      <c r="F96" s="673"/>
      <c r="G96" s="673"/>
      <c r="H96" s="112"/>
      <c r="I96" s="79"/>
      <c r="J96" s="57"/>
      <c r="K96" s="81" t="b">
        <f t="shared" si="6"/>
        <v>1</v>
      </c>
    </row>
    <row r="97" spans="1:11" ht="15.75" hidden="1" customHeight="1" outlineLevel="1" x14ac:dyDescent="0.25">
      <c r="A97" s="672"/>
      <c r="B97" s="672"/>
      <c r="C97" s="648"/>
      <c r="D97" s="636"/>
      <c r="E97" s="673"/>
      <c r="F97" s="673"/>
      <c r="G97" s="673"/>
      <c r="H97" s="112"/>
      <c r="I97" s="79"/>
      <c r="J97" s="57"/>
      <c r="K97" s="81" t="b">
        <f t="shared" si="6"/>
        <v>1</v>
      </c>
    </row>
    <row r="98" spans="1:11" ht="15.75" hidden="1" customHeight="1" outlineLevel="1" x14ac:dyDescent="0.25">
      <c r="A98" s="672"/>
      <c r="B98" s="672"/>
      <c r="C98" s="648"/>
      <c r="D98" s="636"/>
      <c r="E98" s="673"/>
      <c r="F98" s="673"/>
      <c r="G98" s="673"/>
      <c r="H98" s="112"/>
      <c r="I98" s="79"/>
      <c r="J98" s="57"/>
      <c r="K98" s="81" t="b">
        <f t="shared" si="6"/>
        <v>1</v>
      </c>
    </row>
    <row r="99" spans="1:11" ht="40.700000000000003" customHeight="1" collapsed="1" x14ac:dyDescent="0.25">
      <c r="A99" s="672" t="s">
        <v>471</v>
      </c>
      <c r="B99" s="672" t="s">
        <v>354</v>
      </c>
      <c r="C99" s="648" t="s">
        <v>355</v>
      </c>
      <c r="D99" s="636" t="s">
        <v>20</v>
      </c>
      <c r="E99" s="673">
        <f>'калькуляция 2024'!R99</f>
        <v>1169.17</v>
      </c>
      <c r="F99" s="673">
        <f>'калькуляция 2024'!S99</f>
        <v>233.83</v>
      </c>
      <c r="G99" s="673">
        <f>E99+F99</f>
        <v>1403</v>
      </c>
      <c r="H99" s="112"/>
      <c r="I99" s="109"/>
      <c r="J99" s="57">
        <v>699</v>
      </c>
      <c r="K99" s="81" t="b">
        <f t="shared" si="6"/>
        <v>0</v>
      </c>
    </row>
    <row r="100" spans="1:11" s="83" customFormat="1" ht="68.25" customHeight="1" x14ac:dyDescent="0.25">
      <c r="A100" s="968" t="s">
        <v>615</v>
      </c>
      <c r="B100" s="969"/>
      <c r="C100" s="969"/>
      <c r="D100" s="969"/>
      <c r="E100" s="969"/>
      <c r="F100" s="969"/>
      <c r="G100" s="970"/>
      <c r="H100" s="82"/>
      <c r="I100" s="114"/>
      <c r="J100" s="57"/>
      <c r="K100" s="81" t="b">
        <f t="shared" si="6"/>
        <v>1</v>
      </c>
    </row>
    <row r="101" spans="1:11" ht="57.75" customHeight="1" x14ac:dyDescent="0.25">
      <c r="A101" s="672" t="s">
        <v>472</v>
      </c>
      <c r="B101" s="662" t="s">
        <v>352</v>
      </c>
      <c r="C101" s="732" t="s">
        <v>727</v>
      </c>
      <c r="D101" s="636" t="s">
        <v>176</v>
      </c>
      <c r="E101" s="673">
        <f>'калькуляция 2024'!R101</f>
        <v>333.33</v>
      </c>
      <c r="F101" s="673">
        <f>'калькуляция 2024'!S101</f>
        <v>66.67</v>
      </c>
      <c r="G101" s="673">
        <f>E101+F101</f>
        <v>400</v>
      </c>
      <c r="H101" s="112"/>
      <c r="I101" s="80"/>
      <c r="J101" s="57">
        <v>194</v>
      </c>
      <c r="K101" s="81" t="b">
        <f t="shared" si="6"/>
        <v>0</v>
      </c>
    </row>
    <row r="102" spans="1:11" ht="22.5" customHeight="1" x14ac:dyDescent="0.25">
      <c r="A102" s="930" t="s">
        <v>231</v>
      </c>
      <c r="B102" s="931"/>
      <c r="C102" s="931"/>
      <c r="D102" s="931"/>
      <c r="E102" s="654"/>
      <c r="F102" s="654"/>
      <c r="G102" s="655"/>
      <c r="H102" s="98"/>
      <c r="I102" s="79"/>
      <c r="J102" s="57"/>
      <c r="K102" s="81" t="b">
        <f t="shared" si="6"/>
        <v>1</v>
      </c>
    </row>
    <row r="103" spans="1:11" ht="48" customHeight="1" x14ac:dyDescent="0.25">
      <c r="A103" s="672" t="s">
        <v>473</v>
      </c>
      <c r="B103" s="672" t="s">
        <v>184</v>
      </c>
      <c r="C103" s="648" t="s">
        <v>394</v>
      </c>
      <c r="D103" s="636" t="s">
        <v>40</v>
      </c>
      <c r="E103" s="673">
        <f>'калькуляция 2024'!R103</f>
        <v>822.5</v>
      </c>
      <c r="F103" s="673">
        <f>'калькуляция 2024'!S103</f>
        <v>164.5</v>
      </c>
      <c r="G103" s="673">
        <f>E103+F103</f>
        <v>987</v>
      </c>
      <c r="H103" s="110"/>
      <c r="I103" s="80"/>
      <c r="J103" s="57">
        <v>494</v>
      </c>
      <c r="K103" s="81" t="b">
        <f t="shared" si="6"/>
        <v>0</v>
      </c>
    </row>
    <row r="104" spans="1:11" ht="26.25" hidden="1" customHeight="1" outlineLevel="1" x14ac:dyDescent="0.25">
      <c r="A104" s="665"/>
      <c r="B104" s="672"/>
      <c r="C104" s="648"/>
      <c r="D104" s="636"/>
      <c r="E104" s="656"/>
      <c r="F104" s="656"/>
      <c r="G104" s="673"/>
      <c r="H104" s="110"/>
      <c r="I104" s="80"/>
      <c r="J104" s="57"/>
      <c r="K104" s="81" t="b">
        <f t="shared" si="6"/>
        <v>1</v>
      </c>
    </row>
    <row r="105" spans="1:11" ht="18.95" hidden="1" customHeight="1" outlineLevel="1" x14ac:dyDescent="0.25">
      <c r="A105" s="665"/>
      <c r="B105" s="672"/>
      <c r="C105" s="648"/>
      <c r="D105" s="636"/>
      <c r="E105" s="656"/>
      <c r="F105" s="656"/>
      <c r="G105" s="673"/>
      <c r="H105" s="110"/>
      <c r="I105" s="80"/>
      <c r="J105" s="57"/>
      <c r="K105" s="81" t="b">
        <f t="shared" si="6"/>
        <v>1</v>
      </c>
    </row>
    <row r="106" spans="1:11" ht="21" hidden="1" customHeight="1" outlineLevel="1" x14ac:dyDescent="0.25">
      <c r="A106" s="665"/>
      <c r="B106" s="672"/>
      <c r="C106" s="648"/>
      <c r="D106" s="636"/>
      <c r="E106" s="656"/>
      <c r="F106" s="656"/>
      <c r="G106" s="673"/>
      <c r="H106" s="110"/>
      <c r="I106" s="80"/>
      <c r="J106" s="57"/>
      <c r="K106" s="81" t="b">
        <f t="shared" si="6"/>
        <v>1</v>
      </c>
    </row>
    <row r="107" spans="1:11" ht="48" customHeight="1" collapsed="1" x14ac:dyDescent="0.25">
      <c r="A107" s="665" t="s">
        <v>474</v>
      </c>
      <c r="B107" s="932" t="s">
        <v>676</v>
      </c>
      <c r="C107" s="933"/>
      <c r="D107" s="933"/>
      <c r="E107" s="652"/>
      <c r="F107" s="652"/>
      <c r="G107" s="653"/>
      <c r="H107" s="110"/>
      <c r="I107" s="80"/>
      <c r="J107" s="57"/>
      <c r="K107" s="81" t="b">
        <f t="shared" si="6"/>
        <v>1</v>
      </c>
    </row>
    <row r="108" spans="1:11" ht="23.25" customHeight="1" x14ac:dyDescent="0.25">
      <c r="A108" s="920" t="s">
        <v>363</v>
      </c>
      <c r="B108" s="904" t="s">
        <v>180</v>
      </c>
      <c r="C108" s="913" t="s">
        <v>23</v>
      </c>
      <c r="D108" s="907" t="s">
        <v>24</v>
      </c>
      <c r="E108" s="918">
        <f>'калькуляция 2024'!R108</f>
        <v>1753.33</v>
      </c>
      <c r="F108" s="918">
        <f>'калькуляция 2024'!S108</f>
        <v>350.67</v>
      </c>
      <c r="G108" s="918">
        <f t="shared" ref="G108:G109" si="9">E108+F108</f>
        <v>2104</v>
      </c>
      <c r="H108" s="910"/>
      <c r="I108" s="80"/>
      <c r="J108" s="57">
        <v>968</v>
      </c>
      <c r="K108" s="81" t="b">
        <f t="shared" si="6"/>
        <v>0</v>
      </c>
    </row>
    <row r="109" spans="1:11" ht="42" customHeight="1" x14ac:dyDescent="0.25">
      <c r="A109" s="921"/>
      <c r="B109" s="904"/>
      <c r="C109" s="913"/>
      <c r="D109" s="907"/>
      <c r="E109" s="919">
        <f>'калькуляция 2024'!R109</f>
        <v>0</v>
      </c>
      <c r="F109" s="919">
        <f>'калькуляция 2024'!S109</f>
        <v>0</v>
      </c>
      <c r="G109" s="919">
        <f t="shared" si="9"/>
        <v>0</v>
      </c>
      <c r="H109" s="911"/>
      <c r="I109" s="80"/>
      <c r="J109" s="57">
        <v>0</v>
      </c>
      <c r="K109" s="81" t="b">
        <f t="shared" si="6"/>
        <v>1</v>
      </c>
    </row>
    <row r="110" spans="1:11" ht="17.25" hidden="1" customHeight="1" outlineLevel="1" x14ac:dyDescent="0.25">
      <c r="A110" s="921"/>
      <c r="B110" s="665"/>
      <c r="C110" s="677"/>
      <c r="D110" s="670"/>
      <c r="E110" s="651"/>
      <c r="F110" s="651"/>
      <c r="G110" s="651"/>
      <c r="H110" s="110"/>
      <c r="I110" s="80"/>
      <c r="J110" s="57"/>
      <c r="K110" s="81" t="b">
        <f t="shared" si="6"/>
        <v>1</v>
      </c>
    </row>
    <row r="111" spans="1:11" ht="17.25" hidden="1" customHeight="1" outlineLevel="1" x14ac:dyDescent="0.25">
      <c r="A111" s="921"/>
      <c r="B111" s="665"/>
      <c r="C111" s="677"/>
      <c r="D111" s="670"/>
      <c r="E111" s="651"/>
      <c r="F111" s="651"/>
      <c r="G111" s="651"/>
      <c r="H111" s="110"/>
      <c r="I111" s="80"/>
      <c r="J111" s="57"/>
      <c r="K111" s="81" t="b">
        <f t="shared" si="6"/>
        <v>1</v>
      </c>
    </row>
    <row r="112" spans="1:11" ht="35.25" hidden="1" customHeight="1" outlineLevel="1" x14ac:dyDescent="0.25">
      <c r="A112" s="921"/>
      <c r="B112" s="665"/>
      <c r="C112" s="677"/>
      <c r="D112" s="670"/>
      <c r="E112" s="651"/>
      <c r="F112" s="651"/>
      <c r="G112" s="651"/>
      <c r="H112" s="110"/>
      <c r="I112" s="80"/>
      <c r="J112" s="57"/>
      <c r="K112" s="81" t="b">
        <f t="shared" si="6"/>
        <v>1</v>
      </c>
    </row>
    <row r="113" spans="1:11" ht="24" hidden="1" customHeight="1" outlineLevel="1" x14ac:dyDescent="0.25">
      <c r="A113" s="921"/>
      <c r="B113" s="665"/>
      <c r="C113" s="677"/>
      <c r="D113" s="670"/>
      <c r="E113" s="651"/>
      <c r="F113" s="651"/>
      <c r="G113" s="651"/>
      <c r="H113" s="110"/>
      <c r="I113" s="80"/>
      <c r="J113" s="57"/>
      <c r="K113" s="81" t="b">
        <f t="shared" si="6"/>
        <v>1</v>
      </c>
    </row>
    <row r="114" spans="1:11" ht="24" hidden="1" customHeight="1" outlineLevel="1" x14ac:dyDescent="0.25">
      <c r="A114" s="921"/>
      <c r="B114" s="665"/>
      <c r="C114" s="677"/>
      <c r="D114" s="670"/>
      <c r="E114" s="651"/>
      <c r="F114" s="651"/>
      <c r="G114" s="651"/>
      <c r="H114" s="110"/>
      <c r="I114" s="80"/>
      <c r="J114" s="57"/>
      <c r="K114" s="81" t="b">
        <f t="shared" si="6"/>
        <v>1</v>
      </c>
    </row>
    <row r="115" spans="1:11" ht="20.25" hidden="1" customHeight="1" outlineLevel="1" x14ac:dyDescent="0.25">
      <c r="A115" s="921"/>
      <c r="B115" s="665"/>
      <c r="C115" s="677"/>
      <c r="D115" s="670"/>
      <c r="E115" s="651"/>
      <c r="F115" s="651"/>
      <c r="G115" s="651"/>
      <c r="H115" s="110"/>
      <c r="I115" s="80"/>
      <c r="J115" s="57"/>
      <c r="K115" s="81" t="b">
        <f t="shared" si="6"/>
        <v>1</v>
      </c>
    </row>
    <row r="116" spans="1:11" ht="16.5" hidden="1" customHeight="1" outlineLevel="1" x14ac:dyDescent="0.25">
      <c r="A116" s="921"/>
      <c r="B116" s="665"/>
      <c r="C116" s="677"/>
      <c r="D116" s="670"/>
      <c r="E116" s="651"/>
      <c r="F116" s="651"/>
      <c r="G116" s="651"/>
      <c r="H116" s="110"/>
      <c r="I116" s="80"/>
      <c r="J116" s="57"/>
      <c r="K116" s="81" t="b">
        <f t="shared" si="6"/>
        <v>1</v>
      </c>
    </row>
    <row r="117" spans="1:11" ht="18" customHeight="1" collapsed="1" x14ac:dyDescent="0.25">
      <c r="A117" s="921"/>
      <c r="B117" s="920" t="s">
        <v>356</v>
      </c>
      <c r="C117" s="923" t="s">
        <v>357</v>
      </c>
      <c r="D117" s="905" t="s">
        <v>36</v>
      </c>
      <c r="E117" s="918">
        <f>'калькуляция 2024'!R117</f>
        <v>622.5</v>
      </c>
      <c r="F117" s="918">
        <f>'калькуляция 2024'!S117</f>
        <v>124.5</v>
      </c>
      <c r="G117" s="918">
        <f t="shared" ref="G117:G118" si="10">E117+F117</f>
        <v>747</v>
      </c>
      <c r="H117" s="910"/>
      <c r="I117" s="80"/>
      <c r="J117" s="57">
        <v>342</v>
      </c>
      <c r="K117" s="81" t="b">
        <f t="shared" si="6"/>
        <v>0</v>
      </c>
    </row>
    <row r="118" spans="1:11" ht="39" customHeight="1" x14ac:dyDescent="0.25">
      <c r="A118" s="921"/>
      <c r="B118" s="922"/>
      <c r="C118" s="924"/>
      <c r="D118" s="909"/>
      <c r="E118" s="919">
        <f>'калькуляция 2024'!R118</f>
        <v>0</v>
      </c>
      <c r="F118" s="919">
        <f>'калькуляция 2024'!S118</f>
        <v>0</v>
      </c>
      <c r="G118" s="919">
        <f t="shared" si="10"/>
        <v>0</v>
      </c>
      <c r="H118" s="911"/>
      <c r="I118" s="80"/>
      <c r="J118" s="57">
        <v>0</v>
      </c>
      <c r="K118" s="81" t="b">
        <f t="shared" si="6"/>
        <v>1</v>
      </c>
    </row>
    <row r="119" spans="1:11" ht="31.7" hidden="1" customHeight="1" outlineLevel="1" x14ac:dyDescent="0.25">
      <c r="A119" s="921"/>
      <c r="B119" s="666"/>
      <c r="C119" s="678"/>
      <c r="D119" s="671"/>
      <c r="E119" s="675"/>
      <c r="F119" s="675"/>
      <c r="G119" s="675"/>
      <c r="H119" s="110"/>
      <c r="I119" s="80"/>
      <c r="J119" s="57"/>
      <c r="K119" s="81" t="b">
        <f t="shared" si="6"/>
        <v>1</v>
      </c>
    </row>
    <row r="120" spans="1:11" ht="44.25" customHeight="1" collapsed="1" x14ac:dyDescent="0.25">
      <c r="A120" s="921"/>
      <c r="B120" s="672" t="s">
        <v>184</v>
      </c>
      <c r="C120" s="691" t="s">
        <v>366</v>
      </c>
      <c r="D120" s="636" t="s">
        <v>40</v>
      </c>
      <c r="E120" s="673">
        <f>'калькуляция 2024'!R120</f>
        <v>822.5</v>
      </c>
      <c r="F120" s="673">
        <f>'калькуляция 2024'!S120</f>
        <v>164.5</v>
      </c>
      <c r="G120" s="673">
        <f t="shared" ref="G120" si="11">E120+F120</f>
        <v>987</v>
      </c>
      <c r="H120" s="110"/>
      <c r="I120" s="80"/>
      <c r="J120" s="57">
        <v>494</v>
      </c>
      <c r="K120" s="81" t="b">
        <f t="shared" si="6"/>
        <v>0</v>
      </c>
    </row>
    <row r="121" spans="1:11" ht="24.75" hidden="1" customHeight="1" outlineLevel="1" x14ac:dyDescent="0.25">
      <c r="A121" s="921"/>
      <c r="B121" s="672"/>
      <c r="C121" s="691"/>
      <c r="D121" s="636"/>
      <c r="E121" s="673"/>
      <c r="F121" s="673"/>
      <c r="G121" s="673"/>
      <c r="H121" s="110"/>
      <c r="I121" s="80"/>
      <c r="J121" s="57"/>
      <c r="K121" s="81" t="b">
        <f t="shared" si="6"/>
        <v>1</v>
      </c>
    </row>
    <row r="122" spans="1:11" ht="24.75" hidden="1" customHeight="1" outlineLevel="1" x14ac:dyDescent="0.25">
      <c r="A122" s="921"/>
      <c r="B122" s="672"/>
      <c r="C122" s="691"/>
      <c r="D122" s="636"/>
      <c r="E122" s="673"/>
      <c r="F122" s="673"/>
      <c r="G122" s="673"/>
      <c r="H122" s="110"/>
      <c r="I122" s="80"/>
      <c r="J122" s="57"/>
      <c r="K122" s="81" t="b">
        <f t="shared" si="6"/>
        <v>1</v>
      </c>
    </row>
    <row r="123" spans="1:11" ht="24.75" hidden="1" customHeight="1" outlineLevel="1" x14ac:dyDescent="0.25">
      <c r="A123" s="921"/>
      <c r="B123" s="672"/>
      <c r="C123" s="691"/>
      <c r="D123" s="636"/>
      <c r="E123" s="673"/>
      <c r="F123" s="673"/>
      <c r="G123" s="673"/>
      <c r="H123" s="110"/>
      <c r="I123" s="80"/>
      <c r="J123" s="57"/>
      <c r="K123" s="81" t="b">
        <f t="shared" si="6"/>
        <v>1</v>
      </c>
    </row>
    <row r="124" spans="1:11" ht="63.95" customHeight="1" collapsed="1" x14ac:dyDescent="0.25">
      <c r="A124" s="922"/>
      <c r="B124" s="672" t="s">
        <v>182</v>
      </c>
      <c r="C124" s="648" t="s">
        <v>599</v>
      </c>
      <c r="D124" s="636" t="s">
        <v>34</v>
      </c>
      <c r="E124" s="673">
        <f>'калькуляция 2024'!R124</f>
        <v>213.33</v>
      </c>
      <c r="F124" s="673">
        <f>'калькуляция 2024'!S124</f>
        <v>42.67</v>
      </c>
      <c r="G124" s="673">
        <f t="shared" ref="G124" si="12">E124+F124</f>
        <v>256</v>
      </c>
      <c r="H124" s="110"/>
      <c r="I124" s="80"/>
      <c r="J124" s="57">
        <v>130</v>
      </c>
      <c r="K124" s="81" t="b">
        <f t="shared" si="6"/>
        <v>0</v>
      </c>
    </row>
    <row r="125" spans="1:11" ht="45.95" customHeight="1" x14ac:dyDescent="0.25">
      <c r="A125" s="934" t="s">
        <v>605</v>
      </c>
      <c r="B125" s="935"/>
      <c r="C125" s="935"/>
      <c r="D125" s="935"/>
      <c r="E125" s="685"/>
      <c r="F125" s="685"/>
      <c r="G125" s="686"/>
      <c r="H125" s="110"/>
      <c r="I125" s="80"/>
      <c r="J125" s="57"/>
      <c r="K125" s="81" t="b">
        <f t="shared" si="6"/>
        <v>1</v>
      </c>
    </row>
    <row r="126" spans="1:11" ht="36" customHeight="1" x14ac:dyDescent="0.25">
      <c r="A126" s="936"/>
      <c r="B126" s="937"/>
      <c r="C126" s="937"/>
      <c r="D126" s="937"/>
      <c r="E126" s="687"/>
      <c r="F126" s="687"/>
      <c r="G126" s="688"/>
      <c r="H126" s="110"/>
      <c r="I126" s="80"/>
      <c r="J126" s="57"/>
      <c r="K126" s="81" t="b">
        <f t="shared" si="6"/>
        <v>1</v>
      </c>
    </row>
    <row r="127" spans="1:11" ht="32.25" customHeight="1" x14ac:dyDescent="0.25">
      <c r="A127" s="938"/>
      <c r="B127" s="939"/>
      <c r="C127" s="939"/>
      <c r="D127" s="939"/>
      <c r="E127" s="689"/>
      <c r="F127" s="689"/>
      <c r="G127" s="690"/>
      <c r="H127" s="110"/>
      <c r="I127" s="80"/>
      <c r="J127" s="57"/>
      <c r="K127" s="81" t="b">
        <f t="shared" si="6"/>
        <v>1</v>
      </c>
    </row>
    <row r="128" spans="1:11" ht="61.5" customHeight="1" x14ac:dyDescent="0.25">
      <c r="A128" s="666" t="s">
        <v>475</v>
      </c>
      <c r="B128" s="932" t="s">
        <v>677</v>
      </c>
      <c r="C128" s="933"/>
      <c r="D128" s="933"/>
      <c r="E128" s="652"/>
      <c r="F128" s="652"/>
      <c r="G128" s="653"/>
      <c r="H128" s="110"/>
      <c r="I128" s="80"/>
      <c r="J128" s="57"/>
      <c r="K128" s="81" t="b">
        <f t="shared" si="6"/>
        <v>1</v>
      </c>
    </row>
    <row r="129" spans="1:11" ht="36.950000000000003" customHeight="1" x14ac:dyDescent="0.25">
      <c r="A129" s="920" t="s">
        <v>363</v>
      </c>
      <c r="B129" s="672" t="s">
        <v>368</v>
      </c>
      <c r="C129" s="691" t="s">
        <v>367</v>
      </c>
      <c r="D129" s="636" t="s">
        <v>369</v>
      </c>
      <c r="E129" s="673">
        <f>'калькуляция 2024'!R129</f>
        <v>2510</v>
      </c>
      <c r="F129" s="673">
        <f>'калькуляция 2024'!S129</f>
        <v>502</v>
      </c>
      <c r="G129" s="673">
        <f t="shared" ref="G129:G131" si="13">E129+F129</f>
        <v>3012</v>
      </c>
      <c r="H129" s="110"/>
      <c r="I129" s="80"/>
      <c r="J129" s="57">
        <v>243</v>
      </c>
      <c r="K129" s="81" t="b">
        <f t="shared" si="6"/>
        <v>0</v>
      </c>
    </row>
    <row r="130" spans="1:11" ht="17.25" customHeight="1" x14ac:dyDescent="0.25">
      <c r="A130" s="921"/>
      <c r="B130" s="920" t="s">
        <v>356</v>
      </c>
      <c r="C130" s="923" t="s">
        <v>357</v>
      </c>
      <c r="D130" s="905" t="s">
        <v>36</v>
      </c>
      <c r="E130" s="918">
        <f>'калькуляция 2024'!R130</f>
        <v>622.5</v>
      </c>
      <c r="F130" s="918">
        <f>'калькуляция 2024'!S130</f>
        <v>124.5</v>
      </c>
      <c r="G130" s="918">
        <f t="shared" si="13"/>
        <v>747</v>
      </c>
      <c r="H130" s="910"/>
      <c r="I130" s="80"/>
      <c r="J130" s="57">
        <v>342</v>
      </c>
      <c r="K130" s="81" t="b">
        <f t="shared" si="6"/>
        <v>0</v>
      </c>
    </row>
    <row r="131" spans="1:11" ht="33" customHeight="1" x14ac:dyDescent="0.25">
      <c r="A131" s="921"/>
      <c r="B131" s="922"/>
      <c r="C131" s="924"/>
      <c r="D131" s="909"/>
      <c r="E131" s="919">
        <f>'калькуляция 2024'!R131</f>
        <v>0</v>
      </c>
      <c r="F131" s="919">
        <f>'калькуляция 2024'!S131</f>
        <v>0</v>
      </c>
      <c r="G131" s="919">
        <f t="shared" si="13"/>
        <v>0</v>
      </c>
      <c r="H131" s="911"/>
      <c r="I131" s="80"/>
      <c r="J131" s="57">
        <v>0</v>
      </c>
      <c r="K131" s="81" t="b">
        <f t="shared" si="6"/>
        <v>1</v>
      </c>
    </row>
    <row r="132" spans="1:11" ht="27" hidden="1" customHeight="1" outlineLevel="1" x14ac:dyDescent="0.25">
      <c r="A132" s="921"/>
      <c r="B132" s="666"/>
      <c r="C132" s="678"/>
      <c r="D132" s="671"/>
      <c r="E132" s="675"/>
      <c r="F132" s="675"/>
      <c r="G132" s="675"/>
      <c r="H132" s="110"/>
      <c r="I132" s="80"/>
      <c r="J132" s="57"/>
      <c r="K132" s="81" t="b">
        <f t="shared" si="6"/>
        <v>1</v>
      </c>
    </row>
    <row r="133" spans="1:11" ht="57" customHeight="1" collapsed="1" x14ac:dyDescent="0.25">
      <c r="A133" s="921"/>
      <c r="B133" s="672" t="s">
        <v>180</v>
      </c>
      <c r="C133" s="691" t="s">
        <v>384</v>
      </c>
      <c r="D133" s="636" t="s">
        <v>24</v>
      </c>
      <c r="E133" s="675">
        <f>'калькуляция 2024'!R133</f>
        <v>651.66999999999996</v>
      </c>
      <c r="F133" s="675">
        <f>'калькуляция 2024'!S133</f>
        <v>130.33000000000001</v>
      </c>
      <c r="G133" s="675">
        <f t="shared" ref="G133" si="14">E133+F133</f>
        <v>782</v>
      </c>
      <c r="H133" s="110"/>
      <c r="I133" s="80"/>
      <c r="J133" s="57">
        <v>361</v>
      </c>
      <c r="K133" s="81" t="b">
        <f t="shared" si="6"/>
        <v>0</v>
      </c>
    </row>
    <row r="134" spans="1:11" ht="25.5" hidden="1" customHeight="1" outlineLevel="1" x14ac:dyDescent="0.25">
      <c r="A134" s="921"/>
      <c r="B134" s="672"/>
      <c r="C134" s="691"/>
      <c r="D134" s="636"/>
      <c r="E134" s="675"/>
      <c r="F134" s="675"/>
      <c r="G134" s="675"/>
      <c r="H134" s="110"/>
      <c r="I134" s="80"/>
      <c r="J134" s="57"/>
      <c r="K134" s="81" t="b">
        <f t="shared" si="6"/>
        <v>1</v>
      </c>
    </row>
    <row r="135" spans="1:11" ht="17.25" hidden="1" customHeight="1" outlineLevel="1" x14ac:dyDescent="0.25">
      <c r="A135" s="921"/>
      <c r="B135" s="672"/>
      <c r="C135" s="691"/>
      <c r="D135" s="636"/>
      <c r="E135" s="675"/>
      <c r="F135" s="675"/>
      <c r="G135" s="675"/>
      <c r="H135" s="110"/>
      <c r="I135" s="80"/>
      <c r="J135" s="57"/>
      <c r="K135" s="81" t="b">
        <f t="shared" si="6"/>
        <v>1</v>
      </c>
    </row>
    <row r="136" spans="1:11" ht="36.950000000000003" hidden="1" customHeight="1" outlineLevel="1" x14ac:dyDescent="0.25">
      <c r="A136" s="921"/>
      <c r="B136" s="672"/>
      <c r="C136" s="691"/>
      <c r="D136" s="636"/>
      <c r="E136" s="675"/>
      <c r="F136" s="675"/>
      <c r="G136" s="675"/>
      <c r="H136" s="110"/>
      <c r="I136" s="80"/>
      <c r="J136" s="57"/>
      <c r="K136" s="81" t="b">
        <f t="shared" si="6"/>
        <v>1</v>
      </c>
    </row>
    <row r="137" spans="1:11" ht="28.5" hidden="1" customHeight="1" outlineLevel="1" x14ac:dyDescent="0.25">
      <c r="A137" s="921"/>
      <c r="B137" s="672"/>
      <c r="C137" s="691"/>
      <c r="D137" s="636"/>
      <c r="E137" s="675"/>
      <c r="F137" s="675"/>
      <c r="G137" s="675"/>
      <c r="H137" s="110"/>
      <c r="I137" s="80"/>
      <c r="J137" s="57"/>
      <c r="K137" s="81" t="b">
        <f t="shared" ref="K137:K200" si="15">G137=J137</f>
        <v>1</v>
      </c>
    </row>
    <row r="138" spans="1:11" ht="15.75" hidden="1" customHeight="1" outlineLevel="1" x14ac:dyDescent="0.25">
      <c r="A138" s="921"/>
      <c r="B138" s="672"/>
      <c r="C138" s="691"/>
      <c r="D138" s="636"/>
      <c r="E138" s="675"/>
      <c r="F138" s="675"/>
      <c r="G138" s="675"/>
      <c r="H138" s="110"/>
      <c r="I138" s="80"/>
      <c r="J138" s="57"/>
      <c r="K138" s="81" t="b">
        <f t="shared" si="15"/>
        <v>1</v>
      </c>
    </row>
    <row r="139" spans="1:11" ht="21" hidden="1" customHeight="1" outlineLevel="1" x14ac:dyDescent="0.25">
      <c r="A139" s="921"/>
      <c r="B139" s="672"/>
      <c r="C139" s="691"/>
      <c r="D139" s="636"/>
      <c r="E139" s="675"/>
      <c r="F139" s="675"/>
      <c r="G139" s="675"/>
      <c r="H139" s="110"/>
      <c r="I139" s="80"/>
      <c r="J139" s="57"/>
      <c r="K139" s="81" t="b">
        <f t="shared" si="15"/>
        <v>1</v>
      </c>
    </row>
    <row r="140" spans="1:11" ht="39" customHeight="1" collapsed="1" x14ac:dyDescent="0.25">
      <c r="A140" s="921"/>
      <c r="B140" s="672" t="s">
        <v>184</v>
      </c>
      <c r="C140" s="691" t="s">
        <v>366</v>
      </c>
      <c r="D140" s="636" t="s">
        <v>40</v>
      </c>
      <c r="E140" s="673">
        <f>'калькуляция 2024'!R140</f>
        <v>811.67</v>
      </c>
      <c r="F140" s="673">
        <f>'калькуляция 2024'!S140</f>
        <v>162.33000000000001</v>
      </c>
      <c r="G140" s="673">
        <f t="shared" ref="G140:G141" si="16">E140+F140</f>
        <v>974</v>
      </c>
      <c r="H140" s="110"/>
      <c r="I140" s="80"/>
      <c r="J140" s="57">
        <v>485</v>
      </c>
      <c r="K140" s="81" t="b">
        <f t="shared" si="15"/>
        <v>0</v>
      </c>
    </row>
    <row r="141" spans="1:11" ht="54.95" customHeight="1" x14ac:dyDescent="0.25">
      <c r="A141" s="922"/>
      <c r="B141" s="672" t="s">
        <v>182</v>
      </c>
      <c r="C141" s="648" t="s">
        <v>599</v>
      </c>
      <c r="D141" s="636" t="s">
        <v>34</v>
      </c>
      <c r="E141" s="673">
        <f>'калькуляция 2024'!R141</f>
        <v>213.33</v>
      </c>
      <c r="F141" s="673">
        <f>'калькуляция 2024'!S141</f>
        <v>42.67</v>
      </c>
      <c r="G141" s="673">
        <f t="shared" si="16"/>
        <v>256</v>
      </c>
      <c r="H141" s="110"/>
      <c r="I141" s="80"/>
      <c r="J141" s="57">
        <v>130</v>
      </c>
      <c r="K141" s="81" t="b">
        <f t="shared" si="15"/>
        <v>0</v>
      </c>
    </row>
    <row r="142" spans="1:11" ht="30.75" customHeight="1" x14ac:dyDescent="0.25">
      <c r="A142" s="934" t="s">
        <v>609</v>
      </c>
      <c r="B142" s="935"/>
      <c r="C142" s="935"/>
      <c r="D142" s="935"/>
      <c r="E142" s="685"/>
      <c r="F142" s="685"/>
      <c r="G142" s="686"/>
      <c r="H142" s="110"/>
      <c r="I142" s="80"/>
      <c r="J142" s="57"/>
      <c r="K142" s="81" t="b">
        <f t="shared" si="15"/>
        <v>1</v>
      </c>
    </row>
    <row r="143" spans="1:11" ht="22.7" customHeight="1" x14ac:dyDescent="0.25">
      <c r="A143" s="936"/>
      <c r="B143" s="937"/>
      <c r="C143" s="937"/>
      <c r="D143" s="937"/>
      <c r="E143" s="687"/>
      <c r="F143" s="687"/>
      <c r="G143" s="688"/>
      <c r="H143" s="110"/>
      <c r="I143" s="80"/>
      <c r="J143" s="57"/>
      <c r="K143" s="81" t="b">
        <f t="shared" si="15"/>
        <v>1</v>
      </c>
    </row>
    <row r="144" spans="1:11" ht="34.5" customHeight="1" x14ac:dyDescent="0.25">
      <c r="A144" s="938"/>
      <c r="B144" s="939"/>
      <c r="C144" s="939"/>
      <c r="D144" s="939"/>
      <c r="E144" s="689"/>
      <c r="F144" s="689"/>
      <c r="G144" s="690"/>
      <c r="H144" s="110"/>
      <c r="I144" s="80"/>
      <c r="J144" s="57"/>
      <c r="K144" s="81" t="b">
        <f t="shared" si="15"/>
        <v>1</v>
      </c>
    </row>
    <row r="145" spans="1:11" ht="21" customHeight="1" x14ac:dyDescent="0.25">
      <c r="A145" s="920" t="s">
        <v>476</v>
      </c>
      <c r="B145" s="672" t="s">
        <v>185</v>
      </c>
      <c r="C145" s="913" t="s">
        <v>41</v>
      </c>
      <c r="D145" s="907" t="s">
        <v>40</v>
      </c>
      <c r="E145" s="918">
        <f>'калькуляция 2024'!R145</f>
        <v>1683.33</v>
      </c>
      <c r="F145" s="918">
        <f>'калькуляция 2024'!S145</f>
        <v>336.67</v>
      </c>
      <c r="G145" s="918">
        <f t="shared" ref="G145:G146" si="17">E145+F145</f>
        <v>2020</v>
      </c>
      <c r="H145" s="910"/>
      <c r="I145" s="80"/>
      <c r="J145" s="57">
        <v>1290</v>
      </c>
      <c r="K145" s="81" t="b">
        <f t="shared" si="15"/>
        <v>0</v>
      </c>
    </row>
    <row r="146" spans="1:11" ht="21" customHeight="1" x14ac:dyDescent="0.25">
      <c r="A146" s="922"/>
      <c r="B146" s="672" t="s">
        <v>180</v>
      </c>
      <c r="C146" s="913"/>
      <c r="D146" s="907"/>
      <c r="E146" s="919">
        <f>'калькуляция 2024'!R146</f>
        <v>0</v>
      </c>
      <c r="F146" s="919">
        <f>'калькуляция 2024'!S146</f>
        <v>0</v>
      </c>
      <c r="G146" s="919">
        <f t="shared" si="17"/>
        <v>0</v>
      </c>
      <c r="H146" s="911"/>
      <c r="I146" s="80"/>
      <c r="J146" s="57">
        <v>0</v>
      </c>
      <c r="K146" s="81" t="b">
        <f t="shared" si="15"/>
        <v>1</v>
      </c>
    </row>
    <row r="147" spans="1:11" ht="18.95" hidden="1" customHeight="1" outlineLevel="1" x14ac:dyDescent="0.25">
      <c r="A147" s="672"/>
      <c r="B147" s="672"/>
      <c r="C147" s="648"/>
      <c r="D147" s="636"/>
      <c r="E147" s="673"/>
      <c r="F147" s="673"/>
      <c r="G147" s="673"/>
      <c r="H147" s="110"/>
      <c r="I147" s="80"/>
      <c r="J147" s="57"/>
      <c r="K147" s="81" t="b">
        <f t="shared" si="15"/>
        <v>1</v>
      </c>
    </row>
    <row r="148" spans="1:11" ht="18.95" hidden="1" customHeight="1" outlineLevel="1" x14ac:dyDescent="0.25">
      <c r="A148" s="672"/>
      <c r="B148" s="672"/>
      <c r="C148" s="648"/>
      <c r="D148" s="636"/>
      <c r="E148" s="673"/>
      <c r="F148" s="673"/>
      <c r="G148" s="673"/>
      <c r="H148" s="110"/>
      <c r="I148" s="80"/>
      <c r="J148" s="57"/>
      <c r="K148" s="81" t="b">
        <f t="shared" si="15"/>
        <v>1</v>
      </c>
    </row>
    <row r="149" spans="1:11" ht="33.75" hidden="1" customHeight="1" outlineLevel="1" x14ac:dyDescent="0.25">
      <c r="A149" s="672"/>
      <c r="B149" s="672"/>
      <c r="C149" s="648"/>
      <c r="D149" s="636"/>
      <c r="E149" s="673"/>
      <c r="F149" s="673"/>
      <c r="G149" s="673"/>
      <c r="H149" s="110"/>
      <c r="I149" s="80"/>
      <c r="J149" s="57"/>
      <c r="K149" s="81" t="b">
        <f t="shared" si="15"/>
        <v>1</v>
      </c>
    </row>
    <row r="150" spans="1:11" ht="29.25" hidden="1" customHeight="1" outlineLevel="1" x14ac:dyDescent="0.25">
      <c r="A150" s="672"/>
      <c r="B150" s="672"/>
      <c r="C150" s="648"/>
      <c r="D150" s="636"/>
      <c r="E150" s="673"/>
      <c r="F150" s="673"/>
      <c r="G150" s="673"/>
      <c r="H150" s="110"/>
      <c r="I150" s="80"/>
      <c r="J150" s="57"/>
      <c r="K150" s="81" t="b">
        <f t="shared" si="15"/>
        <v>1</v>
      </c>
    </row>
    <row r="151" spans="1:11" ht="29.25" hidden="1" customHeight="1" outlineLevel="1" x14ac:dyDescent="0.25">
      <c r="A151" s="672"/>
      <c r="B151" s="672"/>
      <c r="C151" s="648"/>
      <c r="D151" s="636"/>
      <c r="E151" s="673"/>
      <c r="F151" s="673"/>
      <c r="G151" s="673"/>
      <c r="H151" s="110"/>
      <c r="I151" s="80"/>
      <c r="J151" s="57"/>
      <c r="K151" s="81" t="b">
        <f t="shared" si="15"/>
        <v>1</v>
      </c>
    </row>
    <row r="152" spans="1:11" ht="21" hidden="1" customHeight="1" outlineLevel="1" x14ac:dyDescent="0.25">
      <c r="A152" s="672"/>
      <c r="B152" s="672"/>
      <c r="C152" s="648"/>
      <c r="D152" s="636"/>
      <c r="E152" s="673"/>
      <c r="F152" s="673"/>
      <c r="G152" s="673"/>
      <c r="H152" s="110"/>
      <c r="I152" s="80"/>
      <c r="J152" s="57"/>
      <c r="K152" s="81" t="b">
        <f t="shared" si="15"/>
        <v>1</v>
      </c>
    </row>
    <row r="153" spans="1:11" ht="20.25" hidden="1" customHeight="1" outlineLevel="1" x14ac:dyDescent="0.25">
      <c r="A153" s="672"/>
      <c r="B153" s="672"/>
      <c r="C153" s="648"/>
      <c r="D153" s="636"/>
      <c r="E153" s="673"/>
      <c r="F153" s="673"/>
      <c r="G153" s="673"/>
      <c r="H153" s="110"/>
      <c r="I153" s="80"/>
      <c r="J153" s="57"/>
      <c r="K153" s="81" t="b">
        <f t="shared" si="15"/>
        <v>1</v>
      </c>
    </row>
    <row r="154" spans="1:11" ht="58.7" customHeight="1" collapsed="1" x14ac:dyDescent="0.25">
      <c r="A154" s="672" t="s">
        <v>477</v>
      </c>
      <c r="B154" s="672" t="s">
        <v>186</v>
      </c>
      <c r="C154" s="648" t="s">
        <v>431</v>
      </c>
      <c r="D154" s="636" t="s">
        <v>40</v>
      </c>
      <c r="E154" s="673">
        <f>'калькуляция 2024'!R154</f>
        <v>1666.67</v>
      </c>
      <c r="F154" s="673">
        <f>'калькуляция 2024'!S154</f>
        <v>333.33</v>
      </c>
      <c r="G154" s="673">
        <f t="shared" ref="G154" si="18">E154+F154</f>
        <v>2000</v>
      </c>
      <c r="H154" s="110"/>
      <c r="I154" s="80"/>
      <c r="J154" s="57">
        <v>640</v>
      </c>
      <c r="K154" s="81" t="b">
        <f t="shared" si="15"/>
        <v>0</v>
      </c>
    </row>
    <row r="155" spans="1:11" ht="15.75" hidden="1" customHeight="1" outlineLevel="1" x14ac:dyDescent="0.25">
      <c r="A155" s="672"/>
      <c r="B155" s="672"/>
      <c r="C155" s="648"/>
      <c r="D155" s="636"/>
      <c r="E155" s="673"/>
      <c r="F155" s="673"/>
      <c r="G155" s="673"/>
      <c r="H155" s="110"/>
      <c r="I155" s="80"/>
      <c r="J155" s="57"/>
      <c r="K155" s="81" t="b">
        <f t="shared" si="15"/>
        <v>1</v>
      </c>
    </row>
    <row r="156" spans="1:11" ht="15.75" hidden="1" customHeight="1" outlineLevel="1" x14ac:dyDescent="0.25">
      <c r="A156" s="672"/>
      <c r="B156" s="672"/>
      <c r="C156" s="648"/>
      <c r="D156" s="636"/>
      <c r="E156" s="673"/>
      <c r="F156" s="673"/>
      <c r="G156" s="673"/>
      <c r="H156" s="110"/>
      <c r="I156" s="80"/>
      <c r="J156" s="57"/>
      <c r="K156" s="81" t="b">
        <f t="shared" si="15"/>
        <v>1</v>
      </c>
    </row>
    <row r="157" spans="1:11" ht="15.75" hidden="1" customHeight="1" outlineLevel="1" x14ac:dyDescent="0.25">
      <c r="A157" s="672"/>
      <c r="B157" s="672"/>
      <c r="C157" s="648"/>
      <c r="D157" s="636"/>
      <c r="E157" s="673"/>
      <c r="F157" s="673"/>
      <c r="G157" s="673"/>
      <c r="H157" s="110"/>
      <c r="I157" s="80"/>
      <c r="J157" s="57"/>
      <c r="K157" s="81" t="b">
        <f t="shared" si="15"/>
        <v>1</v>
      </c>
    </row>
    <row r="158" spans="1:11" ht="52.5" customHeight="1" collapsed="1" x14ac:dyDescent="0.25">
      <c r="A158" s="672" t="s">
        <v>478</v>
      </c>
      <c r="B158" s="672" t="s">
        <v>35</v>
      </c>
      <c r="C158" s="648" t="s">
        <v>432</v>
      </c>
      <c r="D158" s="636" t="s">
        <v>40</v>
      </c>
      <c r="E158" s="673">
        <f>'калькуляция 2024'!R158</f>
        <v>1793.33</v>
      </c>
      <c r="F158" s="673">
        <f>'калькуляция 2024'!S158</f>
        <v>358.67</v>
      </c>
      <c r="G158" s="673">
        <f t="shared" ref="G158" si="19">E158+F158</f>
        <v>2152</v>
      </c>
      <c r="H158" s="110"/>
      <c r="I158" s="80"/>
      <c r="J158" s="57">
        <v>689</v>
      </c>
      <c r="K158" s="81" t="b">
        <f t="shared" si="15"/>
        <v>0</v>
      </c>
    </row>
    <row r="159" spans="1:11" ht="15.75" hidden="1" customHeight="1" outlineLevel="1" x14ac:dyDescent="0.25">
      <c r="A159" s="672"/>
      <c r="B159" s="672"/>
      <c r="C159" s="648"/>
      <c r="D159" s="636"/>
      <c r="E159" s="673"/>
      <c r="F159" s="673"/>
      <c r="G159" s="673"/>
      <c r="H159" s="110"/>
      <c r="I159" s="80"/>
      <c r="J159" s="57"/>
      <c r="K159" s="81" t="b">
        <f t="shared" si="15"/>
        <v>1</v>
      </c>
    </row>
    <row r="160" spans="1:11" ht="15.75" hidden="1" customHeight="1" outlineLevel="1" x14ac:dyDescent="0.25">
      <c r="A160" s="672"/>
      <c r="B160" s="672"/>
      <c r="C160" s="648"/>
      <c r="D160" s="636"/>
      <c r="E160" s="673"/>
      <c r="F160" s="673"/>
      <c r="G160" s="673"/>
      <c r="H160" s="110"/>
      <c r="I160" s="80"/>
      <c r="J160" s="57"/>
      <c r="K160" s="81" t="b">
        <f t="shared" si="15"/>
        <v>1</v>
      </c>
    </row>
    <row r="161" spans="1:11" ht="15.75" hidden="1" customHeight="1" outlineLevel="1" x14ac:dyDescent="0.25">
      <c r="A161" s="672"/>
      <c r="B161" s="672"/>
      <c r="C161" s="648"/>
      <c r="D161" s="636"/>
      <c r="E161" s="673"/>
      <c r="F161" s="673"/>
      <c r="G161" s="673"/>
      <c r="H161" s="110"/>
      <c r="I161" s="80"/>
      <c r="J161" s="57"/>
      <c r="K161" s="81" t="b">
        <f t="shared" si="15"/>
        <v>1</v>
      </c>
    </row>
    <row r="162" spans="1:11" ht="35.25" customHeight="1" collapsed="1" x14ac:dyDescent="0.25">
      <c r="A162" s="672" t="s">
        <v>479</v>
      </c>
      <c r="B162" s="672" t="s">
        <v>35</v>
      </c>
      <c r="C162" s="648" t="s">
        <v>433</v>
      </c>
      <c r="D162" s="636" t="s">
        <v>40</v>
      </c>
      <c r="E162" s="673">
        <f>'калькуляция 2024'!R162</f>
        <v>741.67</v>
      </c>
      <c r="F162" s="673">
        <f>'калькуляция 2024'!S162</f>
        <v>148.33000000000001</v>
      </c>
      <c r="G162" s="673">
        <f t="shared" ref="G162" si="20">E162+F162</f>
        <v>890</v>
      </c>
      <c r="H162" s="110"/>
      <c r="I162" s="80"/>
      <c r="J162" s="57">
        <v>446</v>
      </c>
      <c r="K162" s="81" t="b">
        <f t="shared" si="15"/>
        <v>0</v>
      </c>
    </row>
    <row r="163" spans="1:11" ht="15.75" hidden="1" customHeight="1" outlineLevel="1" x14ac:dyDescent="0.25">
      <c r="A163" s="672"/>
      <c r="B163" s="672"/>
      <c r="C163" s="648"/>
      <c r="D163" s="636"/>
      <c r="E163" s="673"/>
      <c r="F163" s="673"/>
      <c r="G163" s="673"/>
      <c r="H163" s="110"/>
      <c r="I163" s="80"/>
      <c r="J163" s="57"/>
      <c r="K163" s="81" t="b">
        <f t="shared" si="15"/>
        <v>1</v>
      </c>
    </row>
    <row r="164" spans="1:11" ht="15.75" hidden="1" customHeight="1" outlineLevel="1" x14ac:dyDescent="0.25">
      <c r="A164" s="672"/>
      <c r="B164" s="672"/>
      <c r="C164" s="648"/>
      <c r="D164" s="636"/>
      <c r="E164" s="673"/>
      <c r="F164" s="673"/>
      <c r="G164" s="673"/>
      <c r="H164" s="110"/>
      <c r="I164" s="80"/>
      <c r="J164" s="57"/>
      <c r="K164" s="81" t="b">
        <f t="shared" si="15"/>
        <v>1</v>
      </c>
    </row>
    <row r="165" spans="1:11" ht="15.75" hidden="1" customHeight="1" outlineLevel="1" x14ac:dyDescent="0.25">
      <c r="A165" s="672"/>
      <c r="B165" s="672"/>
      <c r="C165" s="648"/>
      <c r="D165" s="636"/>
      <c r="E165" s="673"/>
      <c r="F165" s="673"/>
      <c r="G165" s="673"/>
      <c r="H165" s="110"/>
      <c r="I165" s="80"/>
      <c r="J165" s="57"/>
      <c r="K165" s="81" t="b">
        <f t="shared" si="15"/>
        <v>1</v>
      </c>
    </row>
    <row r="166" spans="1:11" ht="15.75" collapsed="1" x14ac:dyDescent="0.25">
      <c r="A166" s="672" t="s">
        <v>480</v>
      </c>
      <c r="B166" s="672" t="s">
        <v>187</v>
      </c>
      <c r="C166" s="648" t="s">
        <v>42</v>
      </c>
      <c r="D166" s="636" t="s">
        <v>188</v>
      </c>
      <c r="E166" s="673">
        <f>'калькуляция 2024'!R166</f>
        <v>325</v>
      </c>
      <c r="F166" s="673">
        <f>'калькуляция 2024'!S166</f>
        <v>65</v>
      </c>
      <c r="G166" s="673">
        <f t="shared" ref="G166:G185" si="21">E166+F166</f>
        <v>390</v>
      </c>
      <c r="H166" s="110"/>
      <c r="I166" s="80"/>
      <c r="J166" s="57">
        <v>141</v>
      </c>
      <c r="K166" s="81" t="b">
        <f t="shared" si="15"/>
        <v>0</v>
      </c>
    </row>
    <row r="167" spans="1:11" ht="15.75" x14ac:dyDescent="0.25">
      <c r="A167" s="672" t="s">
        <v>481</v>
      </c>
      <c r="B167" s="672" t="s">
        <v>189</v>
      </c>
      <c r="C167" s="648" t="s">
        <v>43</v>
      </c>
      <c r="D167" s="636" t="s">
        <v>190</v>
      </c>
      <c r="E167" s="673">
        <f>'калькуляция 2024'!R167</f>
        <v>325</v>
      </c>
      <c r="F167" s="673">
        <f>'калькуляция 2024'!S167</f>
        <v>65</v>
      </c>
      <c r="G167" s="673">
        <f t="shared" si="21"/>
        <v>390</v>
      </c>
      <c r="H167" s="110"/>
      <c r="I167" s="80"/>
      <c r="J167" s="57">
        <v>141</v>
      </c>
      <c r="K167" s="81" t="b">
        <f t="shared" si="15"/>
        <v>0</v>
      </c>
    </row>
    <row r="168" spans="1:11" ht="15.75" x14ac:dyDescent="0.25">
      <c r="A168" s="672" t="s">
        <v>482</v>
      </c>
      <c r="B168" s="672" t="s">
        <v>191</v>
      </c>
      <c r="C168" s="648" t="s">
        <v>44</v>
      </c>
      <c r="D168" s="636" t="s">
        <v>190</v>
      </c>
      <c r="E168" s="673">
        <f>'калькуляция 2024'!R168</f>
        <v>400</v>
      </c>
      <c r="F168" s="673">
        <f>'калькуляция 2024'!S168</f>
        <v>80</v>
      </c>
      <c r="G168" s="673">
        <f>E168+F168</f>
        <v>480</v>
      </c>
      <c r="H168" s="110"/>
      <c r="I168" s="80"/>
      <c r="J168" s="57">
        <v>175</v>
      </c>
      <c r="K168" s="81" t="b">
        <f t="shared" si="15"/>
        <v>0</v>
      </c>
    </row>
    <row r="169" spans="1:11" ht="15.75" x14ac:dyDescent="0.25">
      <c r="A169" s="672" t="s">
        <v>483</v>
      </c>
      <c r="B169" s="672" t="s">
        <v>192</v>
      </c>
      <c r="C169" s="648" t="s">
        <v>45</v>
      </c>
      <c r="D169" s="636" t="s">
        <v>193</v>
      </c>
      <c r="E169" s="673">
        <f>'калькуляция 2024'!R169</f>
        <v>166.67</v>
      </c>
      <c r="F169" s="673">
        <f>'калькуляция 2024'!S169</f>
        <v>33.33</v>
      </c>
      <c r="G169" s="673">
        <f t="shared" si="21"/>
        <v>200</v>
      </c>
      <c r="H169" s="110"/>
      <c r="I169" s="80"/>
      <c r="J169" s="57">
        <v>73</v>
      </c>
      <c r="K169" s="81" t="b">
        <f t="shared" si="15"/>
        <v>0</v>
      </c>
    </row>
    <row r="170" spans="1:11" ht="15.75" x14ac:dyDescent="0.25">
      <c r="A170" s="672" t="s">
        <v>484</v>
      </c>
      <c r="B170" s="672" t="s">
        <v>194</v>
      </c>
      <c r="C170" s="648" t="s">
        <v>46</v>
      </c>
      <c r="D170" s="636" t="s">
        <v>195</v>
      </c>
      <c r="E170" s="673">
        <f>'калькуляция 2024'!R170</f>
        <v>225</v>
      </c>
      <c r="F170" s="673">
        <f>'калькуляция 2024'!S170</f>
        <v>45</v>
      </c>
      <c r="G170" s="673">
        <f t="shared" si="21"/>
        <v>270</v>
      </c>
      <c r="H170" s="110"/>
      <c r="I170" s="80"/>
      <c r="J170" s="57">
        <v>97</v>
      </c>
      <c r="K170" s="81" t="b">
        <f t="shared" si="15"/>
        <v>0</v>
      </c>
    </row>
    <row r="171" spans="1:11" ht="15.75" x14ac:dyDescent="0.25">
      <c r="A171" s="672" t="s">
        <v>485</v>
      </c>
      <c r="B171" s="672" t="s">
        <v>196</v>
      </c>
      <c r="C171" s="648" t="s">
        <v>47</v>
      </c>
      <c r="D171" s="636" t="s">
        <v>197</v>
      </c>
      <c r="E171" s="673">
        <f>'калькуляция 2024'!R171</f>
        <v>275</v>
      </c>
      <c r="F171" s="673">
        <f>'калькуляция 2024'!S171</f>
        <v>55</v>
      </c>
      <c r="G171" s="673">
        <f t="shared" si="21"/>
        <v>330</v>
      </c>
      <c r="H171" s="110"/>
      <c r="I171" s="80"/>
      <c r="J171" s="57">
        <v>121</v>
      </c>
      <c r="K171" s="81" t="b">
        <f t="shared" si="15"/>
        <v>0</v>
      </c>
    </row>
    <row r="172" spans="1:11" ht="15.75" x14ac:dyDescent="0.25">
      <c r="A172" s="672" t="s">
        <v>486</v>
      </c>
      <c r="B172" s="672" t="s">
        <v>198</v>
      </c>
      <c r="C172" s="648" t="s">
        <v>48</v>
      </c>
      <c r="D172" s="636" t="s">
        <v>199</v>
      </c>
      <c r="E172" s="673">
        <f>'калькуляция 2024'!R172</f>
        <v>166.67</v>
      </c>
      <c r="F172" s="673">
        <f>'калькуляция 2024'!S172</f>
        <v>33.33</v>
      </c>
      <c r="G172" s="673">
        <f t="shared" si="21"/>
        <v>200</v>
      </c>
      <c r="H172" s="110"/>
      <c r="I172" s="80"/>
      <c r="J172" s="57">
        <v>73</v>
      </c>
      <c r="K172" s="81" t="b">
        <f t="shared" si="15"/>
        <v>0</v>
      </c>
    </row>
    <row r="173" spans="1:11" ht="15.75" x14ac:dyDescent="0.25">
      <c r="A173" s="672" t="s">
        <v>487</v>
      </c>
      <c r="B173" s="672" t="s">
        <v>200</v>
      </c>
      <c r="C173" s="648" t="s">
        <v>49</v>
      </c>
      <c r="D173" s="636" t="s">
        <v>201</v>
      </c>
      <c r="E173" s="673">
        <f>'калькуляция 2024'!R173</f>
        <v>1383.33</v>
      </c>
      <c r="F173" s="673">
        <f>'калькуляция 2024'!S173</f>
        <v>276.67</v>
      </c>
      <c r="G173" s="673">
        <f t="shared" si="21"/>
        <v>1660</v>
      </c>
      <c r="H173" s="110"/>
      <c r="I173" s="80"/>
      <c r="J173" s="57">
        <v>602</v>
      </c>
      <c r="K173" s="81" t="b">
        <f t="shared" si="15"/>
        <v>0</v>
      </c>
    </row>
    <row r="174" spans="1:11" ht="15.75" x14ac:dyDescent="0.25">
      <c r="A174" s="672" t="s">
        <v>488</v>
      </c>
      <c r="B174" s="672" t="s">
        <v>202</v>
      </c>
      <c r="C174" s="648" t="s">
        <v>50</v>
      </c>
      <c r="D174" s="636" t="s">
        <v>203</v>
      </c>
      <c r="E174" s="673">
        <f>'калькуляция 2024'!R174</f>
        <v>900</v>
      </c>
      <c r="F174" s="673">
        <f>'калькуляция 2024'!S174</f>
        <v>180</v>
      </c>
      <c r="G174" s="673">
        <f t="shared" si="21"/>
        <v>1080</v>
      </c>
      <c r="H174" s="110"/>
      <c r="I174" s="80"/>
      <c r="J174" s="57">
        <v>393</v>
      </c>
      <c r="K174" s="81" t="b">
        <f t="shared" si="15"/>
        <v>0</v>
      </c>
    </row>
    <row r="175" spans="1:11" ht="15.75" x14ac:dyDescent="0.25">
      <c r="A175" s="672" t="s">
        <v>489</v>
      </c>
      <c r="B175" s="672" t="s">
        <v>204</v>
      </c>
      <c r="C175" s="648" t="s">
        <v>51</v>
      </c>
      <c r="D175" s="636" t="s">
        <v>205</v>
      </c>
      <c r="E175" s="673">
        <f>'калькуляция 2024'!R175</f>
        <v>766.67</v>
      </c>
      <c r="F175" s="673">
        <f>'калькуляция 2024'!S175</f>
        <v>153.33000000000001</v>
      </c>
      <c r="G175" s="673">
        <f t="shared" si="21"/>
        <v>920</v>
      </c>
      <c r="H175" s="110"/>
      <c r="I175" s="80"/>
      <c r="J175" s="57">
        <v>335</v>
      </c>
      <c r="K175" s="81" t="b">
        <f t="shared" si="15"/>
        <v>0</v>
      </c>
    </row>
    <row r="176" spans="1:11" ht="15.75" x14ac:dyDescent="0.25">
      <c r="A176" s="672" t="s">
        <v>490</v>
      </c>
      <c r="B176" s="672" t="s">
        <v>206</v>
      </c>
      <c r="C176" s="648" t="s">
        <v>52</v>
      </c>
      <c r="D176" s="636" t="s">
        <v>207</v>
      </c>
      <c r="E176" s="673">
        <f>'калькуляция 2024'!R176</f>
        <v>483.33</v>
      </c>
      <c r="F176" s="673">
        <f>'калькуляция 2024'!S176</f>
        <v>96.67</v>
      </c>
      <c r="G176" s="673">
        <f t="shared" si="21"/>
        <v>580</v>
      </c>
      <c r="H176" s="110"/>
      <c r="I176" s="80"/>
      <c r="J176" s="57">
        <v>209</v>
      </c>
      <c r="K176" s="81" t="b">
        <f t="shared" si="15"/>
        <v>0</v>
      </c>
    </row>
    <row r="177" spans="1:11" ht="15.75" x14ac:dyDescent="0.25">
      <c r="A177" s="672" t="s">
        <v>491</v>
      </c>
      <c r="B177" s="672" t="s">
        <v>208</v>
      </c>
      <c r="C177" s="648" t="s">
        <v>53</v>
      </c>
      <c r="D177" s="636" t="s">
        <v>203</v>
      </c>
      <c r="E177" s="673">
        <f>'калькуляция 2024'!R177</f>
        <v>333.33</v>
      </c>
      <c r="F177" s="673">
        <f>'калькуляция 2024'!S177</f>
        <v>66.67</v>
      </c>
      <c r="G177" s="673">
        <f t="shared" si="21"/>
        <v>400</v>
      </c>
      <c r="H177" s="110"/>
      <c r="I177" s="80"/>
      <c r="J177" s="57">
        <v>146</v>
      </c>
      <c r="K177" s="81" t="b">
        <f t="shared" si="15"/>
        <v>0</v>
      </c>
    </row>
    <row r="178" spans="1:11" ht="15.75" x14ac:dyDescent="0.25">
      <c r="A178" s="672" t="s">
        <v>492</v>
      </c>
      <c r="B178" s="672" t="s">
        <v>209</v>
      </c>
      <c r="C178" s="648" t="s">
        <v>54</v>
      </c>
      <c r="D178" s="636" t="s">
        <v>203</v>
      </c>
      <c r="E178" s="673">
        <f>'калькуляция 2024'!R178</f>
        <v>450</v>
      </c>
      <c r="F178" s="673">
        <f>'калькуляция 2024'!S178</f>
        <v>90</v>
      </c>
      <c r="G178" s="673">
        <f t="shared" si="21"/>
        <v>540</v>
      </c>
      <c r="H178" s="110"/>
      <c r="I178" s="80"/>
      <c r="J178" s="57">
        <v>194</v>
      </c>
      <c r="K178" s="81" t="b">
        <f t="shared" si="15"/>
        <v>0</v>
      </c>
    </row>
    <row r="179" spans="1:11" ht="15.75" x14ac:dyDescent="0.25">
      <c r="A179" s="672" t="s">
        <v>493</v>
      </c>
      <c r="B179" s="672" t="s">
        <v>210</v>
      </c>
      <c r="C179" s="648" t="s">
        <v>55</v>
      </c>
      <c r="D179" s="636" t="s">
        <v>211</v>
      </c>
      <c r="E179" s="673">
        <f>'калькуляция 2024'!R179</f>
        <v>666.67</v>
      </c>
      <c r="F179" s="673">
        <f>'калькуляция 2024'!S179</f>
        <v>133.33000000000001</v>
      </c>
      <c r="G179" s="673">
        <f t="shared" si="21"/>
        <v>800</v>
      </c>
      <c r="H179" s="110"/>
      <c r="I179" s="80"/>
      <c r="J179" s="57">
        <v>291</v>
      </c>
      <c r="K179" s="81" t="b">
        <f t="shared" si="15"/>
        <v>0</v>
      </c>
    </row>
    <row r="180" spans="1:11" ht="15.75" x14ac:dyDescent="0.25">
      <c r="A180" s="672" t="s">
        <v>494</v>
      </c>
      <c r="B180" s="672" t="s">
        <v>212</v>
      </c>
      <c r="C180" s="648" t="s">
        <v>56</v>
      </c>
      <c r="D180" s="636" t="s">
        <v>211</v>
      </c>
      <c r="E180" s="673">
        <f>'калькуляция 2024'!R180</f>
        <v>1000</v>
      </c>
      <c r="F180" s="673">
        <f>'калькуляция 2024'!S180</f>
        <v>200</v>
      </c>
      <c r="G180" s="673">
        <f t="shared" si="21"/>
        <v>1200</v>
      </c>
      <c r="H180" s="110"/>
      <c r="I180" s="80"/>
      <c r="J180" s="57">
        <v>437</v>
      </c>
      <c r="K180" s="81" t="b">
        <f t="shared" si="15"/>
        <v>0</v>
      </c>
    </row>
    <row r="181" spans="1:11" ht="15.75" x14ac:dyDescent="0.25">
      <c r="A181" s="672" t="s">
        <v>495</v>
      </c>
      <c r="B181" s="672" t="s">
        <v>213</v>
      </c>
      <c r="C181" s="648" t="s">
        <v>57</v>
      </c>
      <c r="D181" s="636" t="s">
        <v>34</v>
      </c>
      <c r="E181" s="673">
        <f>'калькуляция 2024'!R181</f>
        <v>916.67</v>
      </c>
      <c r="F181" s="673">
        <f>'калькуляция 2024'!S181</f>
        <v>183.33</v>
      </c>
      <c r="G181" s="673">
        <f t="shared" si="21"/>
        <v>1100</v>
      </c>
      <c r="H181" s="110"/>
      <c r="I181" s="80"/>
      <c r="J181" s="57">
        <v>398</v>
      </c>
      <c r="K181" s="81" t="b">
        <f t="shared" si="15"/>
        <v>0</v>
      </c>
    </row>
    <row r="182" spans="1:11" ht="15.75" x14ac:dyDescent="0.25">
      <c r="A182" s="672" t="s">
        <v>496</v>
      </c>
      <c r="B182" s="672" t="s">
        <v>214</v>
      </c>
      <c r="C182" s="648" t="s">
        <v>58</v>
      </c>
      <c r="D182" s="636" t="s">
        <v>203</v>
      </c>
      <c r="E182" s="673">
        <f>'калькуляция 2024'!R182</f>
        <v>275</v>
      </c>
      <c r="F182" s="673">
        <f>'калькуляция 2024'!S182</f>
        <v>55</v>
      </c>
      <c r="G182" s="673">
        <f t="shared" si="21"/>
        <v>330</v>
      </c>
      <c r="H182" s="110"/>
      <c r="I182" s="80"/>
      <c r="J182" s="57">
        <v>243</v>
      </c>
      <c r="K182" s="81" t="b">
        <f t="shared" si="15"/>
        <v>0</v>
      </c>
    </row>
    <row r="183" spans="1:11" ht="15.75" x14ac:dyDescent="0.25">
      <c r="A183" s="672" t="s">
        <v>497</v>
      </c>
      <c r="B183" s="672" t="s">
        <v>215</v>
      </c>
      <c r="C183" s="648" t="s">
        <v>59</v>
      </c>
      <c r="D183" s="636" t="s">
        <v>203</v>
      </c>
      <c r="E183" s="673">
        <f>'калькуляция 2024'!R183</f>
        <v>558.33000000000004</v>
      </c>
      <c r="F183" s="673">
        <f>'калькуляция 2024'!S183</f>
        <v>111.67</v>
      </c>
      <c r="G183" s="673">
        <f t="shared" si="21"/>
        <v>670</v>
      </c>
      <c r="H183" s="110"/>
      <c r="I183" s="80"/>
      <c r="J183" s="57">
        <v>485</v>
      </c>
      <c r="K183" s="81" t="b">
        <f t="shared" si="15"/>
        <v>0</v>
      </c>
    </row>
    <row r="184" spans="1:11" ht="18" customHeight="1" x14ac:dyDescent="0.25">
      <c r="A184" s="672" t="s">
        <v>498</v>
      </c>
      <c r="B184" s="672" t="s">
        <v>216</v>
      </c>
      <c r="C184" s="648" t="s">
        <v>60</v>
      </c>
      <c r="D184" s="636" t="s">
        <v>203</v>
      </c>
      <c r="E184" s="673">
        <f>'калькуляция 2024'!R184</f>
        <v>108.33</v>
      </c>
      <c r="F184" s="673">
        <f>'калькуляция 2024'!S184</f>
        <v>21.67</v>
      </c>
      <c r="G184" s="673">
        <f t="shared" si="21"/>
        <v>130</v>
      </c>
      <c r="H184" s="110"/>
      <c r="I184" s="80"/>
      <c r="J184" s="57">
        <v>49</v>
      </c>
      <c r="K184" s="81" t="b">
        <f t="shared" si="15"/>
        <v>0</v>
      </c>
    </row>
    <row r="185" spans="1:11" ht="31.5" x14ac:dyDescent="0.25">
      <c r="A185" s="672" t="s">
        <v>499</v>
      </c>
      <c r="B185" s="672" t="s">
        <v>218</v>
      </c>
      <c r="C185" s="648" t="s">
        <v>380</v>
      </c>
      <c r="D185" s="636" t="s">
        <v>217</v>
      </c>
      <c r="E185" s="673">
        <f>'калькуляция 2024'!R185</f>
        <v>558.33000000000004</v>
      </c>
      <c r="F185" s="673">
        <f>'калькуляция 2024'!S185</f>
        <v>111.67</v>
      </c>
      <c r="G185" s="673">
        <f t="shared" si="21"/>
        <v>670</v>
      </c>
      <c r="H185" s="110"/>
      <c r="I185" s="80"/>
      <c r="J185" s="57">
        <v>252</v>
      </c>
      <c r="K185" s="81" t="b">
        <f t="shared" si="15"/>
        <v>0</v>
      </c>
    </row>
    <row r="186" spans="1:11" ht="23.25" hidden="1" customHeight="1" outlineLevel="1" x14ac:dyDescent="0.25">
      <c r="A186" s="672"/>
      <c r="B186" s="672"/>
      <c r="C186" s="648"/>
      <c r="D186" s="636"/>
      <c r="E186" s="673"/>
      <c r="F186" s="673"/>
      <c r="G186" s="673"/>
      <c r="H186" s="110"/>
      <c r="I186" s="80"/>
      <c r="J186" s="57"/>
      <c r="K186" s="81" t="b">
        <f t="shared" si="15"/>
        <v>1</v>
      </c>
    </row>
    <row r="187" spans="1:11" ht="16.5" hidden="1" customHeight="1" outlineLevel="1" x14ac:dyDescent="0.25">
      <c r="A187" s="672"/>
      <c r="B187" s="672"/>
      <c r="C187" s="648"/>
      <c r="D187" s="636"/>
      <c r="E187" s="673"/>
      <c r="F187" s="673"/>
      <c r="G187" s="673"/>
      <c r="H187" s="110"/>
      <c r="I187" s="80"/>
      <c r="J187" s="57"/>
      <c r="K187" s="81" t="b">
        <f t="shared" si="15"/>
        <v>1</v>
      </c>
    </row>
    <row r="188" spans="1:11" ht="15.75" hidden="1" customHeight="1" outlineLevel="1" x14ac:dyDescent="0.25">
      <c r="A188" s="672"/>
      <c r="B188" s="672"/>
      <c r="C188" s="648"/>
      <c r="D188" s="636"/>
      <c r="E188" s="673"/>
      <c r="F188" s="673"/>
      <c r="G188" s="673"/>
      <c r="H188" s="110"/>
      <c r="I188" s="80"/>
      <c r="J188" s="57"/>
      <c r="K188" s="81" t="b">
        <f t="shared" si="15"/>
        <v>1</v>
      </c>
    </row>
    <row r="189" spans="1:11" ht="31.5" collapsed="1" x14ac:dyDescent="0.25">
      <c r="A189" s="672" t="s">
        <v>500</v>
      </c>
      <c r="B189" s="672" t="s">
        <v>219</v>
      </c>
      <c r="C189" s="648" t="s">
        <v>61</v>
      </c>
      <c r="D189" s="636" t="s">
        <v>211</v>
      </c>
      <c r="E189" s="673">
        <f>'калькуляция 2024'!R189</f>
        <v>558.33000000000004</v>
      </c>
      <c r="F189" s="673">
        <f>'калькуляция 2024'!S189</f>
        <v>111.67</v>
      </c>
      <c r="G189" s="673">
        <f t="shared" ref="G189:G199" si="22">E189+F189</f>
        <v>670</v>
      </c>
      <c r="H189" s="110"/>
      <c r="I189" s="80"/>
      <c r="J189" s="57">
        <v>243</v>
      </c>
      <c r="K189" s="81" t="b">
        <f t="shared" si="15"/>
        <v>0</v>
      </c>
    </row>
    <row r="190" spans="1:11" ht="15.75" x14ac:dyDescent="0.25">
      <c r="A190" s="672" t="s">
        <v>501</v>
      </c>
      <c r="B190" s="672" t="s">
        <v>220</v>
      </c>
      <c r="C190" s="648" t="s">
        <v>62</v>
      </c>
      <c r="D190" s="636" t="s">
        <v>193</v>
      </c>
      <c r="E190" s="673">
        <f>'калькуляция 2024'!R190</f>
        <v>333.33</v>
      </c>
      <c r="F190" s="673">
        <f>'калькуляция 2024'!S190</f>
        <v>66.67</v>
      </c>
      <c r="G190" s="673">
        <f t="shared" si="22"/>
        <v>400</v>
      </c>
      <c r="H190" s="110"/>
      <c r="I190" s="80"/>
      <c r="J190" s="57">
        <v>146</v>
      </c>
      <c r="K190" s="81" t="b">
        <f t="shared" si="15"/>
        <v>0</v>
      </c>
    </row>
    <row r="191" spans="1:11" ht="37.5" customHeight="1" x14ac:dyDescent="0.25">
      <c r="A191" s="672" t="s">
        <v>502</v>
      </c>
      <c r="B191" s="672" t="s">
        <v>221</v>
      </c>
      <c r="C191" s="648" t="s">
        <v>63</v>
      </c>
      <c r="D191" s="636" t="s">
        <v>222</v>
      </c>
      <c r="E191" s="673">
        <f>'калькуляция 2024'!R191</f>
        <v>750</v>
      </c>
      <c r="F191" s="673">
        <f>'калькуляция 2024'!S191</f>
        <v>150</v>
      </c>
      <c r="G191" s="673">
        <f t="shared" si="22"/>
        <v>900</v>
      </c>
      <c r="H191" s="110"/>
      <c r="I191" s="80"/>
      <c r="J191" s="57">
        <v>325</v>
      </c>
      <c r="K191" s="81" t="b">
        <f t="shared" si="15"/>
        <v>0</v>
      </c>
    </row>
    <row r="192" spans="1:11" ht="18.95" customHeight="1" x14ac:dyDescent="0.25">
      <c r="A192" s="672" t="s">
        <v>503</v>
      </c>
      <c r="B192" s="672" t="s">
        <v>223</v>
      </c>
      <c r="C192" s="648" t="s">
        <v>64</v>
      </c>
      <c r="D192" s="636" t="s">
        <v>224</v>
      </c>
      <c r="E192" s="673">
        <f>'калькуляция 2024'!R192</f>
        <v>191.67</v>
      </c>
      <c r="F192" s="673">
        <f>'калькуляция 2024'!S192</f>
        <v>38.33</v>
      </c>
      <c r="G192" s="673">
        <f t="shared" si="22"/>
        <v>230</v>
      </c>
      <c r="H192" s="110"/>
      <c r="I192" s="80"/>
      <c r="J192" s="57">
        <v>82</v>
      </c>
      <c r="K192" s="81" t="b">
        <f t="shared" si="15"/>
        <v>0</v>
      </c>
    </row>
    <row r="193" spans="1:11" ht="22.7" customHeight="1" x14ac:dyDescent="0.25">
      <c r="A193" s="672" t="s">
        <v>504</v>
      </c>
      <c r="B193" s="672" t="s">
        <v>225</v>
      </c>
      <c r="C193" s="648" t="s">
        <v>65</v>
      </c>
      <c r="D193" s="636" t="s">
        <v>211</v>
      </c>
      <c r="E193" s="673">
        <f>'калькуляция 2024'!R193</f>
        <v>558.33000000000004</v>
      </c>
      <c r="F193" s="673">
        <f>'калькуляция 2024'!S193</f>
        <v>111.67</v>
      </c>
      <c r="G193" s="673">
        <f t="shared" si="22"/>
        <v>670</v>
      </c>
      <c r="H193" s="110"/>
      <c r="I193" s="80"/>
      <c r="J193" s="57">
        <v>243</v>
      </c>
      <c r="K193" s="81" t="b">
        <f t="shared" si="15"/>
        <v>0</v>
      </c>
    </row>
    <row r="194" spans="1:11" ht="18.95" customHeight="1" x14ac:dyDescent="0.25">
      <c r="A194" s="672" t="s">
        <v>505</v>
      </c>
      <c r="B194" s="672" t="s">
        <v>226</v>
      </c>
      <c r="C194" s="648" t="s">
        <v>66</v>
      </c>
      <c r="D194" s="636" t="s">
        <v>190</v>
      </c>
      <c r="E194" s="673">
        <f>'калькуляция 2024'!R194</f>
        <v>750</v>
      </c>
      <c r="F194" s="673">
        <f>'калькуляция 2024'!S194</f>
        <v>150</v>
      </c>
      <c r="G194" s="673">
        <f t="shared" si="22"/>
        <v>900</v>
      </c>
      <c r="H194" s="110"/>
      <c r="I194" s="80"/>
      <c r="J194" s="57">
        <v>325</v>
      </c>
      <c r="K194" s="81" t="b">
        <f t="shared" si="15"/>
        <v>0</v>
      </c>
    </row>
    <row r="195" spans="1:11" ht="21.75" customHeight="1" x14ac:dyDescent="0.25">
      <c r="A195" s="672" t="s">
        <v>506</v>
      </c>
      <c r="B195" s="672" t="s">
        <v>227</v>
      </c>
      <c r="C195" s="648" t="s">
        <v>67</v>
      </c>
      <c r="D195" s="636" t="s">
        <v>228</v>
      </c>
      <c r="E195" s="673">
        <f>'калькуляция 2024'!R195</f>
        <v>333.33</v>
      </c>
      <c r="F195" s="673">
        <f>'калькуляция 2024'!S195</f>
        <v>66.67</v>
      </c>
      <c r="G195" s="673">
        <f t="shared" si="22"/>
        <v>400</v>
      </c>
      <c r="H195" s="110"/>
      <c r="I195" s="80"/>
      <c r="J195" s="57">
        <v>146</v>
      </c>
      <c r="K195" s="81" t="b">
        <f t="shared" si="15"/>
        <v>0</v>
      </c>
    </row>
    <row r="196" spans="1:11" ht="20.25" customHeight="1" x14ac:dyDescent="0.25">
      <c r="A196" s="672" t="s">
        <v>507</v>
      </c>
      <c r="B196" s="672" t="s">
        <v>229</v>
      </c>
      <c r="C196" s="648" t="s">
        <v>68</v>
      </c>
      <c r="D196" s="636" t="s">
        <v>228</v>
      </c>
      <c r="E196" s="673">
        <f>'калькуляция 2024'!R196</f>
        <v>225</v>
      </c>
      <c r="F196" s="673">
        <f>'калькуляция 2024'!S196</f>
        <v>45</v>
      </c>
      <c r="G196" s="673">
        <f t="shared" si="22"/>
        <v>270</v>
      </c>
      <c r="H196" s="110"/>
      <c r="I196" s="80"/>
      <c r="J196" s="57">
        <v>121</v>
      </c>
      <c r="K196" s="81" t="b">
        <f t="shared" si="15"/>
        <v>0</v>
      </c>
    </row>
    <row r="197" spans="1:11" s="117" customFormat="1" ht="35.25" customHeight="1" x14ac:dyDescent="0.25">
      <c r="A197" s="672" t="s">
        <v>640</v>
      </c>
      <c r="B197" s="672" t="s">
        <v>229</v>
      </c>
      <c r="C197" s="648" t="s">
        <v>641</v>
      </c>
      <c r="D197" s="656" t="s">
        <v>228</v>
      </c>
      <c r="E197" s="673">
        <f>'калькуляция 2024'!R197</f>
        <v>843.33</v>
      </c>
      <c r="F197" s="673">
        <f>'калькуляция 2024'!S197</f>
        <v>168.67</v>
      </c>
      <c r="G197" s="673">
        <f t="shared" ref="G197" si="23">E197+F197</f>
        <v>1012</v>
      </c>
      <c r="H197" s="139"/>
      <c r="I197" s="127"/>
      <c r="J197" s="261">
        <v>324</v>
      </c>
      <c r="K197" s="81" t="b">
        <f t="shared" si="15"/>
        <v>0</v>
      </c>
    </row>
    <row r="198" spans="1:11" s="117" customFormat="1" ht="20.25" hidden="1" customHeight="1" x14ac:dyDescent="0.25">
      <c r="A198" s="672"/>
      <c r="B198" s="672"/>
      <c r="C198" s="648"/>
      <c r="D198" s="636"/>
      <c r="E198" s="673">
        <f>'калькуляция 2024'!R198</f>
        <v>0</v>
      </c>
      <c r="F198" s="673">
        <f>'калькуляция 2024'!S198</f>
        <v>0</v>
      </c>
      <c r="G198" s="673">
        <f t="shared" ref="G198" si="24">E198+F198</f>
        <v>0</v>
      </c>
      <c r="H198" s="139"/>
      <c r="I198" s="127"/>
      <c r="J198" s="261"/>
      <c r="K198" s="81" t="b">
        <f t="shared" si="15"/>
        <v>1</v>
      </c>
    </row>
    <row r="199" spans="1:11" ht="22.7" customHeight="1" x14ac:dyDescent="0.25">
      <c r="A199" s="672" t="s">
        <v>508</v>
      </c>
      <c r="B199" s="672" t="s">
        <v>230</v>
      </c>
      <c r="C199" s="648" t="s">
        <v>69</v>
      </c>
      <c r="D199" s="636" t="s">
        <v>217</v>
      </c>
      <c r="E199" s="673">
        <f>'калькуляция 2024'!R199</f>
        <v>536.66999999999996</v>
      </c>
      <c r="F199" s="673">
        <f>'калькуляция 2024'!S199</f>
        <v>107.33</v>
      </c>
      <c r="G199" s="673">
        <f t="shared" si="22"/>
        <v>644</v>
      </c>
      <c r="H199" s="110"/>
      <c r="I199" s="80"/>
      <c r="J199" s="57">
        <v>322</v>
      </c>
      <c r="K199" s="81" t="b">
        <f t="shared" si="15"/>
        <v>0</v>
      </c>
    </row>
    <row r="200" spans="1:11" ht="15" hidden="1" customHeight="1" outlineLevel="1" x14ac:dyDescent="0.25">
      <c r="A200" s="667"/>
      <c r="B200" s="667"/>
      <c r="C200" s="668"/>
      <c r="D200" s="669"/>
      <c r="E200" s="673">
        <f>'калькуляция 2024'!R200</f>
        <v>0</v>
      </c>
      <c r="F200" s="673">
        <f>'калькуляция 2024'!S200</f>
        <v>0</v>
      </c>
      <c r="G200" s="673">
        <f t="shared" ref="G200:G204" si="25">E200+F200</f>
        <v>0</v>
      </c>
      <c r="H200" s="110"/>
      <c r="I200" s="80"/>
      <c r="J200" s="57"/>
      <c r="K200" s="81" t="b">
        <f t="shared" si="15"/>
        <v>1</v>
      </c>
    </row>
    <row r="201" spans="1:11" ht="15" hidden="1" customHeight="1" outlineLevel="1" x14ac:dyDescent="0.25">
      <c r="A201" s="667"/>
      <c r="B201" s="667"/>
      <c r="C201" s="668"/>
      <c r="D201" s="669"/>
      <c r="E201" s="673">
        <f>'калькуляция 2024'!R201</f>
        <v>0</v>
      </c>
      <c r="F201" s="673">
        <f>'калькуляция 2024'!S201</f>
        <v>0</v>
      </c>
      <c r="G201" s="673">
        <f t="shared" si="25"/>
        <v>0</v>
      </c>
      <c r="H201" s="110"/>
      <c r="I201" s="80"/>
      <c r="J201" s="57"/>
      <c r="K201" s="81" t="b">
        <f t="shared" ref="K201:K264" si="26">G201=J201</f>
        <v>1</v>
      </c>
    </row>
    <row r="202" spans="1:11" ht="15" hidden="1" customHeight="1" outlineLevel="1" x14ac:dyDescent="0.25">
      <c r="A202" s="667"/>
      <c r="B202" s="667"/>
      <c r="C202" s="668"/>
      <c r="D202" s="669"/>
      <c r="E202" s="673">
        <f>'калькуляция 2024'!R202</f>
        <v>0</v>
      </c>
      <c r="F202" s="673">
        <f>'калькуляция 2024'!S202</f>
        <v>0</v>
      </c>
      <c r="G202" s="673">
        <f t="shared" si="25"/>
        <v>0</v>
      </c>
      <c r="H202" s="110"/>
      <c r="I202" s="80"/>
      <c r="J202" s="57"/>
      <c r="K202" s="81" t="b">
        <f t="shared" si="26"/>
        <v>1</v>
      </c>
    </row>
    <row r="203" spans="1:11" ht="15" hidden="1" customHeight="1" outlineLevel="1" x14ac:dyDescent="0.25">
      <c r="A203" s="667"/>
      <c r="B203" s="667"/>
      <c r="C203" s="668"/>
      <c r="D203" s="669"/>
      <c r="E203" s="673">
        <f>'калькуляция 2024'!R203</f>
        <v>0</v>
      </c>
      <c r="F203" s="673">
        <f>'калькуляция 2024'!S203</f>
        <v>0</v>
      </c>
      <c r="G203" s="673">
        <f t="shared" si="25"/>
        <v>0</v>
      </c>
      <c r="H203" s="110"/>
      <c r="I203" s="80"/>
      <c r="J203" s="57"/>
      <c r="K203" s="81" t="b">
        <f t="shared" si="26"/>
        <v>1</v>
      </c>
    </row>
    <row r="204" spans="1:11" ht="33" customHeight="1" collapsed="1" x14ac:dyDescent="0.25">
      <c r="A204" s="672" t="s">
        <v>627</v>
      </c>
      <c r="B204" s="672" t="s">
        <v>230</v>
      </c>
      <c r="C204" s="648" t="s">
        <v>628</v>
      </c>
      <c r="D204" s="656" t="s">
        <v>217</v>
      </c>
      <c r="E204" s="673">
        <f>'калькуляция 2024'!R204</f>
        <v>689.17</v>
      </c>
      <c r="F204" s="673">
        <f>'калькуляция 2024'!S204</f>
        <v>137.83000000000001</v>
      </c>
      <c r="G204" s="673">
        <f t="shared" si="25"/>
        <v>827</v>
      </c>
      <c r="H204" s="116"/>
      <c r="I204" s="80"/>
      <c r="J204" s="57">
        <v>390</v>
      </c>
      <c r="K204" s="81" t="b">
        <f t="shared" si="26"/>
        <v>0</v>
      </c>
    </row>
    <row r="205" spans="1:11" ht="15" hidden="1" customHeight="1" outlineLevel="1" x14ac:dyDescent="0.25">
      <c r="A205" s="657"/>
      <c r="B205" s="658"/>
      <c r="C205" s="692"/>
      <c r="D205" s="659"/>
      <c r="E205" s="660"/>
      <c r="F205" s="660"/>
      <c r="G205" s="661"/>
      <c r="H205" s="116"/>
      <c r="I205" s="80"/>
      <c r="J205" s="57"/>
      <c r="K205" s="81" t="b">
        <f t="shared" si="26"/>
        <v>1</v>
      </c>
    </row>
    <row r="206" spans="1:11" ht="15" hidden="1" customHeight="1" outlineLevel="1" x14ac:dyDescent="0.25">
      <c r="A206" s="657"/>
      <c r="B206" s="658"/>
      <c r="C206" s="692"/>
      <c r="D206" s="659"/>
      <c r="E206" s="660"/>
      <c r="F206" s="660"/>
      <c r="G206" s="661"/>
      <c r="H206" s="116"/>
      <c r="I206" s="80"/>
      <c r="J206" s="57"/>
      <c r="K206" s="81" t="b">
        <f t="shared" si="26"/>
        <v>1</v>
      </c>
    </row>
    <row r="207" spans="1:11" ht="15" hidden="1" customHeight="1" outlineLevel="1" x14ac:dyDescent="0.25">
      <c r="A207" s="657"/>
      <c r="B207" s="658"/>
      <c r="C207" s="692"/>
      <c r="D207" s="659"/>
      <c r="E207" s="660"/>
      <c r="F207" s="660"/>
      <c r="G207" s="661"/>
      <c r="H207" s="116"/>
      <c r="I207" s="80"/>
      <c r="J207" s="57"/>
      <c r="K207" s="81" t="b">
        <f t="shared" si="26"/>
        <v>1</v>
      </c>
    </row>
    <row r="208" spans="1:11" ht="15" hidden="1" customHeight="1" outlineLevel="1" x14ac:dyDescent="0.25">
      <c r="A208" s="657"/>
      <c r="B208" s="658"/>
      <c r="C208" s="692"/>
      <c r="D208" s="659"/>
      <c r="E208" s="660"/>
      <c r="F208" s="660"/>
      <c r="G208" s="661"/>
      <c r="H208" s="116"/>
      <c r="I208" s="80"/>
      <c r="J208" s="57"/>
      <c r="K208" s="81" t="b">
        <f t="shared" si="26"/>
        <v>1</v>
      </c>
    </row>
    <row r="209" spans="1:11" ht="15" hidden="1" customHeight="1" outlineLevel="1" x14ac:dyDescent="0.25">
      <c r="A209" s="657"/>
      <c r="B209" s="658"/>
      <c r="C209" s="692"/>
      <c r="D209" s="659"/>
      <c r="E209" s="660"/>
      <c r="F209" s="660"/>
      <c r="G209" s="661"/>
      <c r="H209" s="116"/>
      <c r="I209" s="80"/>
      <c r="J209" s="57"/>
      <c r="K209" s="81" t="b">
        <f t="shared" si="26"/>
        <v>1</v>
      </c>
    </row>
    <row r="210" spans="1:11" ht="15" hidden="1" customHeight="1" outlineLevel="1" x14ac:dyDescent="0.25">
      <c r="A210" s="657"/>
      <c r="B210" s="658"/>
      <c r="C210" s="692"/>
      <c r="D210" s="659"/>
      <c r="E210" s="660"/>
      <c r="F210" s="660"/>
      <c r="G210" s="661"/>
      <c r="H210" s="116"/>
      <c r="I210" s="80"/>
      <c r="J210" s="57"/>
      <c r="K210" s="81" t="b">
        <f t="shared" si="26"/>
        <v>1</v>
      </c>
    </row>
    <row r="211" spans="1:11" ht="30" customHeight="1" collapsed="1" x14ac:dyDescent="0.25">
      <c r="A211" s="958" t="s">
        <v>240</v>
      </c>
      <c r="B211" s="959"/>
      <c r="C211" s="959"/>
      <c r="D211" s="959"/>
      <c r="E211" s="693"/>
      <c r="F211" s="693"/>
      <c r="G211" s="694"/>
      <c r="H211" s="110"/>
      <c r="I211" s="80"/>
      <c r="J211" s="57"/>
      <c r="K211" s="81" t="b">
        <f t="shared" si="26"/>
        <v>1</v>
      </c>
    </row>
    <row r="212" spans="1:11" ht="51.75" customHeight="1" x14ac:dyDescent="0.25">
      <c r="A212" s="672" t="s">
        <v>509</v>
      </c>
      <c r="B212" s="672" t="s">
        <v>232</v>
      </c>
      <c r="C212" s="648" t="s">
        <v>395</v>
      </c>
      <c r="D212" s="636" t="s">
        <v>244</v>
      </c>
      <c r="E212" s="673">
        <f>'калькуляция 2024'!R212</f>
        <v>2225</v>
      </c>
      <c r="F212" s="673">
        <f>'калькуляция 2024'!S212</f>
        <v>445</v>
      </c>
      <c r="G212" s="673">
        <f t="shared" ref="G212" si="27">E212+F212</f>
        <v>2670</v>
      </c>
      <c r="H212" s="110"/>
      <c r="I212" s="80"/>
      <c r="J212" s="57">
        <v>1516</v>
      </c>
      <c r="K212" s="81" t="b">
        <f t="shared" si="26"/>
        <v>0</v>
      </c>
    </row>
    <row r="213" spans="1:11" ht="36" hidden="1" customHeight="1" outlineLevel="1" x14ac:dyDescent="0.25">
      <c r="A213" s="672"/>
      <c r="B213" s="672"/>
      <c r="C213" s="648"/>
      <c r="D213" s="636"/>
      <c r="E213" s="673"/>
      <c r="F213" s="673"/>
      <c r="G213" s="673"/>
      <c r="H213" s="110"/>
      <c r="I213" s="80"/>
      <c r="J213" s="57"/>
      <c r="K213" s="81" t="b">
        <f t="shared" si="26"/>
        <v>1</v>
      </c>
    </row>
    <row r="214" spans="1:11" ht="24" hidden="1" customHeight="1" outlineLevel="1" x14ac:dyDescent="0.25">
      <c r="A214" s="672"/>
      <c r="B214" s="672"/>
      <c r="C214" s="648"/>
      <c r="D214" s="636"/>
      <c r="E214" s="673"/>
      <c r="F214" s="673"/>
      <c r="G214" s="673"/>
      <c r="H214" s="110"/>
      <c r="I214" s="80"/>
      <c r="J214" s="57"/>
      <c r="K214" s="81" t="b">
        <f t="shared" si="26"/>
        <v>1</v>
      </c>
    </row>
    <row r="215" spans="1:11" ht="24.75" hidden="1" customHeight="1" outlineLevel="1" x14ac:dyDescent="0.25">
      <c r="A215" s="672"/>
      <c r="B215" s="672"/>
      <c r="C215" s="648"/>
      <c r="D215" s="636"/>
      <c r="E215" s="673"/>
      <c r="F215" s="673"/>
      <c r="G215" s="673"/>
      <c r="H215" s="110"/>
      <c r="I215" s="80"/>
      <c r="J215" s="57"/>
      <c r="K215" s="81" t="b">
        <f t="shared" si="26"/>
        <v>1</v>
      </c>
    </row>
    <row r="216" spans="1:11" ht="15.75" hidden="1" customHeight="1" outlineLevel="1" x14ac:dyDescent="0.25">
      <c r="A216" s="672"/>
      <c r="B216" s="672"/>
      <c r="C216" s="648"/>
      <c r="D216" s="636"/>
      <c r="E216" s="673"/>
      <c r="F216" s="673"/>
      <c r="G216" s="673"/>
      <c r="H216" s="110"/>
      <c r="I216" s="80"/>
      <c r="J216" s="57"/>
      <c r="K216" s="81" t="b">
        <f t="shared" si="26"/>
        <v>1</v>
      </c>
    </row>
    <row r="217" spans="1:11" ht="15.75" hidden="1" customHeight="1" outlineLevel="1" x14ac:dyDescent="0.25">
      <c r="A217" s="672"/>
      <c r="B217" s="672"/>
      <c r="C217" s="648"/>
      <c r="D217" s="636"/>
      <c r="E217" s="673"/>
      <c r="F217" s="673"/>
      <c r="G217" s="673"/>
      <c r="H217" s="110"/>
      <c r="I217" s="80"/>
      <c r="J217" s="57"/>
      <c r="K217" s="81" t="b">
        <f t="shared" si="26"/>
        <v>1</v>
      </c>
    </row>
    <row r="218" spans="1:11" ht="36.950000000000003" customHeight="1" collapsed="1" x14ac:dyDescent="0.25">
      <c r="A218" s="672" t="s">
        <v>510</v>
      </c>
      <c r="B218" s="672" t="s">
        <v>232</v>
      </c>
      <c r="C218" s="648" t="s">
        <v>241</v>
      </c>
      <c r="D218" s="636" t="s">
        <v>244</v>
      </c>
      <c r="E218" s="673">
        <f>'калькуляция 2024'!R218</f>
        <v>2450</v>
      </c>
      <c r="F218" s="673">
        <f>'калькуляция 2024'!S218</f>
        <v>490</v>
      </c>
      <c r="G218" s="673">
        <f t="shared" ref="G218" si="28">E218+F218</f>
        <v>2940</v>
      </c>
      <c r="H218" s="110"/>
      <c r="I218" s="80"/>
      <c r="J218" s="57">
        <v>1274</v>
      </c>
      <c r="K218" s="81" t="b">
        <f t="shared" si="26"/>
        <v>0</v>
      </c>
    </row>
    <row r="219" spans="1:11" ht="24.75" hidden="1" customHeight="1" outlineLevel="1" x14ac:dyDescent="0.25">
      <c r="A219" s="672"/>
      <c r="B219" s="672"/>
      <c r="C219" s="648"/>
      <c r="D219" s="636"/>
      <c r="E219" s="673"/>
      <c r="F219" s="673"/>
      <c r="G219" s="673"/>
      <c r="H219" s="110"/>
      <c r="I219" s="80"/>
      <c r="J219" s="57"/>
      <c r="K219" s="81" t="b">
        <f t="shared" si="26"/>
        <v>1</v>
      </c>
    </row>
    <row r="220" spans="1:11" ht="24.75" hidden="1" customHeight="1" outlineLevel="1" x14ac:dyDescent="0.25">
      <c r="A220" s="672"/>
      <c r="B220" s="672"/>
      <c r="C220" s="648"/>
      <c r="D220" s="636"/>
      <c r="E220" s="673"/>
      <c r="F220" s="673"/>
      <c r="G220" s="673"/>
      <c r="H220" s="110"/>
      <c r="I220" s="80"/>
      <c r="J220" s="57"/>
      <c r="K220" s="81" t="b">
        <f t="shared" si="26"/>
        <v>1</v>
      </c>
    </row>
    <row r="221" spans="1:11" ht="23.25" hidden="1" customHeight="1" outlineLevel="1" x14ac:dyDescent="0.25">
      <c r="A221" s="672"/>
      <c r="B221" s="672"/>
      <c r="C221" s="648"/>
      <c r="D221" s="636"/>
      <c r="E221" s="673"/>
      <c r="F221" s="673"/>
      <c r="G221" s="673"/>
      <c r="H221" s="110"/>
      <c r="I221" s="80"/>
      <c r="J221" s="57"/>
      <c r="K221" s="81" t="b">
        <f t="shared" si="26"/>
        <v>1</v>
      </c>
    </row>
    <row r="222" spans="1:11" ht="15.75" hidden="1" customHeight="1" outlineLevel="1" x14ac:dyDescent="0.25">
      <c r="A222" s="672"/>
      <c r="B222" s="672"/>
      <c r="C222" s="648"/>
      <c r="D222" s="636"/>
      <c r="E222" s="673"/>
      <c r="F222" s="673"/>
      <c r="G222" s="673"/>
      <c r="H222" s="110"/>
      <c r="I222" s="80"/>
      <c r="J222" s="57"/>
      <c r="K222" s="81" t="b">
        <f t="shared" si="26"/>
        <v>1</v>
      </c>
    </row>
    <row r="223" spans="1:11" ht="15.75" hidden="1" customHeight="1" outlineLevel="1" x14ac:dyDescent="0.25">
      <c r="A223" s="672"/>
      <c r="B223" s="672"/>
      <c r="C223" s="648"/>
      <c r="D223" s="636"/>
      <c r="E223" s="673"/>
      <c r="F223" s="673"/>
      <c r="G223" s="673"/>
      <c r="H223" s="110"/>
      <c r="I223" s="80"/>
      <c r="J223" s="57"/>
      <c r="K223" s="81" t="b">
        <f t="shared" si="26"/>
        <v>1</v>
      </c>
    </row>
    <row r="224" spans="1:11" ht="26.25" customHeight="1" collapsed="1" x14ac:dyDescent="0.25">
      <c r="A224" s="672" t="s">
        <v>511</v>
      </c>
      <c r="B224" s="672" t="s">
        <v>233</v>
      </c>
      <c r="C224" s="648" t="s">
        <v>242</v>
      </c>
      <c r="D224" s="636" t="s">
        <v>244</v>
      </c>
      <c r="E224" s="673">
        <f>'калькуляция 2024'!R224</f>
        <v>1341.67</v>
      </c>
      <c r="F224" s="673">
        <f>'калькуляция 2024'!S224</f>
        <v>268.33</v>
      </c>
      <c r="G224" s="673">
        <f t="shared" ref="G224:G226" si="29">E224+F224</f>
        <v>1610</v>
      </c>
      <c r="H224" s="110"/>
      <c r="I224" s="80"/>
      <c r="J224" s="57">
        <v>582</v>
      </c>
      <c r="K224" s="81" t="b">
        <f t="shared" si="26"/>
        <v>0</v>
      </c>
    </row>
    <row r="225" spans="1:11" ht="14.25" customHeight="1" x14ac:dyDescent="0.25">
      <c r="A225" s="920" t="s">
        <v>512</v>
      </c>
      <c r="B225" s="928" t="s">
        <v>235</v>
      </c>
      <c r="C225" s="913" t="s">
        <v>243</v>
      </c>
      <c r="D225" s="905" t="s">
        <v>244</v>
      </c>
      <c r="E225" s="918">
        <f>'калькуляция 2024'!R225</f>
        <v>3651.67</v>
      </c>
      <c r="F225" s="918">
        <f>'калькуляция 2024'!S225</f>
        <v>730.33</v>
      </c>
      <c r="G225" s="918">
        <f t="shared" si="29"/>
        <v>4382</v>
      </c>
      <c r="H225" s="915"/>
      <c r="I225" s="955"/>
      <c r="J225" s="57">
        <v>1505</v>
      </c>
      <c r="K225" s="81" t="b">
        <f t="shared" si="26"/>
        <v>0</v>
      </c>
    </row>
    <row r="226" spans="1:11" ht="23.25" customHeight="1" x14ac:dyDescent="0.25">
      <c r="A226" s="922"/>
      <c r="B226" s="929"/>
      <c r="C226" s="913"/>
      <c r="D226" s="909"/>
      <c r="E226" s="919">
        <f>'калькуляция 2024'!R226</f>
        <v>0</v>
      </c>
      <c r="F226" s="919">
        <f>'калькуляция 2024'!S226</f>
        <v>0</v>
      </c>
      <c r="G226" s="919">
        <f t="shared" si="29"/>
        <v>0</v>
      </c>
      <c r="H226" s="916"/>
      <c r="I226" s="955"/>
      <c r="J226" s="57">
        <v>0</v>
      </c>
      <c r="K226" s="81" t="b">
        <f t="shared" si="26"/>
        <v>1</v>
      </c>
    </row>
    <row r="227" spans="1:11" ht="15.75" hidden="1" customHeight="1" outlineLevel="1" x14ac:dyDescent="0.25">
      <c r="A227" s="672"/>
      <c r="B227" s="662"/>
      <c r="C227" s="648"/>
      <c r="D227" s="636"/>
      <c r="E227" s="673"/>
      <c r="F227" s="673"/>
      <c r="G227" s="673"/>
      <c r="H227" s="110"/>
      <c r="I227" s="80"/>
      <c r="J227" s="57"/>
      <c r="K227" s="81" t="b">
        <f t="shared" si="26"/>
        <v>1</v>
      </c>
    </row>
    <row r="228" spans="1:11" ht="15.75" hidden="1" customHeight="1" outlineLevel="1" x14ac:dyDescent="0.25">
      <c r="A228" s="672"/>
      <c r="B228" s="662"/>
      <c r="C228" s="648"/>
      <c r="D228" s="636"/>
      <c r="E228" s="673"/>
      <c r="F228" s="673"/>
      <c r="G228" s="673"/>
      <c r="H228" s="110"/>
      <c r="I228" s="80"/>
      <c r="J228" s="57"/>
      <c r="K228" s="81" t="b">
        <f t="shared" si="26"/>
        <v>1</v>
      </c>
    </row>
    <row r="229" spans="1:11" ht="35.25" hidden="1" customHeight="1" outlineLevel="1" x14ac:dyDescent="0.25">
      <c r="A229" s="672"/>
      <c r="B229" s="662"/>
      <c r="C229" s="648"/>
      <c r="D229" s="636"/>
      <c r="E229" s="673"/>
      <c r="F229" s="673"/>
      <c r="G229" s="673"/>
      <c r="H229" s="110"/>
      <c r="I229" s="80"/>
      <c r="J229" s="57"/>
      <c r="K229" s="81" t="b">
        <f t="shared" si="26"/>
        <v>1</v>
      </c>
    </row>
    <row r="230" spans="1:11" ht="26.25" hidden="1" customHeight="1" outlineLevel="1" x14ac:dyDescent="0.25">
      <c r="A230" s="672"/>
      <c r="B230" s="662"/>
      <c r="C230" s="648"/>
      <c r="D230" s="636"/>
      <c r="E230" s="673"/>
      <c r="F230" s="673"/>
      <c r="G230" s="673"/>
      <c r="H230" s="110"/>
      <c r="I230" s="80"/>
      <c r="J230" s="57"/>
      <c r="K230" s="81" t="b">
        <f t="shared" si="26"/>
        <v>1</v>
      </c>
    </row>
    <row r="231" spans="1:11" ht="24.75" hidden="1" customHeight="1" outlineLevel="1" x14ac:dyDescent="0.25">
      <c r="A231" s="672"/>
      <c r="B231" s="662"/>
      <c r="C231" s="648"/>
      <c r="D231" s="636"/>
      <c r="E231" s="673"/>
      <c r="F231" s="673"/>
      <c r="G231" s="673"/>
      <c r="H231" s="110"/>
      <c r="I231" s="80"/>
      <c r="J231" s="57"/>
      <c r="K231" s="81" t="b">
        <f t="shared" si="26"/>
        <v>1</v>
      </c>
    </row>
    <row r="232" spans="1:11" ht="15.75" hidden="1" customHeight="1" outlineLevel="1" x14ac:dyDescent="0.25">
      <c r="A232" s="672"/>
      <c r="B232" s="662"/>
      <c r="C232" s="648"/>
      <c r="D232" s="636"/>
      <c r="E232" s="673"/>
      <c r="F232" s="673"/>
      <c r="G232" s="673"/>
      <c r="H232" s="110"/>
      <c r="I232" s="80"/>
      <c r="J232" s="57"/>
      <c r="K232" s="81" t="b">
        <f t="shared" si="26"/>
        <v>1</v>
      </c>
    </row>
    <row r="233" spans="1:11" ht="15.75" hidden="1" customHeight="1" outlineLevel="1" x14ac:dyDescent="0.25">
      <c r="A233" s="672"/>
      <c r="B233" s="662"/>
      <c r="C233" s="648"/>
      <c r="D233" s="636"/>
      <c r="E233" s="673"/>
      <c r="F233" s="673"/>
      <c r="G233" s="673"/>
      <c r="H233" s="110"/>
      <c r="I233" s="80"/>
      <c r="J233" s="57"/>
      <c r="K233" s="81" t="b">
        <f t="shared" si="26"/>
        <v>1</v>
      </c>
    </row>
    <row r="234" spans="1:11" ht="17.25" customHeight="1" collapsed="1" x14ac:dyDescent="0.25">
      <c r="A234" s="920" t="s">
        <v>513</v>
      </c>
      <c r="B234" s="928" t="s">
        <v>237</v>
      </c>
      <c r="C234" s="913" t="s">
        <v>70</v>
      </c>
      <c r="D234" s="905" t="s">
        <v>236</v>
      </c>
      <c r="E234" s="918">
        <f>'калькуляция 2024'!R234</f>
        <v>2677.5</v>
      </c>
      <c r="F234" s="918">
        <f>'калькуляция 2024'!S234</f>
        <v>535.5</v>
      </c>
      <c r="G234" s="918">
        <f t="shared" ref="G234:G235" si="30">E234+F234</f>
        <v>3213</v>
      </c>
      <c r="H234" s="915"/>
      <c r="I234" s="955"/>
      <c r="J234" s="57">
        <v>1524</v>
      </c>
      <c r="K234" s="81" t="b">
        <f t="shared" si="26"/>
        <v>0</v>
      </c>
    </row>
    <row r="235" spans="1:11" ht="32.25" customHeight="1" x14ac:dyDescent="0.25">
      <c r="A235" s="922"/>
      <c r="B235" s="929"/>
      <c r="C235" s="913"/>
      <c r="D235" s="909"/>
      <c r="E235" s="919">
        <f>'калькуляция 2024'!R235</f>
        <v>0</v>
      </c>
      <c r="F235" s="919">
        <f>'калькуляция 2024'!S235</f>
        <v>0</v>
      </c>
      <c r="G235" s="919">
        <f t="shared" si="30"/>
        <v>0</v>
      </c>
      <c r="H235" s="916"/>
      <c r="I235" s="955"/>
      <c r="J235" s="57">
        <v>0</v>
      </c>
      <c r="K235" s="81" t="b">
        <f t="shared" si="26"/>
        <v>1</v>
      </c>
    </row>
    <row r="236" spans="1:11" ht="19.5" hidden="1" customHeight="1" outlineLevel="1" x14ac:dyDescent="0.25">
      <c r="A236" s="666"/>
      <c r="B236" s="679"/>
      <c r="C236" s="648"/>
      <c r="D236" s="671"/>
      <c r="E236" s="675"/>
      <c r="F236" s="675"/>
      <c r="G236" s="675"/>
      <c r="H236" s="108"/>
      <c r="I236" s="80"/>
      <c r="J236" s="57"/>
      <c r="K236" s="81" t="b">
        <f t="shared" si="26"/>
        <v>1</v>
      </c>
    </row>
    <row r="237" spans="1:11" ht="19.5" hidden="1" customHeight="1" outlineLevel="1" x14ac:dyDescent="0.25">
      <c r="A237" s="666"/>
      <c r="B237" s="679"/>
      <c r="C237" s="648"/>
      <c r="D237" s="671"/>
      <c r="E237" s="675"/>
      <c r="F237" s="675"/>
      <c r="G237" s="675"/>
      <c r="H237" s="108"/>
      <c r="I237" s="80"/>
      <c r="J237" s="57"/>
      <c r="K237" s="81" t="b">
        <f t="shared" si="26"/>
        <v>1</v>
      </c>
    </row>
    <row r="238" spans="1:11" ht="36" hidden="1" customHeight="1" outlineLevel="1" x14ac:dyDescent="0.25">
      <c r="A238" s="666"/>
      <c r="B238" s="679"/>
      <c r="C238" s="648"/>
      <c r="D238" s="671"/>
      <c r="E238" s="675"/>
      <c r="F238" s="675"/>
      <c r="G238" s="675"/>
      <c r="H238" s="108"/>
      <c r="I238" s="80"/>
      <c r="J238" s="57"/>
      <c r="K238" s="81" t="b">
        <f t="shared" si="26"/>
        <v>1</v>
      </c>
    </row>
    <row r="239" spans="1:11" ht="24.75" hidden="1" customHeight="1" outlineLevel="1" x14ac:dyDescent="0.25">
      <c r="A239" s="666"/>
      <c r="B239" s="679"/>
      <c r="C239" s="648"/>
      <c r="D239" s="671"/>
      <c r="E239" s="675"/>
      <c r="F239" s="675"/>
      <c r="G239" s="675"/>
      <c r="H239" s="108"/>
      <c r="I239" s="80"/>
      <c r="J239" s="57"/>
      <c r="K239" s="81" t="b">
        <f t="shared" si="26"/>
        <v>1</v>
      </c>
    </row>
    <row r="240" spans="1:11" ht="28.5" hidden="1" customHeight="1" outlineLevel="1" x14ac:dyDescent="0.25">
      <c r="A240" s="666"/>
      <c r="B240" s="679"/>
      <c r="C240" s="648"/>
      <c r="D240" s="671"/>
      <c r="E240" s="675"/>
      <c r="F240" s="675"/>
      <c r="G240" s="675"/>
      <c r="H240" s="108"/>
      <c r="I240" s="80"/>
      <c r="J240" s="57"/>
      <c r="K240" s="81" t="b">
        <f t="shared" si="26"/>
        <v>1</v>
      </c>
    </row>
    <row r="241" spans="1:11" ht="19.5" hidden="1" customHeight="1" outlineLevel="1" x14ac:dyDescent="0.25">
      <c r="A241" s="666"/>
      <c r="B241" s="679"/>
      <c r="C241" s="648"/>
      <c r="D241" s="671"/>
      <c r="E241" s="675"/>
      <c r="F241" s="675"/>
      <c r="G241" s="675"/>
      <c r="H241" s="108"/>
      <c r="I241" s="80"/>
      <c r="J241" s="57"/>
      <c r="K241" s="81" t="b">
        <f t="shared" si="26"/>
        <v>1</v>
      </c>
    </row>
    <row r="242" spans="1:11" ht="2.25" hidden="1" customHeight="1" outlineLevel="1" x14ac:dyDescent="0.25">
      <c r="A242" s="666"/>
      <c r="B242" s="679"/>
      <c r="C242" s="648"/>
      <c r="D242" s="671"/>
      <c r="E242" s="675"/>
      <c r="F242" s="675"/>
      <c r="G242" s="675"/>
      <c r="H242" s="108"/>
      <c r="I242" s="80"/>
      <c r="J242" s="57"/>
      <c r="K242" s="81" t="b">
        <f t="shared" si="26"/>
        <v>1</v>
      </c>
    </row>
    <row r="243" spans="1:11" ht="21" customHeight="1" collapsed="1" x14ac:dyDescent="0.25">
      <c r="A243" s="672" t="s">
        <v>514</v>
      </c>
      <c r="B243" s="672" t="s">
        <v>238</v>
      </c>
      <c r="C243" s="648" t="s">
        <v>245</v>
      </c>
      <c r="D243" s="636" t="s">
        <v>190</v>
      </c>
      <c r="E243" s="673">
        <f>'калькуляция 2024'!R243</f>
        <v>558.33000000000004</v>
      </c>
      <c r="F243" s="673">
        <f>'калькуляция 2024'!S243</f>
        <v>111.67</v>
      </c>
      <c r="G243" s="673">
        <f t="shared" ref="G243:G295" si="31">E243+F243</f>
        <v>670</v>
      </c>
      <c r="H243" s="110"/>
      <c r="I243" s="80"/>
      <c r="J243" s="57">
        <v>243</v>
      </c>
      <c r="K243" s="81" t="b">
        <f t="shared" si="26"/>
        <v>0</v>
      </c>
    </row>
    <row r="244" spans="1:11" ht="15.75" x14ac:dyDescent="0.25">
      <c r="A244" s="672" t="s">
        <v>516</v>
      </c>
      <c r="B244" s="672" t="s">
        <v>239</v>
      </c>
      <c r="C244" s="648" t="s">
        <v>71</v>
      </c>
      <c r="D244" s="636" t="s">
        <v>246</v>
      </c>
      <c r="E244" s="673">
        <f>'калькуляция 2024'!R244</f>
        <v>2233.33</v>
      </c>
      <c r="F244" s="673">
        <f>'калькуляция 2024'!S244</f>
        <v>446.67</v>
      </c>
      <c r="G244" s="673">
        <f t="shared" si="31"/>
        <v>2680</v>
      </c>
      <c r="H244" s="110"/>
      <c r="I244" s="80"/>
      <c r="J244" s="57">
        <v>534</v>
      </c>
      <c r="K244" s="81" t="b">
        <f t="shared" si="26"/>
        <v>0</v>
      </c>
    </row>
    <row r="245" spans="1:11" ht="15.75" x14ac:dyDescent="0.25">
      <c r="A245" s="672" t="s">
        <v>515</v>
      </c>
      <c r="B245" s="672" t="s">
        <v>247</v>
      </c>
      <c r="C245" s="648" t="s">
        <v>72</v>
      </c>
      <c r="D245" s="636" t="s">
        <v>203</v>
      </c>
      <c r="E245" s="673">
        <f>'калькуляция 2024'!R245</f>
        <v>358.33</v>
      </c>
      <c r="F245" s="673">
        <f>'калькуляция 2024'!S245</f>
        <v>71.67</v>
      </c>
      <c r="G245" s="673">
        <f t="shared" si="31"/>
        <v>430</v>
      </c>
      <c r="H245" s="110"/>
      <c r="I245" s="80"/>
      <c r="J245" s="57">
        <v>291</v>
      </c>
      <c r="K245" s="81" t="b">
        <f t="shared" si="26"/>
        <v>0</v>
      </c>
    </row>
    <row r="246" spans="1:11" ht="15.75" x14ac:dyDescent="0.25">
      <c r="A246" s="672" t="s">
        <v>517</v>
      </c>
      <c r="B246" s="672" t="s">
        <v>359</v>
      </c>
      <c r="C246" s="648" t="s">
        <v>73</v>
      </c>
      <c r="D246" s="636" t="s">
        <v>203</v>
      </c>
      <c r="E246" s="673">
        <f>'калькуляция 2024'!R246</f>
        <v>548.33000000000004</v>
      </c>
      <c r="F246" s="673">
        <f>'калькуляция 2024'!S246</f>
        <v>109.67</v>
      </c>
      <c r="G246" s="673">
        <f t="shared" si="31"/>
        <v>658</v>
      </c>
      <c r="H246" s="110"/>
      <c r="I246" s="80"/>
      <c r="J246" s="57">
        <v>485</v>
      </c>
      <c r="K246" s="81" t="b">
        <f t="shared" si="26"/>
        <v>0</v>
      </c>
    </row>
    <row r="247" spans="1:11" ht="15.75" x14ac:dyDescent="0.25">
      <c r="A247" s="672" t="s">
        <v>518</v>
      </c>
      <c r="B247" s="672" t="s">
        <v>248</v>
      </c>
      <c r="C247" s="648" t="s">
        <v>74</v>
      </c>
      <c r="D247" s="636" t="s">
        <v>250</v>
      </c>
      <c r="E247" s="673">
        <f>'калькуляция 2024'!R247</f>
        <v>783.33</v>
      </c>
      <c r="F247" s="673">
        <f>'калькуляция 2024'!S247</f>
        <v>156.66999999999999</v>
      </c>
      <c r="G247" s="673">
        <f t="shared" si="31"/>
        <v>940</v>
      </c>
      <c r="H247" s="110"/>
      <c r="I247" s="80"/>
      <c r="J247" s="57">
        <v>340</v>
      </c>
      <c r="K247" s="81" t="b">
        <f t="shared" si="26"/>
        <v>0</v>
      </c>
    </row>
    <row r="248" spans="1:11" ht="15.75" x14ac:dyDescent="0.25">
      <c r="A248" s="672" t="s">
        <v>519</v>
      </c>
      <c r="B248" s="672" t="s">
        <v>249</v>
      </c>
      <c r="C248" s="648" t="s">
        <v>75</v>
      </c>
      <c r="D248" s="636" t="s">
        <v>250</v>
      </c>
      <c r="E248" s="673">
        <f>'калькуляция 2024'!R248</f>
        <v>1200</v>
      </c>
      <c r="F248" s="673">
        <f>'калькуляция 2024'!S248</f>
        <v>240</v>
      </c>
      <c r="G248" s="673">
        <f t="shared" si="31"/>
        <v>1440</v>
      </c>
      <c r="H248" s="110"/>
      <c r="I248" s="80"/>
      <c r="J248" s="57">
        <v>194</v>
      </c>
      <c r="K248" s="81" t="b">
        <f t="shared" si="26"/>
        <v>0</v>
      </c>
    </row>
    <row r="249" spans="1:11" ht="18" customHeight="1" x14ac:dyDescent="0.25">
      <c r="A249" s="672" t="s">
        <v>520</v>
      </c>
      <c r="B249" s="672" t="s">
        <v>251</v>
      </c>
      <c r="C249" s="648" t="s">
        <v>76</v>
      </c>
      <c r="D249" s="636" t="s">
        <v>252</v>
      </c>
      <c r="E249" s="673">
        <f>'калькуляция 2024'!R249</f>
        <v>833.33</v>
      </c>
      <c r="F249" s="673">
        <f>'калькуляция 2024'!S249</f>
        <v>166.67</v>
      </c>
      <c r="G249" s="673">
        <f t="shared" si="31"/>
        <v>1000</v>
      </c>
      <c r="H249" s="110"/>
      <c r="I249" s="80"/>
      <c r="J249" s="57">
        <v>194</v>
      </c>
      <c r="K249" s="81" t="b">
        <f t="shared" si="26"/>
        <v>0</v>
      </c>
    </row>
    <row r="250" spans="1:11" ht="15.75" x14ac:dyDescent="0.25">
      <c r="A250" s="672" t="s">
        <v>521</v>
      </c>
      <c r="B250" s="672" t="s">
        <v>253</v>
      </c>
      <c r="C250" s="648" t="s">
        <v>77</v>
      </c>
      <c r="D250" s="636" t="s">
        <v>254</v>
      </c>
      <c r="E250" s="673">
        <f>'калькуляция 2024'!R250</f>
        <v>558.33000000000004</v>
      </c>
      <c r="F250" s="673">
        <f>'калькуляция 2024'!S250</f>
        <v>111.67</v>
      </c>
      <c r="G250" s="673">
        <f t="shared" si="31"/>
        <v>670</v>
      </c>
      <c r="H250" s="110"/>
      <c r="I250" s="80"/>
      <c r="J250" s="57">
        <v>116</v>
      </c>
      <c r="K250" s="81" t="b">
        <f t="shared" si="26"/>
        <v>0</v>
      </c>
    </row>
    <row r="251" spans="1:11" ht="20.25" customHeight="1" x14ac:dyDescent="0.25">
      <c r="A251" s="672" t="s">
        <v>522</v>
      </c>
      <c r="B251" s="672" t="s">
        <v>255</v>
      </c>
      <c r="C251" s="648" t="s">
        <v>78</v>
      </c>
      <c r="D251" s="636" t="s">
        <v>203</v>
      </c>
      <c r="E251" s="673">
        <f>'калькуляция 2024'!R251</f>
        <v>162.5</v>
      </c>
      <c r="F251" s="673">
        <f>'калькуляция 2024'!S251</f>
        <v>32.5</v>
      </c>
      <c r="G251" s="673">
        <f t="shared" si="31"/>
        <v>195</v>
      </c>
      <c r="H251" s="110"/>
      <c r="I251" s="80"/>
      <c r="J251" s="57">
        <v>97</v>
      </c>
      <c r="K251" s="81" t="b">
        <f t="shared" si="26"/>
        <v>0</v>
      </c>
    </row>
    <row r="252" spans="1:11" ht="15.75" x14ac:dyDescent="0.25">
      <c r="A252" s="672" t="s">
        <v>523</v>
      </c>
      <c r="B252" s="672" t="s">
        <v>256</v>
      </c>
      <c r="C252" s="648" t="s">
        <v>79</v>
      </c>
      <c r="D252" s="636" t="s">
        <v>203</v>
      </c>
      <c r="E252" s="673">
        <f>'калькуляция 2024'!R252</f>
        <v>275</v>
      </c>
      <c r="F252" s="673">
        <f>'калькуляция 2024'!S252</f>
        <v>55</v>
      </c>
      <c r="G252" s="673">
        <f t="shared" si="31"/>
        <v>330</v>
      </c>
      <c r="H252" s="110"/>
      <c r="I252" s="80"/>
      <c r="J252" s="57">
        <v>121</v>
      </c>
      <c r="K252" s="81" t="b">
        <f t="shared" si="26"/>
        <v>0</v>
      </c>
    </row>
    <row r="253" spans="1:11" ht="31.5" x14ac:dyDescent="0.25">
      <c r="A253" s="672" t="s">
        <v>524</v>
      </c>
      <c r="B253" s="672" t="s">
        <v>257</v>
      </c>
      <c r="C253" s="648" t="s">
        <v>80</v>
      </c>
      <c r="D253" s="636" t="s">
        <v>258</v>
      </c>
      <c r="E253" s="673">
        <f>'калькуляция 2024'!R253</f>
        <v>1116.67</v>
      </c>
      <c r="F253" s="673">
        <f>'калькуляция 2024'!S253</f>
        <v>223.33</v>
      </c>
      <c r="G253" s="673">
        <f t="shared" si="31"/>
        <v>1340</v>
      </c>
      <c r="H253" s="110"/>
      <c r="I253" s="80"/>
      <c r="J253" s="57">
        <v>487</v>
      </c>
      <c r="K253" s="81" t="b">
        <f t="shared" si="26"/>
        <v>0</v>
      </c>
    </row>
    <row r="254" spans="1:11" ht="15.75" x14ac:dyDescent="0.25">
      <c r="A254" s="672" t="s">
        <v>525</v>
      </c>
      <c r="B254" s="672" t="s">
        <v>260</v>
      </c>
      <c r="C254" s="648" t="s">
        <v>81</v>
      </c>
      <c r="D254" s="636" t="s">
        <v>193</v>
      </c>
      <c r="E254" s="673">
        <f>'калькуляция 2024'!R254</f>
        <v>600</v>
      </c>
      <c r="F254" s="673">
        <f>'калькуляция 2024'!S254</f>
        <v>120</v>
      </c>
      <c r="G254" s="673">
        <f t="shared" si="31"/>
        <v>720</v>
      </c>
      <c r="H254" s="110"/>
      <c r="I254" s="80"/>
      <c r="J254" s="57">
        <v>262</v>
      </c>
      <c r="K254" s="81" t="b">
        <f t="shared" si="26"/>
        <v>0</v>
      </c>
    </row>
    <row r="255" spans="1:11" ht="15.75" x14ac:dyDescent="0.25">
      <c r="A255" s="672" t="s">
        <v>526</v>
      </c>
      <c r="B255" s="672" t="s">
        <v>260</v>
      </c>
      <c r="C255" s="648" t="s">
        <v>82</v>
      </c>
      <c r="D255" s="636" t="s">
        <v>261</v>
      </c>
      <c r="E255" s="673">
        <f>'калькуляция 2024'!R255</f>
        <v>1589.17</v>
      </c>
      <c r="F255" s="673">
        <f>'калькуляция 2024'!S255</f>
        <v>317.83</v>
      </c>
      <c r="G255" s="673">
        <f t="shared" si="31"/>
        <v>1907</v>
      </c>
      <c r="H255" s="110"/>
      <c r="I255" s="80"/>
      <c r="J255" s="57">
        <v>694</v>
      </c>
      <c r="K255" s="81" t="b">
        <f t="shared" si="26"/>
        <v>0</v>
      </c>
    </row>
    <row r="256" spans="1:11" ht="15.75" x14ac:dyDescent="0.25">
      <c r="A256" s="672" t="s">
        <v>527</v>
      </c>
      <c r="B256" s="672" t="s">
        <v>262</v>
      </c>
      <c r="C256" s="648" t="s">
        <v>83</v>
      </c>
      <c r="D256" s="636" t="s">
        <v>197</v>
      </c>
      <c r="E256" s="673">
        <f>'калькуляция 2024'!R256</f>
        <v>558.33000000000004</v>
      </c>
      <c r="F256" s="673">
        <f>'калькуляция 2024'!S256</f>
        <v>111.67</v>
      </c>
      <c r="G256" s="673">
        <f t="shared" si="31"/>
        <v>670</v>
      </c>
      <c r="H256" s="110"/>
      <c r="I256" s="80"/>
      <c r="J256" s="57">
        <v>243</v>
      </c>
      <c r="K256" s="81" t="b">
        <f t="shared" si="26"/>
        <v>0</v>
      </c>
    </row>
    <row r="257" spans="1:11" ht="15.75" x14ac:dyDescent="0.25">
      <c r="A257" s="672" t="s">
        <v>528</v>
      </c>
      <c r="B257" s="672" t="s">
        <v>263</v>
      </c>
      <c r="C257" s="648" t="s">
        <v>84</v>
      </c>
      <c r="D257" s="636" t="s">
        <v>197</v>
      </c>
      <c r="E257" s="673">
        <f>'калькуляция 2024'!R257</f>
        <v>750</v>
      </c>
      <c r="F257" s="673">
        <f>'калькуляция 2024'!S257</f>
        <v>150</v>
      </c>
      <c r="G257" s="673">
        <f t="shared" si="31"/>
        <v>900</v>
      </c>
      <c r="H257" s="110"/>
      <c r="I257" s="80"/>
      <c r="J257" s="57">
        <v>325</v>
      </c>
      <c r="K257" s="81" t="b">
        <f t="shared" si="26"/>
        <v>0</v>
      </c>
    </row>
    <row r="258" spans="1:11" ht="15.75" x14ac:dyDescent="0.25">
      <c r="A258" s="672" t="s">
        <v>529</v>
      </c>
      <c r="B258" s="672" t="s">
        <v>264</v>
      </c>
      <c r="C258" s="648" t="s">
        <v>85</v>
      </c>
      <c r="D258" s="636" t="s">
        <v>197</v>
      </c>
      <c r="E258" s="673">
        <f>'калькуляция 2024'!R258</f>
        <v>266.67</v>
      </c>
      <c r="F258" s="673">
        <f>'калькуляция 2024'!S258</f>
        <v>53.33</v>
      </c>
      <c r="G258" s="673">
        <f t="shared" si="31"/>
        <v>320</v>
      </c>
      <c r="H258" s="110"/>
      <c r="I258" s="80"/>
      <c r="J258" s="57">
        <v>116</v>
      </c>
      <c r="K258" s="81" t="b">
        <f t="shared" si="26"/>
        <v>0</v>
      </c>
    </row>
    <row r="259" spans="1:11" ht="15.75" x14ac:dyDescent="0.25">
      <c r="A259" s="672" t="s">
        <v>530</v>
      </c>
      <c r="B259" s="672" t="s">
        <v>265</v>
      </c>
      <c r="C259" s="648" t="s">
        <v>86</v>
      </c>
      <c r="D259" s="636" t="s">
        <v>259</v>
      </c>
      <c r="E259" s="673">
        <f>'калькуляция 2024'!R259</f>
        <v>566.66999999999996</v>
      </c>
      <c r="F259" s="673">
        <f>'калькуляция 2024'!S259</f>
        <v>113.33</v>
      </c>
      <c r="G259" s="673">
        <f t="shared" si="31"/>
        <v>680</v>
      </c>
      <c r="H259" s="110"/>
      <c r="I259" s="80"/>
      <c r="J259" s="57">
        <v>248</v>
      </c>
      <c r="K259" s="81" t="b">
        <f t="shared" si="26"/>
        <v>0</v>
      </c>
    </row>
    <row r="260" spans="1:11" ht="31.5" x14ac:dyDescent="0.25">
      <c r="A260" s="672" t="s">
        <v>531</v>
      </c>
      <c r="B260" s="672" t="s">
        <v>35</v>
      </c>
      <c r="C260" s="648" t="s">
        <v>441</v>
      </c>
      <c r="D260" s="636" t="s">
        <v>442</v>
      </c>
      <c r="E260" s="673">
        <f>'калькуляция 2024'!R260</f>
        <v>415</v>
      </c>
      <c r="F260" s="673">
        <f>'калькуляция 2024'!S260</f>
        <v>83</v>
      </c>
      <c r="G260" s="673">
        <f t="shared" si="31"/>
        <v>498</v>
      </c>
      <c r="H260" s="110"/>
      <c r="I260" s="80"/>
      <c r="J260" s="57">
        <v>248</v>
      </c>
      <c r="K260" s="81" t="b">
        <f t="shared" si="26"/>
        <v>0</v>
      </c>
    </row>
    <row r="261" spans="1:11" ht="15.75" x14ac:dyDescent="0.25">
      <c r="A261" s="672" t="s">
        <v>532</v>
      </c>
      <c r="B261" s="672" t="s">
        <v>266</v>
      </c>
      <c r="C261" s="648" t="s">
        <v>87</v>
      </c>
      <c r="D261" s="636" t="s">
        <v>267</v>
      </c>
      <c r="E261" s="673">
        <f>'калькуляция 2024'!R261</f>
        <v>366.67</v>
      </c>
      <c r="F261" s="673">
        <f>'калькуляция 2024'!S261</f>
        <v>73.33</v>
      </c>
      <c r="G261" s="673">
        <f t="shared" si="31"/>
        <v>440</v>
      </c>
      <c r="H261" s="110"/>
      <c r="I261" s="80"/>
      <c r="J261" s="57">
        <v>160</v>
      </c>
      <c r="K261" s="81" t="b">
        <f t="shared" si="26"/>
        <v>0</v>
      </c>
    </row>
    <row r="262" spans="1:11" ht="15.75" x14ac:dyDescent="0.25">
      <c r="A262" s="672" t="s">
        <v>533</v>
      </c>
      <c r="B262" s="672" t="s">
        <v>35</v>
      </c>
      <c r="C262" s="648" t="s">
        <v>440</v>
      </c>
      <c r="D262" s="636" t="s">
        <v>203</v>
      </c>
      <c r="E262" s="673">
        <f>'калькуляция 2024'!R262</f>
        <v>566.66999999999996</v>
      </c>
      <c r="F262" s="673">
        <f>'калькуляция 2024'!S262</f>
        <v>113.33</v>
      </c>
      <c r="G262" s="673">
        <f t="shared" si="31"/>
        <v>680</v>
      </c>
      <c r="H262" s="110"/>
      <c r="I262" s="80"/>
      <c r="J262" s="57">
        <v>160</v>
      </c>
      <c r="K262" s="81" t="b">
        <f t="shared" si="26"/>
        <v>0</v>
      </c>
    </row>
    <row r="263" spans="1:11" ht="15.75" x14ac:dyDescent="0.25">
      <c r="A263" s="672" t="s">
        <v>534</v>
      </c>
      <c r="B263" s="672" t="s">
        <v>268</v>
      </c>
      <c r="C263" s="648" t="s">
        <v>88</v>
      </c>
      <c r="D263" s="636" t="s">
        <v>199</v>
      </c>
      <c r="E263" s="673">
        <f>'калькуляция 2024'!R263</f>
        <v>558.33000000000004</v>
      </c>
      <c r="F263" s="673">
        <f>'калькуляция 2024'!S263</f>
        <v>111.67</v>
      </c>
      <c r="G263" s="673">
        <f t="shared" si="31"/>
        <v>670</v>
      </c>
      <c r="H263" s="110"/>
      <c r="I263" s="80"/>
      <c r="J263" s="57">
        <v>243</v>
      </c>
      <c r="K263" s="81" t="b">
        <f t="shared" si="26"/>
        <v>0</v>
      </c>
    </row>
    <row r="264" spans="1:11" ht="15.75" x14ac:dyDescent="0.25">
      <c r="A264" s="672" t="s">
        <v>535</v>
      </c>
      <c r="B264" s="672" t="s">
        <v>269</v>
      </c>
      <c r="C264" s="648" t="s">
        <v>89</v>
      </c>
      <c r="D264" s="636" t="s">
        <v>199</v>
      </c>
      <c r="E264" s="673">
        <f>'калькуляция 2024'!R264</f>
        <v>366.67</v>
      </c>
      <c r="F264" s="673">
        <f>'калькуляция 2024'!S264</f>
        <v>73.33</v>
      </c>
      <c r="G264" s="673">
        <f t="shared" si="31"/>
        <v>440</v>
      </c>
      <c r="H264" s="110"/>
      <c r="I264" s="80"/>
      <c r="J264" s="57">
        <v>160</v>
      </c>
      <c r="K264" s="81" t="b">
        <f t="shared" si="26"/>
        <v>0</v>
      </c>
    </row>
    <row r="265" spans="1:11" ht="15.75" x14ac:dyDescent="0.25">
      <c r="A265" s="672" t="s">
        <v>536</v>
      </c>
      <c r="B265" s="672" t="s">
        <v>270</v>
      </c>
      <c r="C265" s="648" t="s">
        <v>90</v>
      </c>
      <c r="D265" s="636" t="s">
        <v>199</v>
      </c>
      <c r="E265" s="673">
        <f>'калькуляция 2024'!R265</f>
        <v>1116.67</v>
      </c>
      <c r="F265" s="673">
        <f>'калькуляция 2024'!S265</f>
        <v>223.33</v>
      </c>
      <c r="G265" s="673">
        <f t="shared" si="31"/>
        <v>1340</v>
      </c>
      <c r="H265" s="110"/>
      <c r="I265" s="80"/>
      <c r="J265" s="57">
        <v>485</v>
      </c>
      <c r="K265" s="81" t="b">
        <f t="shared" ref="K265:K329" si="32">G265=J265</f>
        <v>0</v>
      </c>
    </row>
    <row r="266" spans="1:11" ht="15.75" x14ac:dyDescent="0.25">
      <c r="A266" s="672" t="s">
        <v>537</v>
      </c>
      <c r="B266" s="672" t="s">
        <v>271</v>
      </c>
      <c r="C266" s="648" t="s">
        <v>91</v>
      </c>
      <c r="D266" s="636" t="s">
        <v>272</v>
      </c>
      <c r="E266" s="673">
        <f>'калькуляция 2024'!R266</f>
        <v>275</v>
      </c>
      <c r="F266" s="673">
        <f>'калькуляция 2024'!S266</f>
        <v>55</v>
      </c>
      <c r="G266" s="673">
        <f t="shared" si="31"/>
        <v>330</v>
      </c>
      <c r="H266" s="110"/>
      <c r="I266" s="80"/>
      <c r="J266" s="57">
        <v>121</v>
      </c>
      <c r="K266" s="81" t="b">
        <f t="shared" si="32"/>
        <v>0</v>
      </c>
    </row>
    <row r="267" spans="1:11" ht="15.75" x14ac:dyDescent="0.25">
      <c r="A267" s="672" t="s">
        <v>538</v>
      </c>
      <c r="B267" s="672" t="s">
        <v>273</v>
      </c>
      <c r="C267" s="648" t="s">
        <v>92</v>
      </c>
      <c r="D267" s="636" t="s">
        <v>274</v>
      </c>
      <c r="E267" s="673">
        <f>'калькуляция 2024'!R267</f>
        <v>108.33</v>
      </c>
      <c r="F267" s="673">
        <f>'калькуляция 2024'!S267</f>
        <v>21.67</v>
      </c>
      <c r="G267" s="673">
        <f t="shared" si="31"/>
        <v>130</v>
      </c>
      <c r="H267" s="110"/>
      <c r="I267" s="80"/>
      <c r="J267" s="57">
        <v>49</v>
      </c>
      <c r="K267" s="81" t="b">
        <f t="shared" si="32"/>
        <v>0</v>
      </c>
    </row>
    <row r="268" spans="1:11" ht="15.75" x14ac:dyDescent="0.25">
      <c r="A268" s="672" t="s">
        <v>539</v>
      </c>
      <c r="B268" s="672" t="s">
        <v>276</v>
      </c>
      <c r="C268" s="648" t="s">
        <v>93</v>
      </c>
      <c r="D268" s="636" t="s">
        <v>275</v>
      </c>
      <c r="E268" s="673">
        <f>'калькуляция 2024'!R268</f>
        <v>583.33000000000004</v>
      </c>
      <c r="F268" s="673">
        <f>'калькуляция 2024'!S268</f>
        <v>116.67</v>
      </c>
      <c r="G268" s="673">
        <f t="shared" si="31"/>
        <v>700</v>
      </c>
      <c r="H268" s="110"/>
      <c r="I268" s="80"/>
      <c r="J268" s="57">
        <v>252</v>
      </c>
      <c r="K268" s="81" t="b">
        <f t="shared" si="32"/>
        <v>0</v>
      </c>
    </row>
    <row r="269" spans="1:11" ht="15.75" x14ac:dyDescent="0.25">
      <c r="A269" s="672" t="s">
        <v>540</v>
      </c>
      <c r="B269" s="672" t="s">
        <v>277</v>
      </c>
      <c r="C269" s="648" t="s">
        <v>94</v>
      </c>
      <c r="D269" s="636" t="s">
        <v>275</v>
      </c>
      <c r="E269" s="673">
        <f>'калькуляция 2024'!R269</f>
        <v>358.33</v>
      </c>
      <c r="F269" s="673">
        <f>'калькуляция 2024'!S269</f>
        <v>71.67</v>
      </c>
      <c r="G269" s="673">
        <f t="shared" si="31"/>
        <v>430</v>
      </c>
      <c r="H269" s="110"/>
      <c r="I269" s="80"/>
      <c r="J269" s="57">
        <v>155</v>
      </c>
      <c r="K269" s="81" t="b">
        <f t="shared" si="32"/>
        <v>0</v>
      </c>
    </row>
    <row r="270" spans="1:11" ht="15.75" x14ac:dyDescent="0.25">
      <c r="A270" s="672" t="s">
        <v>541</v>
      </c>
      <c r="B270" s="672" t="s">
        <v>278</v>
      </c>
      <c r="C270" s="648" t="s">
        <v>95</v>
      </c>
      <c r="D270" s="636" t="s">
        <v>211</v>
      </c>
      <c r="E270" s="673">
        <f>'калькуляция 2024'!R270</f>
        <v>450</v>
      </c>
      <c r="F270" s="673">
        <f>'калькуляция 2024'!S270</f>
        <v>90</v>
      </c>
      <c r="G270" s="673">
        <f t="shared" si="31"/>
        <v>540</v>
      </c>
      <c r="H270" s="110"/>
      <c r="I270" s="80"/>
      <c r="J270" s="57">
        <v>194</v>
      </c>
      <c r="K270" s="81" t="b">
        <f t="shared" si="32"/>
        <v>0</v>
      </c>
    </row>
    <row r="271" spans="1:11" ht="15.75" x14ac:dyDescent="0.25">
      <c r="A271" s="672" t="s">
        <v>542</v>
      </c>
      <c r="B271" s="672" t="s">
        <v>279</v>
      </c>
      <c r="C271" s="648" t="s">
        <v>96</v>
      </c>
      <c r="D271" s="636" t="s">
        <v>211</v>
      </c>
      <c r="E271" s="673">
        <f>'калькуляция 2024'!R271</f>
        <v>616.66999999999996</v>
      </c>
      <c r="F271" s="673">
        <f>'калькуляция 2024'!S271</f>
        <v>123.33</v>
      </c>
      <c r="G271" s="673">
        <f t="shared" si="31"/>
        <v>740</v>
      </c>
      <c r="H271" s="110"/>
      <c r="I271" s="80"/>
      <c r="J271" s="57">
        <v>267</v>
      </c>
      <c r="K271" s="81" t="b">
        <f t="shared" si="32"/>
        <v>0</v>
      </c>
    </row>
    <row r="272" spans="1:11" ht="31.7" customHeight="1" x14ac:dyDescent="0.25">
      <c r="A272" s="672" t="s">
        <v>543</v>
      </c>
      <c r="B272" s="672" t="s">
        <v>280</v>
      </c>
      <c r="C272" s="648" t="s">
        <v>97</v>
      </c>
      <c r="D272" s="636" t="s">
        <v>211</v>
      </c>
      <c r="E272" s="673">
        <f>'калькуляция 2024'!R272</f>
        <v>609.16999999999996</v>
      </c>
      <c r="F272" s="673">
        <f>'калькуляция 2024'!S272</f>
        <v>121.83</v>
      </c>
      <c r="G272" s="673">
        <f t="shared" si="31"/>
        <v>731</v>
      </c>
      <c r="H272" s="110"/>
      <c r="I272" s="80"/>
      <c r="J272" s="57">
        <v>364</v>
      </c>
      <c r="K272" s="81" t="b">
        <f t="shared" si="32"/>
        <v>0</v>
      </c>
    </row>
    <row r="273" spans="1:11" ht="17.25" customHeight="1" x14ac:dyDescent="0.25">
      <c r="A273" s="672" t="s">
        <v>544</v>
      </c>
      <c r="B273" s="672" t="s">
        <v>281</v>
      </c>
      <c r="C273" s="648" t="s">
        <v>98</v>
      </c>
      <c r="D273" s="636" t="s">
        <v>190</v>
      </c>
      <c r="E273" s="673">
        <f>'калькуляция 2024'!R273</f>
        <v>891.67</v>
      </c>
      <c r="F273" s="673">
        <f>'калькуляция 2024'!S273</f>
        <v>178.33</v>
      </c>
      <c r="G273" s="673">
        <f t="shared" si="31"/>
        <v>1070</v>
      </c>
      <c r="H273" s="110"/>
      <c r="I273" s="80"/>
      <c r="J273" s="57">
        <v>388</v>
      </c>
      <c r="K273" s="81" t="b">
        <f t="shared" si="32"/>
        <v>0</v>
      </c>
    </row>
    <row r="274" spans="1:11" ht="31.5" x14ac:dyDescent="0.25">
      <c r="A274" s="672" t="s">
        <v>545</v>
      </c>
      <c r="B274" s="672" t="s">
        <v>282</v>
      </c>
      <c r="C274" s="648" t="s">
        <v>99</v>
      </c>
      <c r="D274" s="636" t="s">
        <v>211</v>
      </c>
      <c r="E274" s="673">
        <f>'калькуляция 2024'!R274</f>
        <v>811.67</v>
      </c>
      <c r="F274" s="673">
        <f>'калькуляция 2024'!S274</f>
        <v>162.33000000000001</v>
      </c>
      <c r="G274" s="673">
        <f t="shared" si="31"/>
        <v>974</v>
      </c>
      <c r="H274" s="110"/>
      <c r="I274" s="80"/>
      <c r="J274" s="57">
        <v>485</v>
      </c>
      <c r="K274" s="81" t="b">
        <f t="shared" si="32"/>
        <v>0</v>
      </c>
    </row>
    <row r="275" spans="1:11" ht="26.25" customHeight="1" x14ac:dyDescent="0.25">
      <c r="A275" s="672" t="s">
        <v>546</v>
      </c>
      <c r="B275" s="672" t="s">
        <v>283</v>
      </c>
      <c r="C275" s="648" t="s">
        <v>100</v>
      </c>
      <c r="D275" s="636" t="s">
        <v>211</v>
      </c>
      <c r="E275" s="673">
        <f>'калькуляция 2024'!R275</f>
        <v>275</v>
      </c>
      <c r="F275" s="673">
        <f>'калькуляция 2024'!S275</f>
        <v>55</v>
      </c>
      <c r="G275" s="673">
        <f t="shared" si="31"/>
        <v>330</v>
      </c>
      <c r="H275" s="110"/>
      <c r="I275" s="80"/>
      <c r="J275" s="57">
        <v>121</v>
      </c>
      <c r="K275" s="81" t="b">
        <f t="shared" si="32"/>
        <v>0</v>
      </c>
    </row>
    <row r="276" spans="1:11" ht="15.75" x14ac:dyDescent="0.25">
      <c r="A276" s="672" t="s">
        <v>547</v>
      </c>
      <c r="B276" s="672" t="s">
        <v>284</v>
      </c>
      <c r="C276" s="648" t="s">
        <v>101</v>
      </c>
      <c r="D276" s="636" t="s">
        <v>211</v>
      </c>
      <c r="E276" s="673">
        <f>'калькуляция 2024'!R276</f>
        <v>275</v>
      </c>
      <c r="F276" s="673">
        <f>'калькуляция 2024'!S276</f>
        <v>55</v>
      </c>
      <c r="G276" s="673">
        <f t="shared" si="31"/>
        <v>330</v>
      </c>
      <c r="H276" s="110"/>
      <c r="I276" s="80"/>
      <c r="J276" s="57">
        <v>121</v>
      </c>
      <c r="K276" s="81" t="b">
        <f t="shared" si="32"/>
        <v>0</v>
      </c>
    </row>
    <row r="277" spans="1:11" ht="31.5" x14ac:dyDescent="0.25">
      <c r="A277" s="672" t="s">
        <v>548</v>
      </c>
      <c r="B277" s="672" t="s">
        <v>285</v>
      </c>
      <c r="C277" s="648" t="s">
        <v>102</v>
      </c>
      <c r="D277" s="636" t="s">
        <v>211</v>
      </c>
      <c r="E277" s="673">
        <f>'калькуляция 2024'!R277</f>
        <v>275</v>
      </c>
      <c r="F277" s="673">
        <f>'калькуляция 2024'!S277</f>
        <v>55</v>
      </c>
      <c r="G277" s="673">
        <f t="shared" si="31"/>
        <v>330</v>
      </c>
      <c r="H277" s="110"/>
      <c r="I277" s="80"/>
      <c r="J277" s="57">
        <v>121</v>
      </c>
      <c r="K277" s="81" t="b">
        <f t="shared" si="32"/>
        <v>0</v>
      </c>
    </row>
    <row r="278" spans="1:11" ht="15.75" x14ac:dyDescent="0.25">
      <c r="A278" s="672" t="s">
        <v>549</v>
      </c>
      <c r="B278" s="672" t="s">
        <v>286</v>
      </c>
      <c r="C278" s="648" t="s">
        <v>103</v>
      </c>
      <c r="D278" s="636" t="s">
        <v>211</v>
      </c>
      <c r="E278" s="673">
        <f>'калькуляция 2024'!R278</f>
        <v>558.33000000000004</v>
      </c>
      <c r="F278" s="673">
        <f>'калькуляция 2024'!S278</f>
        <v>111.67</v>
      </c>
      <c r="G278" s="673">
        <f t="shared" si="31"/>
        <v>670</v>
      </c>
      <c r="H278" s="110"/>
      <c r="I278" s="80"/>
      <c r="J278" s="57">
        <v>243</v>
      </c>
      <c r="K278" s="81" t="b">
        <f t="shared" si="32"/>
        <v>0</v>
      </c>
    </row>
    <row r="279" spans="1:11" ht="15.75" x14ac:dyDescent="0.25">
      <c r="A279" s="672" t="s">
        <v>550</v>
      </c>
      <c r="B279" s="672" t="s">
        <v>287</v>
      </c>
      <c r="C279" s="648" t="s">
        <v>104</v>
      </c>
      <c r="D279" s="636" t="s">
        <v>211</v>
      </c>
      <c r="E279" s="673">
        <f>'калькуляция 2024'!R279</f>
        <v>1016.67</v>
      </c>
      <c r="F279" s="673">
        <f>'калькуляция 2024'!S279</f>
        <v>203.33</v>
      </c>
      <c r="G279" s="673">
        <f t="shared" si="31"/>
        <v>1220</v>
      </c>
      <c r="H279" s="110"/>
      <c r="I279" s="80"/>
      <c r="J279" s="57">
        <v>442</v>
      </c>
      <c r="K279" s="81" t="b">
        <f t="shared" si="32"/>
        <v>0</v>
      </c>
    </row>
    <row r="280" spans="1:11" ht="15.75" x14ac:dyDescent="0.25">
      <c r="A280" s="672" t="s">
        <v>551</v>
      </c>
      <c r="B280" s="672" t="s">
        <v>288</v>
      </c>
      <c r="C280" s="648" t="s">
        <v>105</v>
      </c>
      <c r="D280" s="636" t="s">
        <v>211</v>
      </c>
      <c r="E280" s="673">
        <f>'калькуляция 2024'!R280</f>
        <v>800</v>
      </c>
      <c r="F280" s="673">
        <f>'калькуляция 2024'!S280</f>
        <v>160</v>
      </c>
      <c r="G280" s="673">
        <f t="shared" si="31"/>
        <v>960</v>
      </c>
      <c r="H280" s="110"/>
      <c r="I280" s="80"/>
      <c r="J280" s="57">
        <v>349</v>
      </c>
      <c r="K280" s="81" t="b">
        <f t="shared" si="32"/>
        <v>0</v>
      </c>
    </row>
    <row r="281" spans="1:11" ht="15.75" x14ac:dyDescent="0.25">
      <c r="A281" s="672" t="s">
        <v>552</v>
      </c>
      <c r="B281" s="672" t="s">
        <v>289</v>
      </c>
      <c r="C281" s="648" t="s">
        <v>106</v>
      </c>
      <c r="D281" s="636" t="s">
        <v>211</v>
      </c>
      <c r="E281" s="673">
        <f>'калькуляция 2024'!R281</f>
        <v>466.67</v>
      </c>
      <c r="F281" s="673">
        <f>'калькуляция 2024'!S281</f>
        <v>93.33</v>
      </c>
      <c r="G281" s="673">
        <f t="shared" si="31"/>
        <v>560</v>
      </c>
      <c r="H281" s="110"/>
      <c r="I281" s="80"/>
      <c r="J281" s="57">
        <v>204</v>
      </c>
      <c r="K281" s="81" t="b">
        <f t="shared" si="32"/>
        <v>0</v>
      </c>
    </row>
    <row r="282" spans="1:11" ht="15.75" x14ac:dyDescent="0.25">
      <c r="A282" s="672" t="s">
        <v>553</v>
      </c>
      <c r="B282" s="672" t="s">
        <v>290</v>
      </c>
      <c r="C282" s="648" t="s">
        <v>107</v>
      </c>
      <c r="D282" s="636" t="s">
        <v>211</v>
      </c>
      <c r="E282" s="673">
        <f>'калькуляция 2024'!R282</f>
        <v>2233.33</v>
      </c>
      <c r="F282" s="673">
        <f>'калькуляция 2024'!S282</f>
        <v>446.67</v>
      </c>
      <c r="G282" s="673">
        <f t="shared" si="31"/>
        <v>2680</v>
      </c>
      <c r="H282" s="110"/>
      <c r="I282" s="80"/>
      <c r="J282" s="57">
        <v>970</v>
      </c>
      <c r="K282" s="81" t="b">
        <f t="shared" si="32"/>
        <v>0</v>
      </c>
    </row>
    <row r="283" spans="1:11" ht="15.75" x14ac:dyDescent="0.25">
      <c r="A283" s="672" t="s">
        <v>554</v>
      </c>
      <c r="B283" s="672" t="s">
        <v>291</v>
      </c>
      <c r="C283" s="648" t="s">
        <v>108</v>
      </c>
      <c r="D283" s="636" t="s">
        <v>211</v>
      </c>
      <c r="E283" s="673">
        <f>'калькуляция 2024'!R283</f>
        <v>391.67</v>
      </c>
      <c r="F283" s="673">
        <f>'калькуляция 2024'!S283</f>
        <v>78.33</v>
      </c>
      <c r="G283" s="673">
        <f t="shared" si="31"/>
        <v>470</v>
      </c>
      <c r="H283" s="110"/>
      <c r="I283" s="80"/>
      <c r="J283" s="57">
        <v>170</v>
      </c>
      <c r="K283" s="81" t="b">
        <f t="shared" si="32"/>
        <v>0</v>
      </c>
    </row>
    <row r="284" spans="1:11" ht="15.75" x14ac:dyDescent="0.25">
      <c r="A284" s="672" t="s">
        <v>555</v>
      </c>
      <c r="B284" s="672" t="s">
        <v>292</v>
      </c>
      <c r="C284" s="648" t="s">
        <v>109</v>
      </c>
      <c r="D284" s="636" t="s">
        <v>211</v>
      </c>
      <c r="E284" s="673">
        <f>'калькуляция 2024'!R284</f>
        <v>725</v>
      </c>
      <c r="F284" s="673">
        <f>'калькуляция 2024'!S284</f>
        <v>145</v>
      </c>
      <c r="G284" s="673">
        <f t="shared" si="31"/>
        <v>870</v>
      </c>
      <c r="H284" s="110"/>
      <c r="I284" s="80"/>
      <c r="J284" s="57">
        <v>316</v>
      </c>
      <c r="K284" s="81" t="b">
        <f t="shared" si="32"/>
        <v>0</v>
      </c>
    </row>
    <row r="285" spans="1:11" ht="15.75" x14ac:dyDescent="0.25">
      <c r="A285" s="672" t="s">
        <v>556</v>
      </c>
      <c r="B285" s="672" t="s">
        <v>293</v>
      </c>
      <c r="C285" s="648" t="s">
        <v>110</v>
      </c>
      <c r="D285" s="636" t="s">
        <v>211</v>
      </c>
      <c r="E285" s="673">
        <f>'калькуляция 2024'!R285</f>
        <v>811.67</v>
      </c>
      <c r="F285" s="673">
        <f>'калькуляция 2024'!S285</f>
        <v>162.33000000000001</v>
      </c>
      <c r="G285" s="673">
        <f t="shared" si="31"/>
        <v>974</v>
      </c>
      <c r="H285" s="110"/>
      <c r="I285" s="80"/>
      <c r="J285" s="57">
        <v>485</v>
      </c>
      <c r="K285" s="81" t="b">
        <f t="shared" si="32"/>
        <v>0</v>
      </c>
    </row>
    <row r="286" spans="1:11" ht="15.75" x14ac:dyDescent="0.25">
      <c r="A286" s="672" t="s">
        <v>557</v>
      </c>
      <c r="B286" s="672" t="s">
        <v>294</v>
      </c>
      <c r="C286" s="648" t="s">
        <v>111</v>
      </c>
      <c r="D286" s="636" t="s">
        <v>211</v>
      </c>
      <c r="E286" s="673">
        <f>'калькуляция 2024'!R286</f>
        <v>733.33</v>
      </c>
      <c r="F286" s="673">
        <f>'калькуляция 2024'!S286</f>
        <v>146.66999999999999</v>
      </c>
      <c r="G286" s="673">
        <f t="shared" si="31"/>
        <v>880</v>
      </c>
      <c r="H286" s="110"/>
      <c r="I286" s="80"/>
      <c r="J286" s="57">
        <v>320</v>
      </c>
      <c r="K286" s="81" t="b">
        <f t="shared" si="32"/>
        <v>0</v>
      </c>
    </row>
    <row r="287" spans="1:11" ht="15.75" x14ac:dyDescent="0.25">
      <c r="A287" s="672" t="s">
        <v>558</v>
      </c>
      <c r="B287" s="672" t="s">
        <v>35</v>
      </c>
      <c r="C287" s="648" t="s">
        <v>112</v>
      </c>
      <c r="D287" s="636" t="s">
        <v>211</v>
      </c>
      <c r="E287" s="673">
        <f>'калькуляция 2024'!R287</f>
        <v>81.67</v>
      </c>
      <c r="F287" s="673">
        <f>'калькуляция 2024'!S287</f>
        <v>16.329999999999998</v>
      </c>
      <c r="G287" s="673">
        <f t="shared" si="31"/>
        <v>98</v>
      </c>
      <c r="H287" s="110"/>
      <c r="I287" s="80"/>
      <c r="J287" s="57">
        <v>49</v>
      </c>
      <c r="K287" s="81" t="b">
        <f t="shared" si="32"/>
        <v>0</v>
      </c>
    </row>
    <row r="288" spans="1:11" ht="15.75" x14ac:dyDescent="0.25">
      <c r="A288" s="672" t="s">
        <v>559</v>
      </c>
      <c r="B288" s="672" t="s">
        <v>35</v>
      </c>
      <c r="C288" s="648" t="s">
        <v>113</v>
      </c>
      <c r="D288" s="636" t="s">
        <v>211</v>
      </c>
      <c r="E288" s="673">
        <f>'калькуляция 2024'!R288</f>
        <v>275</v>
      </c>
      <c r="F288" s="673">
        <f>'калькуляция 2024'!S288</f>
        <v>55</v>
      </c>
      <c r="G288" s="673">
        <f t="shared" si="31"/>
        <v>330</v>
      </c>
      <c r="H288" s="110"/>
      <c r="I288" s="80"/>
      <c r="J288" s="57">
        <v>127</v>
      </c>
      <c r="K288" s="81" t="b">
        <f t="shared" si="32"/>
        <v>0</v>
      </c>
    </row>
    <row r="289" spans="1:11" ht="15.75" x14ac:dyDescent="0.25">
      <c r="A289" s="672" t="s">
        <v>560</v>
      </c>
      <c r="B289" s="672" t="s">
        <v>35</v>
      </c>
      <c r="C289" s="648" t="s">
        <v>114</v>
      </c>
      <c r="D289" s="636" t="s">
        <v>211</v>
      </c>
      <c r="E289" s="673">
        <f>'калькуляция 2024'!R289</f>
        <v>275</v>
      </c>
      <c r="F289" s="673">
        <f>'калькуляция 2024'!S289</f>
        <v>55</v>
      </c>
      <c r="G289" s="673">
        <f t="shared" si="31"/>
        <v>330</v>
      </c>
      <c r="H289" s="110"/>
      <c r="I289" s="80"/>
      <c r="J289" s="57">
        <v>127</v>
      </c>
      <c r="K289" s="81" t="b">
        <f t="shared" si="32"/>
        <v>0</v>
      </c>
    </row>
    <row r="290" spans="1:11" ht="31.5" x14ac:dyDescent="0.25">
      <c r="A290" s="672" t="s">
        <v>561</v>
      </c>
      <c r="B290" s="672" t="s">
        <v>35</v>
      </c>
      <c r="C290" s="648" t="s">
        <v>115</v>
      </c>
      <c r="D290" s="636" t="s">
        <v>211</v>
      </c>
      <c r="E290" s="673">
        <f>'калькуляция 2024'!R290</f>
        <v>433.33</v>
      </c>
      <c r="F290" s="673">
        <f>'калькуляция 2024'!S290</f>
        <v>86.67</v>
      </c>
      <c r="G290" s="673">
        <f t="shared" si="31"/>
        <v>520</v>
      </c>
      <c r="H290" s="110"/>
      <c r="I290" s="80"/>
      <c r="J290" s="57">
        <v>168</v>
      </c>
      <c r="K290" s="81" t="b">
        <f t="shared" si="32"/>
        <v>0</v>
      </c>
    </row>
    <row r="291" spans="1:11" ht="15.75" x14ac:dyDescent="0.25">
      <c r="A291" s="672" t="s">
        <v>562</v>
      </c>
      <c r="B291" s="672" t="s">
        <v>35</v>
      </c>
      <c r="C291" s="648" t="s">
        <v>116</v>
      </c>
      <c r="D291" s="636" t="s">
        <v>211</v>
      </c>
      <c r="E291" s="673">
        <f>'калькуляция 2024'!R291</f>
        <v>306.67</v>
      </c>
      <c r="F291" s="673">
        <f>'калькуляция 2024'!S291</f>
        <v>61.33</v>
      </c>
      <c r="G291" s="673">
        <f t="shared" si="31"/>
        <v>368</v>
      </c>
      <c r="H291" s="110"/>
      <c r="I291" s="80"/>
      <c r="J291" s="57">
        <v>168</v>
      </c>
      <c r="K291" s="81" t="b">
        <f t="shared" si="32"/>
        <v>0</v>
      </c>
    </row>
    <row r="292" spans="1:11" ht="15.75" x14ac:dyDescent="0.25">
      <c r="A292" s="672" t="s">
        <v>563</v>
      </c>
      <c r="B292" s="672" t="s">
        <v>35</v>
      </c>
      <c r="C292" s="648" t="s">
        <v>117</v>
      </c>
      <c r="D292" s="636" t="s">
        <v>211</v>
      </c>
      <c r="E292" s="673">
        <f>'калькуляция 2024'!R292</f>
        <v>306.67</v>
      </c>
      <c r="F292" s="673">
        <f>'калькуляция 2024'!S292</f>
        <v>61.33</v>
      </c>
      <c r="G292" s="673">
        <f t="shared" si="31"/>
        <v>368</v>
      </c>
      <c r="H292" s="110"/>
      <c r="I292" s="80"/>
      <c r="J292" s="57">
        <v>168</v>
      </c>
      <c r="K292" s="81" t="b">
        <f t="shared" si="32"/>
        <v>0</v>
      </c>
    </row>
    <row r="293" spans="1:11" ht="18" customHeight="1" x14ac:dyDescent="0.25">
      <c r="A293" s="672" t="s">
        <v>564</v>
      </c>
      <c r="B293" s="672" t="s">
        <v>35</v>
      </c>
      <c r="C293" s="648" t="s">
        <v>118</v>
      </c>
      <c r="D293" s="636" t="s">
        <v>211</v>
      </c>
      <c r="E293" s="673">
        <f>'калькуляция 2024'!R293</f>
        <v>462.5</v>
      </c>
      <c r="F293" s="673">
        <f>'калькуляция 2024'!S293</f>
        <v>92.5</v>
      </c>
      <c r="G293" s="673">
        <f t="shared" si="31"/>
        <v>555</v>
      </c>
      <c r="H293" s="110"/>
      <c r="I293" s="80"/>
      <c r="J293" s="57">
        <v>253</v>
      </c>
      <c r="K293" s="81" t="b">
        <f t="shared" si="32"/>
        <v>0</v>
      </c>
    </row>
    <row r="294" spans="1:11" ht="22.5" customHeight="1" x14ac:dyDescent="0.25">
      <c r="A294" s="960" t="s">
        <v>295</v>
      </c>
      <c r="B294" s="961"/>
      <c r="C294" s="961"/>
      <c r="D294" s="961"/>
      <c r="E294" s="693"/>
      <c r="F294" s="693"/>
      <c r="G294" s="694"/>
      <c r="H294" s="94"/>
      <c r="I294" s="80"/>
      <c r="J294" s="57"/>
      <c r="K294" s="81" t="b">
        <f t="shared" si="32"/>
        <v>1</v>
      </c>
    </row>
    <row r="295" spans="1:11" ht="38.25" customHeight="1" x14ac:dyDescent="0.25">
      <c r="A295" s="672" t="s">
        <v>565</v>
      </c>
      <c r="B295" s="672" t="s">
        <v>296</v>
      </c>
      <c r="C295" s="648" t="s">
        <v>119</v>
      </c>
      <c r="D295" s="636" t="s">
        <v>34</v>
      </c>
      <c r="E295" s="673">
        <f>'калькуляция 2024'!R295</f>
        <v>1000</v>
      </c>
      <c r="F295" s="673">
        <f>'калькуляция 2024'!S295</f>
        <v>200</v>
      </c>
      <c r="G295" s="673">
        <f t="shared" si="31"/>
        <v>1200</v>
      </c>
      <c r="H295" s="110"/>
      <c r="I295" s="80"/>
      <c r="J295" s="57">
        <v>446</v>
      </c>
      <c r="K295" s="81" t="b">
        <f t="shared" si="32"/>
        <v>0</v>
      </c>
    </row>
    <row r="296" spans="1:11" ht="26.25" hidden="1" customHeight="1" outlineLevel="1" x14ac:dyDescent="0.25">
      <c r="A296" s="665"/>
      <c r="B296" s="665"/>
      <c r="C296" s="677"/>
      <c r="D296" s="670"/>
      <c r="E296" s="674"/>
      <c r="F296" s="674"/>
      <c r="G296" s="674"/>
      <c r="H296" s="107"/>
      <c r="I296" s="80"/>
      <c r="J296" s="57"/>
      <c r="K296" s="81" t="b">
        <f t="shared" si="32"/>
        <v>1</v>
      </c>
    </row>
    <row r="297" spans="1:11" ht="15.75" hidden="1" customHeight="1" outlineLevel="1" x14ac:dyDescent="0.25">
      <c r="A297" s="665"/>
      <c r="B297" s="665"/>
      <c r="C297" s="677"/>
      <c r="D297" s="670"/>
      <c r="E297" s="674"/>
      <c r="F297" s="674"/>
      <c r="G297" s="674"/>
      <c r="H297" s="107"/>
      <c r="I297" s="80"/>
      <c r="J297" s="57"/>
      <c r="K297" s="81" t="b">
        <f t="shared" si="32"/>
        <v>1</v>
      </c>
    </row>
    <row r="298" spans="1:11" ht="15.75" hidden="1" customHeight="1" outlineLevel="1" x14ac:dyDescent="0.25">
      <c r="A298" s="665"/>
      <c r="B298" s="665"/>
      <c r="C298" s="677"/>
      <c r="D298" s="670"/>
      <c r="E298" s="674"/>
      <c r="F298" s="674"/>
      <c r="G298" s="674"/>
      <c r="H298" s="107"/>
      <c r="I298" s="80"/>
      <c r="J298" s="57"/>
      <c r="K298" s="81" t="b">
        <f t="shared" si="32"/>
        <v>1</v>
      </c>
    </row>
    <row r="299" spans="1:11" s="117" customFormat="1" ht="46.5" customHeight="1" outlineLevel="1" x14ac:dyDescent="0.25">
      <c r="A299" s="672" t="s">
        <v>643</v>
      </c>
      <c r="B299" s="672" t="s">
        <v>296</v>
      </c>
      <c r="C299" s="648" t="s">
        <v>644</v>
      </c>
      <c r="D299" s="656" t="s">
        <v>34</v>
      </c>
      <c r="E299" s="673">
        <f>'калькуляция 2024'!R299</f>
        <v>1068.33</v>
      </c>
      <c r="F299" s="673">
        <f>'калькуляция 2024'!S299</f>
        <v>213.67</v>
      </c>
      <c r="G299" s="673">
        <f t="shared" ref="G299:G304" si="33">E299+F299</f>
        <v>1282</v>
      </c>
      <c r="H299" s="141"/>
      <c r="I299" s="127"/>
      <c r="J299" s="261">
        <v>638</v>
      </c>
      <c r="K299" s="81" t="b">
        <f t="shared" si="32"/>
        <v>0</v>
      </c>
    </row>
    <row r="300" spans="1:11" s="117" customFormat="1" ht="15.75" hidden="1" customHeight="1" outlineLevel="1" x14ac:dyDescent="0.25">
      <c r="A300" s="328"/>
      <c r="B300" s="328"/>
      <c r="C300" s="327"/>
      <c r="D300" s="656" t="s">
        <v>34</v>
      </c>
      <c r="E300" s="337">
        <f>'калькуляция 2024'!R300</f>
        <v>0</v>
      </c>
      <c r="F300" s="337">
        <f>'калькуляция 2024'!S300</f>
        <v>0</v>
      </c>
      <c r="G300" s="673">
        <f t="shared" si="33"/>
        <v>0</v>
      </c>
      <c r="H300" s="141"/>
      <c r="I300" s="127"/>
      <c r="J300" s="261"/>
      <c r="K300" s="81" t="b">
        <f t="shared" si="32"/>
        <v>1</v>
      </c>
    </row>
    <row r="301" spans="1:11" s="117" customFormat="1" ht="15.75" hidden="1" customHeight="1" outlineLevel="1" x14ac:dyDescent="0.25">
      <c r="A301" s="328"/>
      <c r="B301" s="328"/>
      <c r="C301" s="327"/>
      <c r="D301" s="656" t="s">
        <v>34</v>
      </c>
      <c r="E301" s="337">
        <f>'калькуляция 2024'!R301</f>
        <v>0</v>
      </c>
      <c r="F301" s="337">
        <f>'калькуляция 2024'!S301</f>
        <v>0</v>
      </c>
      <c r="G301" s="673">
        <f t="shared" si="33"/>
        <v>0</v>
      </c>
      <c r="H301" s="141"/>
      <c r="I301" s="127"/>
      <c r="J301" s="261"/>
      <c r="K301" s="81" t="b">
        <f t="shared" si="32"/>
        <v>1</v>
      </c>
    </row>
    <row r="302" spans="1:11" s="117" customFormat="1" ht="15.75" hidden="1" customHeight="1" outlineLevel="1" x14ac:dyDescent="0.25">
      <c r="A302" s="328"/>
      <c r="B302" s="328"/>
      <c r="C302" s="327"/>
      <c r="D302" s="656" t="s">
        <v>34</v>
      </c>
      <c r="E302" s="337">
        <f>'калькуляция 2024'!R302</f>
        <v>0</v>
      </c>
      <c r="F302" s="337">
        <f>'калькуляция 2024'!S302</f>
        <v>0</v>
      </c>
      <c r="G302" s="673">
        <f t="shared" si="33"/>
        <v>0</v>
      </c>
      <c r="H302" s="141"/>
      <c r="I302" s="127"/>
      <c r="J302" s="261"/>
      <c r="K302" s="81" t="b">
        <f t="shared" si="32"/>
        <v>1</v>
      </c>
    </row>
    <row r="303" spans="1:11" s="117" customFormat="1" ht="15.75" hidden="1" customHeight="1" outlineLevel="1" x14ac:dyDescent="0.25">
      <c r="A303" s="328"/>
      <c r="B303" s="328"/>
      <c r="C303" s="327"/>
      <c r="D303" s="656" t="s">
        <v>34</v>
      </c>
      <c r="E303" s="337">
        <f>'калькуляция 2024'!R303</f>
        <v>0</v>
      </c>
      <c r="F303" s="337">
        <f>'калькуляция 2024'!S303</f>
        <v>0</v>
      </c>
      <c r="G303" s="673">
        <f t="shared" si="33"/>
        <v>0</v>
      </c>
      <c r="H303" s="141"/>
      <c r="I303" s="127"/>
      <c r="J303" s="261"/>
      <c r="K303" s="81" t="b">
        <f t="shared" si="32"/>
        <v>1</v>
      </c>
    </row>
    <row r="304" spans="1:11" s="638" customFormat="1" ht="45" customHeight="1" outlineLevel="1" x14ac:dyDescent="0.25">
      <c r="A304" s="672" t="s">
        <v>718</v>
      </c>
      <c r="B304" s="672" t="s">
        <v>296</v>
      </c>
      <c r="C304" s="648" t="s">
        <v>719</v>
      </c>
      <c r="D304" s="656" t="s">
        <v>34</v>
      </c>
      <c r="E304" s="674">
        <f>'калькуляция 2024'!R304</f>
        <v>1583.33</v>
      </c>
      <c r="F304" s="674">
        <f>'калькуляция 2024'!S304</f>
        <v>316.67</v>
      </c>
      <c r="G304" s="673">
        <f t="shared" si="33"/>
        <v>1900</v>
      </c>
      <c r="H304" s="642"/>
      <c r="I304" s="640"/>
      <c r="J304" s="664"/>
      <c r="K304" s="634"/>
    </row>
    <row r="305" spans="1:11" ht="19.5" customHeight="1" x14ac:dyDescent="0.25">
      <c r="A305" s="920" t="s">
        <v>566</v>
      </c>
      <c r="B305" s="920" t="s">
        <v>298</v>
      </c>
      <c r="C305" s="923" t="s">
        <v>396</v>
      </c>
      <c r="D305" s="905" t="s">
        <v>299</v>
      </c>
      <c r="E305" s="918">
        <f>'калькуляция 2024'!R308</f>
        <v>3307.5</v>
      </c>
      <c r="F305" s="918">
        <f>'калькуляция 2024'!S308</f>
        <v>661.5</v>
      </c>
      <c r="G305" s="918">
        <f t="shared" ref="G305:G306" si="34">E305+F305</f>
        <v>3969</v>
      </c>
      <c r="H305" s="915"/>
      <c r="I305" s="955"/>
      <c r="J305" s="57">
        <v>1811</v>
      </c>
      <c r="K305" s="81" t="b">
        <f t="shared" si="32"/>
        <v>0</v>
      </c>
    </row>
    <row r="306" spans="1:11" ht="22.7" customHeight="1" x14ac:dyDescent="0.25">
      <c r="A306" s="922"/>
      <c r="B306" s="922"/>
      <c r="C306" s="924"/>
      <c r="D306" s="909"/>
      <c r="E306" s="919">
        <f>'калькуляция 2024'!R309</f>
        <v>0</v>
      </c>
      <c r="F306" s="919">
        <f>'калькуляция 2024'!S309</f>
        <v>0</v>
      </c>
      <c r="G306" s="919">
        <f t="shared" si="34"/>
        <v>0</v>
      </c>
      <c r="H306" s="916"/>
      <c r="I306" s="955"/>
      <c r="J306" s="57">
        <v>0</v>
      </c>
      <c r="K306" s="81" t="b">
        <f t="shared" si="32"/>
        <v>1</v>
      </c>
    </row>
    <row r="307" spans="1:11" ht="15.75" hidden="1" customHeight="1" outlineLevel="1" x14ac:dyDescent="0.25">
      <c r="A307" s="343"/>
      <c r="B307" s="343"/>
      <c r="C307" s="204"/>
      <c r="D307" s="96"/>
      <c r="E307" s="337"/>
      <c r="F307" s="337"/>
      <c r="G307" s="337"/>
      <c r="H307" s="110"/>
      <c r="I307" s="105"/>
      <c r="J307" s="57"/>
      <c r="K307" s="81" t="b">
        <f t="shared" si="32"/>
        <v>1</v>
      </c>
    </row>
    <row r="308" spans="1:11" ht="15.75" hidden="1" customHeight="1" outlineLevel="1" x14ac:dyDescent="0.25">
      <c r="A308" s="343"/>
      <c r="B308" s="343"/>
      <c r="C308" s="204"/>
      <c r="D308" s="96"/>
      <c r="E308" s="337"/>
      <c r="F308" s="337"/>
      <c r="G308" s="337"/>
      <c r="H308" s="110"/>
      <c r="I308" s="105"/>
      <c r="J308" s="57"/>
      <c r="K308" s="81" t="b">
        <f t="shared" si="32"/>
        <v>1</v>
      </c>
    </row>
    <row r="309" spans="1:11" ht="36" hidden="1" customHeight="1" outlineLevel="1" x14ac:dyDescent="0.25">
      <c r="A309" s="343"/>
      <c r="B309" s="343"/>
      <c r="C309" s="204"/>
      <c r="D309" s="96"/>
      <c r="E309" s="337"/>
      <c r="F309" s="337"/>
      <c r="G309" s="337"/>
      <c r="H309" s="110"/>
      <c r="I309" s="105"/>
      <c r="J309" s="57"/>
      <c r="K309" s="81" t="b">
        <f t="shared" si="32"/>
        <v>1</v>
      </c>
    </row>
    <row r="310" spans="1:11" ht="15.75" hidden="1" customHeight="1" outlineLevel="1" x14ac:dyDescent="0.25">
      <c r="A310" s="330"/>
      <c r="B310" s="330"/>
      <c r="C310" s="341"/>
      <c r="D310" s="333"/>
      <c r="E310" s="337"/>
      <c r="F310" s="337"/>
      <c r="G310" s="337"/>
      <c r="H310" s="110"/>
      <c r="I310" s="105"/>
      <c r="J310" s="57"/>
      <c r="K310" s="81" t="b">
        <f t="shared" si="32"/>
        <v>1</v>
      </c>
    </row>
    <row r="311" spans="1:11" ht="15.75" hidden="1" customHeight="1" outlineLevel="1" x14ac:dyDescent="0.25">
      <c r="A311" s="330"/>
      <c r="B311" s="330"/>
      <c r="C311" s="341"/>
      <c r="D311" s="333"/>
      <c r="E311" s="337"/>
      <c r="F311" s="337"/>
      <c r="G311" s="337"/>
      <c r="H311" s="110"/>
      <c r="I311" s="105"/>
      <c r="J311" s="57"/>
      <c r="K311" s="81" t="b">
        <f t="shared" si="32"/>
        <v>1</v>
      </c>
    </row>
    <row r="312" spans="1:11" ht="15.75" hidden="1" customHeight="1" outlineLevel="1" x14ac:dyDescent="0.25">
      <c r="A312" s="330"/>
      <c r="B312" s="330"/>
      <c r="C312" s="341"/>
      <c r="D312" s="333"/>
      <c r="E312" s="337"/>
      <c r="F312" s="337"/>
      <c r="G312" s="337"/>
      <c r="H312" s="110"/>
      <c r="I312" s="105"/>
      <c r="J312" s="57"/>
      <c r="K312" s="81" t="b">
        <f t="shared" si="32"/>
        <v>1</v>
      </c>
    </row>
    <row r="313" spans="1:11" ht="21" customHeight="1" collapsed="1" x14ac:dyDescent="0.25">
      <c r="A313" s="920" t="s">
        <v>567</v>
      </c>
      <c r="B313" s="920" t="s">
        <v>298</v>
      </c>
      <c r="C313" s="923" t="s">
        <v>610</v>
      </c>
      <c r="D313" s="905" t="s">
        <v>299</v>
      </c>
      <c r="E313" s="914">
        <f>'калькуляция 2024'!R316</f>
        <v>4075.83</v>
      </c>
      <c r="F313" s="914">
        <f>'калькуляция 2024'!S316</f>
        <v>815.17</v>
      </c>
      <c r="G313" s="914">
        <f t="shared" ref="G313:G314" si="35">E313+F313</f>
        <v>4891</v>
      </c>
      <c r="H313" s="942"/>
      <c r="I313" s="955"/>
      <c r="J313" s="57">
        <v>2196</v>
      </c>
      <c r="K313" s="81" t="b">
        <f t="shared" si="32"/>
        <v>0</v>
      </c>
    </row>
    <row r="314" spans="1:11" ht="28.5" customHeight="1" x14ac:dyDescent="0.25">
      <c r="A314" s="922"/>
      <c r="B314" s="922"/>
      <c r="C314" s="924"/>
      <c r="D314" s="909"/>
      <c r="E314" s="914">
        <f>'калькуляция 2024'!R317</f>
        <v>0</v>
      </c>
      <c r="F314" s="914">
        <f>'калькуляция 2024'!S317</f>
        <v>0</v>
      </c>
      <c r="G314" s="914">
        <f t="shared" si="35"/>
        <v>0</v>
      </c>
      <c r="H314" s="942"/>
      <c r="I314" s="955"/>
      <c r="J314" s="57">
        <v>0</v>
      </c>
      <c r="K314" s="81" t="b">
        <f t="shared" si="32"/>
        <v>1</v>
      </c>
    </row>
    <row r="315" spans="1:11" ht="17.25" hidden="1" customHeight="1" outlineLevel="1" x14ac:dyDescent="0.25">
      <c r="A315" s="343"/>
      <c r="B315" s="343"/>
      <c r="C315" s="204"/>
      <c r="D315" s="96"/>
      <c r="E315" s="337"/>
      <c r="F315" s="337"/>
      <c r="G315" s="337"/>
      <c r="H315" s="110"/>
      <c r="I315" s="105"/>
      <c r="J315" s="57"/>
      <c r="K315" s="81" t="b">
        <f t="shared" si="32"/>
        <v>1</v>
      </c>
    </row>
    <row r="316" spans="1:11" ht="17.25" hidden="1" customHeight="1" outlineLevel="1" x14ac:dyDescent="0.25">
      <c r="A316" s="343"/>
      <c r="B316" s="343"/>
      <c r="C316" s="204"/>
      <c r="D316" s="96"/>
      <c r="E316" s="337"/>
      <c r="F316" s="337"/>
      <c r="G316" s="337"/>
      <c r="H316" s="110"/>
      <c r="I316" s="105"/>
      <c r="J316" s="57"/>
      <c r="K316" s="81" t="b">
        <f t="shared" si="32"/>
        <v>1</v>
      </c>
    </row>
    <row r="317" spans="1:11" ht="39" hidden="1" customHeight="1" outlineLevel="1" x14ac:dyDescent="0.25">
      <c r="A317" s="343"/>
      <c r="B317" s="343"/>
      <c r="C317" s="204"/>
      <c r="D317" s="96"/>
      <c r="E317" s="337"/>
      <c r="F317" s="337"/>
      <c r="G317" s="337"/>
      <c r="H317" s="110"/>
      <c r="I317" s="105"/>
      <c r="J317" s="57"/>
      <c r="K317" s="81" t="b">
        <f t="shared" si="32"/>
        <v>1</v>
      </c>
    </row>
    <row r="318" spans="1:11" ht="15.75" hidden="1" customHeight="1" outlineLevel="1" x14ac:dyDescent="0.25">
      <c r="A318" s="330"/>
      <c r="B318" s="330"/>
      <c r="C318" s="341"/>
      <c r="D318" s="333"/>
      <c r="E318" s="335"/>
      <c r="F318" s="335"/>
      <c r="G318" s="335"/>
      <c r="H318" s="107"/>
      <c r="I318" s="105"/>
      <c r="J318" s="57"/>
      <c r="K318" s="81" t="b">
        <f t="shared" si="32"/>
        <v>1</v>
      </c>
    </row>
    <row r="319" spans="1:11" ht="15.75" hidden="1" customHeight="1" outlineLevel="1" x14ac:dyDescent="0.25">
      <c r="A319" s="330"/>
      <c r="B319" s="330"/>
      <c r="C319" s="341"/>
      <c r="D319" s="333"/>
      <c r="E319" s="335"/>
      <c r="F319" s="335"/>
      <c r="G319" s="335"/>
      <c r="H319" s="107"/>
      <c r="I319" s="105"/>
      <c r="J319" s="57"/>
      <c r="K319" s="81" t="b">
        <f t="shared" si="32"/>
        <v>1</v>
      </c>
    </row>
    <row r="320" spans="1:11" ht="15.75" hidden="1" customHeight="1" outlineLevel="1" x14ac:dyDescent="0.25">
      <c r="A320" s="330"/>
      <c r="B320" s="330"/>
      <c r="C320" s="341"/>
      <c r="D320" s="333"/>
      <c r="E320" s="335"/>
      <c r="F320" s="335"/>
      <c r="G320" s="335"/>
      <c r="H320" s="107"/>
      <c r="I320" s="105"/>
      <c r="J320" s="57"/>
      <c r="K320" s="81" t="b">
        <f t="shared" si="32"/>
        <v>1</v>
      </c>
    </row>
    <row r="321" spans="1:11" collapsed="1" x14ac:dyDescent="0.25">
      <c r="A321" s="920" t="s">
        <v>568</v>
      </c>
      <c r="B321" s="920" t="s">
        <v>300</v>
      </c>
      <c r="C321" s="923" t="s">
        <v>398</v>
      </c>
      <c r="D321" s="905" t="s">
        <v>36</v>
      </c>
      <c r="E321" s="918">
        <f>'калькуляция 2024'!R324</f>
        <v>1056.67</v>
      </c>
      <c r="F321" s="918">
        <f>'калькуляция 2024'!S324</f>
        <v>211.33</v>
      </c>
      <c r="G321" s="918">
        <f t="shared" ref="G321:G322" si="36">E321+F321</f>
        <v>1268</v>
      </c>
      <c r="H321" s="915"/>
      <c r="I321" s="955"/>
      <c r="J321" s="57">
        <v>575</v>
      </c>
      <c r="K321" s="81" t="b">
        <f t="shared" si="32"/>
        <v>0</v>
      </c>
    </row>
    <row r="322" spans="1:11" ht="29.25" customHeight="1" x14ac:dyDescent="0.25">
      <c r="A322" s="922"/>
      <c r="B322" s="922"/>
      <c r="C322" s="924"/>
      <c r="D322" s="909"/>
      <c r="E322" s="919">
        <f>'калькуляция 2024'!R325</f>
        <v>0</v>
      </c>
      <c r="F322" s="919">
        <f>'калькуляция 2024'!S325</f>
        <v>0</v>
      </c>
      <c r="G322" s="919">
        <f t="shared" si="36"/>
        <v>0</v>
      </c>
      <c r="H322" s="916"/>
      <c r="I322" s="955"/>
      <c r="J322" s="57">
        <v>0</v>
      </c>
      <c r="K322" s="81" t="b">
        <f t="shared" si="32"/>
        <v>1</v>
      </c>
    </row>
    <row r="323" spans="1:11" ht="27.95" hidden="1" customHeight="1" outlineLevel="1" x14ac:dyDescent="0.25">
      <c r="A323" s="339"/>
      <c r="B323" s="339"/>
      <c r="C323" s="206"/>
      <c r="D323" s="207"/>
      <c r="E323" s="208"/>
      <c r="F323" s="208"/>
      <c r="G323" s="208"/>
      <c r="H323" s="100"/>
      <c r="I323" s="105"/>
      <c r="J323" s="57"/>
      <c r="K323" s="81" t="b">
        <f t="shared" si="32"/>
        <v>1</v>
      </c>
    </row>
    <row r="324" spans="1:11" ht="16.5" customHeight="1" collapsed="1" x14ac:dyDescent="0.25">
      <c r="A324" s="920" t="s">
        <v>569</v>
      </c>
      <c r="B324" s="920" t="s">
        <v>300</v>
      </c>
      <c r="C324" s="923" t="s">
        <v>399</v>
      </c>
      <c r="D324" s="905" t="s">
        <v>36</v>
      </c>
      <c r="E324" s="918">
        <f>'калькуляция 2024'!R327</f>
        <v>1496.67</v>
      </c>
      <c r="F324" s="918">
        <f>'калькуляция 2024'!S327</f>
        <v>299.33</v>
      </c>
      <c r="G324" s="918">
        <f t="shared" ref="G324:G325" si="37">E324+F324</f>
        <v>1796</v>
      </c>
      <c r="H324" s="915"/>
      <c r="I324" s="955"/>
      <c r="J324" s="57">
        <v>760</v>
      </c>
      <c r="K324" s="81" t="b">
        <f t="shared" si="32"/>
        <v>0</v>
      </c>
    </row>
    <row r="325" spans="1:11" ht="23.25" customHeight="1" x14ac:dyDescent="0.25">
      <c r="A325" s="922"/>
      <c r="B325" s="922"/>
      <c r="C325" s="924"/>
      <c r="D325" s="909"/>
      <c r="E325" s="919">
        <f>'калькуляция 2024'!R328</f>
        <v>0</v>
      </c>
      <c r="F325" s="919">
        <f>'калькуляция 2024'!S328</f>
        <v>0</v>
      </c>
      <c r="G325" s="919">
        <f t="shared" si="37"/>
        <v>0</v>
      </c>
      <c r="H325" s="916"/>
      <c r="I325" s="955"/>
      <c r="J325" s="57">
        <v>0</v>
      </c>
      <c r="K325" s="81" t="b">
        <f t="shared" si="32"/>
        <v>1</v>
      </c>
    </row>
    <row r="326" spans="1:11" ht="27" hidden="1" customHeight="1" outlineLevel="1" x14ac:dyDescent="0.25">
      <c r="A326" s="331"/>
      <c r="B326" s="331"/>
      <c r="C326" s="342"/>
      <c r="D326" s="334"/>
      <c r="E326" s="336"/>
      <c r="F326" s="336"/>
      <c r="G326" s="336"/>
      <c r="H326" s="108"/>
      <c r="I326" s="105"/>
      <c r="J326" s="57"/>
      <c r="K326" s="81" t="b">
        <f t="shared" si="32"/>
        <v>1</v>
      </c>
    </row>
    <row r="327" spans="1:11" ht="42" customHeight="1" collapsed="1" x14ac:dyDescent="0.25">
      <c r="A327" s="343" t="s">
        <v>570</v>
      </c>
      <c r="B327" s="343" t="s">
        <v>301</v>
      </c>
      <c r="C327" s="204" t="s">
        <v>401</v>
      </c>
      <c r="D327" s="96" t="s">
        <v>302</v>
      </c>
      <c r="E327" s="337">
        <f>'калькуляция 2024'!R330</f>
        <v>1050</v>
      </c>
      <c r="F327" s="337">
        <f>'калькуляция 2024'!S330</f>
        <v>210</v>
      </c>
      <c r="G327" s="337">
        <f t="shared" ref="G327" si="38">E327+F327</f>
        <v>1260</v>
      </c>
      <c r="H327" s="110"/>
      <c r="I327" s="80"/>
      <c r="J327" s="57">
        <v>536</v>
      </c>
      <c r="K327" s="81" t="b">
        <f t="shared" si="32"/>
        <v>0</v>
      </c>
    </row>
    <row r="328" spans="1:11" ht="15.75" hidden="1" customHeight="1" outlineLevel="1" x14ac:dyDescent="0.25">
      <c r="A328" s="343"/>
      <c r="B328" s="343"/>
      <c r="C328" s="204"/>
      <c r="D328" s="96"/>
      <c r="E328" s="337"/>
      <c r="F328" s="337"/>
      <c r="G328" s="337"/>
      <c r="H328" s="110"/>
      <c r="I328" s="80"/>
      <c r="J328" s="57"/>
      <c r="K328" s="81" t="b">
        <f t="shared" si="32"/>
        <v>1</v>
      </c>
    </row>
    <row r="329" spans="1:11" ht="15.75" hidden="1" customHeight="1" outlineLevel="1" x14ac:dyDescent="0.25">
      <c r="A329" s="343"/>
      <c r="B329" s="343"/>
      <c r="C329" s="204"/>
      <c r="D329" s="96"/>
      <c r="E329" s="337"/>
      <c r="F329" s="337"/>
      <c r="G329" s="337"/>
      <c r="H329" s="110"/>
      <c r="I329" s="80"/>
      <c r="J329" s="57"/>
      <c r="K329" s="81" t="b">
        <f t="shared" si="32"/>
        <v>1</v>
      </c>
    </row>
    <row r="330" spans="1:11" ht="15.75" hidden="1" customHeight="1" outlineLevel="1" x14ac:dyDescent="0.25">
      <c r="A330" s="343"/>
      <c r="B330" s="343"/>
      <c r="C330" s="204"/>
      <c r="D330" s="96"/>
      <c r="E330" s="337"/>
      <c r="F330" s="337"/>
      <c r="G330" s="337"/>
      <c r="H330" s="110"/>
      <c r="I330" s="80"/>
      <c r="J330" s="57"/>
      <c r="K330" s="81" t="b">
        <f t="shared" ref="K330:K368" si="39">G330=J330</f>
        <v>1</v>
      </c>
    </row>
    <row r="331" spans="1:11" ht="15.75" hidden="1" customHeight="1" outlineLevel="1" x14ac:dyDescent="0.25">
      <c r="A331" s="343"/>
      <c r="B331" s="343"/>
      <c r="C331" s="204"/>
      <c r="D331" s="96"/>
      <c r="E331" s="337"/>
      <c r="F331" s="337"/>
      <c r="G331" s="337"/>
      <c r="H331" s="110"/>
      <c r="I331" s="80"/>
      <c r="J331" s="57"/>
      <c r="K331" s="81" t="b">
        <f t="shared" si="39"/>
        <v>1</v>
      </c>
    </row>
    <row r="332" spans="1:11" ht="42.75" customHeight="1" collapsed="1" x14ac:dyDescent="0.25">
      <c r="A332" s="343" t="s">
        <v>571</v>
      </c>
      <c r="B332" s="343" t="s">
        <v>303</v>
      </c>
      <c r="C332" s="204" t="s">
        <v>120</v>
      </c>
      <c r="D332" s="96" t="s">
        <v>304</v>
      </c>
      <c r="E332" s="337">
        <f>'калькуляция 2024'!R335</f>
        <v>526.66999999999996</v>
      </c>
      <c r="F332" s="337">
        <f>'калькуляция 2024'!S335</f>
        <v>105.33</v>
      </c>
      <c r="G332" s="337">
        <f t="shared" ref="G332:G335" si="40">E332+F332</f>
        <v>632</v>
      </c>
      <c r="H332" s="110"/>
      <c r="I332" s="80"/>
      <c r="J332" s="57">
        <v>315</v>
      </c>
      <c r="K332" s="81" t="b">
        <f t="shared" si="39"/>
        <v>0</v>
      </c>
    </row>
    <row r="333" spans="1:11" ht="37.5" customHeight="1" x14ac:dyDescent="0.25">
      <c r="A333" s="343" t="s">
        <v>572</v>
      </c>
      <c r="B333" s="343" t="s">
        <v>305</v>
      </c>
      <c r="C333" s="204" t="s">
        <v>121</v>
      </c>
      <c r="D333" s="96" t="s">
        <v>234</v>
      </c>
      <c r="E333" s="337">
        <f>'калькуляция 2024'!R336</f>
        <v>1000</v>
      </c>
      <c r="F333" s="337">
        <f>'калькуляция 2024'!S336</f>
        <v>200</v>
      </c>
      <c r="G333" s="337">
        <f t="shared" si="40"/>
        <v>1200</v>
      </c>
      <c r="H333" s="110"/>
      <c r="I333" s="80"/>
      <c r="J333" s="57">
        <v>197</v>
      </c>
      <c r="K333" s="81" t="b">
        <f t="shared" si="39"/>
        <v>0</v>
      </c>
    </row>
    <row r="334" spans="1:11" ht="15.75" hidden="1" customHeight="1" outlineLevel="1" x14ac:dyDescent="0.25">
      <c r="A334" s="343"/>
      <c r="B334" s="343"/>
      <c r="C334" s="204"/>
      <c r="D334" s="96"/>
      <c r="E334" s="337"/>
      <c r="F334" s="337"/>
      <c r="G334" s="673">
        <f t="shared" si="40"/>
        <v>0</v>
      </c>
      <c r="H334" s="110"/>
      <c r="I334" s="80"/>
      <c r="J334" s="57"/>
      <c r="K334" s="81" t="b">
        <f t="shared" si="39"/>
        <v>1</v>
      </c>
    </row>
    <row r="335" spans="1:11" s="631" customFormat="1" ht="51" customHeight="1" outlineLevel="1" x14ac:dyDescent="0.25">
      <c r="A335" s="672" t="s">
        <v>712</v>
      </c>
      <c r="B335" s="662" t="s">
        <v>713</v>
      </c>
      <c r="C335" s="648" t="s">
        <v>714</v>
      </c>
      <c r="D335" s="636" t="s">
        <v>234</v>
      </c>
      <c r="E335" s="673">
        <f>'калькуляция 2024'!R338</f>
        <v>1042.5</v>
      </c>
      <c r="F335" s="673">
        <f>'калькуляция 2024'!S338</f>
        <v>208.5</v>
      </c>
      <c r="G335" s="673">
        <f t="shared" si="40"/>
        <v>1251</v>
      </c>
      <c r="H335" s="637"/>
      <c r="I335" s="633"/>
      <c r="J335" s="632"/>
      <c r="K335" s="634"/>
    </row>
    <row r="336" spans="1:11" ht="39.75" customHeight="1" x14ac:dyDescent="0.25">
      <c r="A336" s="343" t="s">
        <v>573</v>
      </c>
      <c r="B336" s="343" t="s">
        <v>306</v>
      </c>
      <c r="C336" s="204" t="s">
        <v>122</v>
      </c>
      <c r="D336" s="96" t="s">
        <v>234</v>
      </c>
      <c r="E336" s="337">
        <f>'калькуляция 2024'!R340</f>
        <v>1108.33</v>
      </c>
      <c r="F336" s="337">
        <f>'калькуляция 2024'!S340</f>
        <v>221.67</v>
      </c>
      <c r="G336" s="337">
        <f t="shared" ref="G336:G338" si="41">E336+F336</f>
        <v>1330</v>
      </c>
      <c r="H336" s="110"/>
      <c r="I336" s="80"/>
      <c r="J336" s="57">
        <v>260</v>
      </c>
      <c r="K336" s="81" t="b">
        <f t="shared" si="39"/>
        <v>0</v>
      </c>
    </row>
    <row r="337" spans="1:11" ht="15.75" hidden="1" customHeight="1" outlineLevel="1" x14ac:dyDescent="0.25">
      <c r="A337" s="330"/>
      <c r="B337" s="343"/>
      <c r="C337" s="204"/>
      <c r="D337" s="96"/>
      <c r="E337" s="337"/>
      <c r="F337" s="337"/>
      <c r="G337" s="673">
        <f t="shared" si="41"/>
        <v>0</v>
      </c>
      <c r="H337" s="110"/>
      <c r="I337" s="80"/>
      <c r="J337" s="57"/>
      <c r="K337" s="81" t="b">
        <f t="shared" si="39"/>
        <v>1</v>
      </c>
    </row>
    <row r="338" spans="1:11" s="631" customFormat="1" ht="44.25" customHeight="1" outlineLevel="1" x14ac:dyDescent="0.25">
      <c r="A338" s="665" t="s">
        <v>715</v>
      </c>
      <c r="B338" s="662" t="s">
        <v>716</v>
      </c>
      <c r="C338" s="648" t="s">
        <v>717</v>
      </c>
      <c r="D338" s="636" t="s">
        <v>234</v>
      </c>
      <c r="E338" s="673">
        <f>'калькуляция 2024'!R342</f>
        <v>1496.67</v>
      </c>
      <c r="F338" s="673">
        <f>'калькуляция 2024'!S342</f>
        <v>299.33</v>
      </c>
      <c r="G338" s="673">
        <f t="shared" si="41"/>
        <v>1796</v>
      </c>
      <c r="H338" s="637"/>
      <c r="I338" s="633"/>
      <c r="J338" s="632"/>
      <c r="K338" s="634"/>
    </row>
    <row r="339" spans="1:11" ht="38.25" customHeight="1" x14ac:dyDescent="0.25">
      <c r="A339" s="330" t="s">
        <v>574</v>
      </c>
      <c r="B339" s="343" t="s">
        <v>378</v>
      </c>
      <c r="C339" s="204" t="s">
        <v>377</v>
      </c>
      <c r="D339" s="96" t="s">
        <v>20</v>
      </c>
      <c r="E339" s="337">
        <f>'калькуляция 2024'!R344</f>
        <v>358.33</v>
      </c>
      <c r="F339" s="337">
        <f>'калькуляция 2024'!S344</f>
        <v>71.67</v>
      </c>
      <c r="G339" s="337">
        <f t="shared" ref="G339:G340" si="42">E339+F339</f>
        <v>430</v>
      </c>
      <c r="H339" s="110"/>
      <c r="I339" s="80"/>
      <c r="J339" s="57">
        <v>155</v>
      </c>
      <c r="K339" s="81" t="b">
        <f t="shared" si="39"/>
        <v>0</v>
      </c>
    </row>
    <row r="340" spans="1:11" ht="66.75" customHeight="1" x14ac:dyDescent="0.25">
      <c r="A340" s="340" t="s">
        <v>575</v>
      </c>
      <c r="B340" s="343" t="s">
        <v>307</v>
      </c>
      <c r="C340" s="204" t="s">
        <v>123</v>
      </c>
      <c r="D340" s="96" t="s">
        <v>234</v>
      </c>
      <c r="E340" s="337">
        <f>'калькуляция 2024'!R345</f>
        <v>225</v>
      </c>
      <c r="F340" s="337">
        <f>'калькуляция 2024'!S345</f>
        <v>45</v>
      </c>
      <c r="G340" s="337">
        <f t="shared" si="42"/>
        <v>270</v>
      </c>
      <c r="H340" s="110"/>
      <c r="I340" s="80"/>
      <c r="J340" s="57">
        <v>97</v>
      </c>
      <c r="K340" s="81" t="b">
        <f t="shared" si="39"/>
        <v>0</v>
      </c>
    </row>
    <row r="341" spans="1:11" ht="66.75" customHeight="1" x14ac:dyDescent="0.25">
      <c r="A341" s="505" t="s">
        <v>695</v>
      </c>
      <c r="B341" s="507" t="s">
        <v>696</v>
      </c>
      <c r="C341" s="502" t="str">
        <f>'калькуляция 2024'!C346</f>
        <v xml:space="preserve">Замена элемента питания  в     приборе учета   (без пайки, выносной батарейный отсек, без стоимости  элемента питания) </v>
      </c>
      <c r="D341" s="504" t="s">
        <v>211</v>
      </c>
      <c r="E341" s="503">
        <f>SUM('калькуляция 2024'!R346,'калькуляция 2024'!R349,'калькуляция 2024'!R350)</f>
        <v>407.65999999999997</v>
      </c>
      <c r="F341" s="503">
        <f>SUM('калькуляция 2024'!S346,'калькуляция 2024'!S349,'калькуляция 2024'!S350)</f>
        <v>81.531999999999996</v>
      </c>
      <c r="G341" s="503">
        <f>SUM('калькуляция 2024'!T346,'калькуляция 2024'!T349,'калькуляция 2024'!T350)</f>
        <v>505.41504000000003</v>
      </c>
      <c r="H341" s="506"/>
      <c r="I341" s="80"/>
      <c r="J341" s="57"/>
      <c r="K341" s="81"/>
    </row>
    <row r="342" spans="1:11" s="83" customFormat="1" ht="21" customHeight="1" x14ac:dyDescent="0.25">
      <c r="A342" s="965" t="s">
        <v>606</v>
      </c>
      <c r="B342" s="966"/>
      <c r="C342" s="966"/>
      <c r="D342" s="966"/>
      <c r="E342" s="966"/>
      <c r="F342" s="966"/>
      <c r="G342" s="967"/>
      <c r="H342" s="110"/>
      <c r="I342" s="82"/>
      <c r="J342" s="57"/>
      <c r="K342" s="81" t="b">
        <f t="shared" si="39"/>
        <v>1</v>
      </c>
    </row>
    <row r="343" spans="1:11" ht="30.75" customHeight="1" x14ac:dyDescent="0.25">
      <c r="A343" s="343" t="s">
        <v>576</v>
      </c>
      <c r="B343" s="343" t="s">
        <v>312</v>
      </c>
      <c r="C343" s="204" t="s">
        <v>313</v>
      </c>
      <c r="D343" s="96" t="s">
        <v>211</v>
      </c>
      <c r="E343" s="337">
        <f>'калькуляция 2024'!R352</f>
        <v>558.33000000000004</v>
      </c>
      <c r="F343" s="337">
        <f>'калькуляция 2024'!S352</f>
        <v>111.67</v>
      </c>
      <c r="G343" s="337">
        <f t="shared" ref="G343:G347" si="43">E343+F343</f>
        <v>670</v>
      </c>
      <c r="H343" s="110"/>
      <c r="I343" s="80"/>
      <c r="J343" s="57">
        <v>243</v>
      </c>
      <c r="K343" s="81" t="b">
        <f t="shared" si="39"/>
        <v>0</v>
      </c>
    </row>
    <row r="344" spans="1:11" ht="33" customHeight="1" x14ac:dyDescent="0.25">
      <c r="A344" s="343" t="s">
        <v>577</v>
      </c>
      <c r="B344" s="343" t="s">
        <v>312</v>
      </c>
      <c r="C344" s="204" t="s">
        <v>314</v>
      </c>
      <c r="D344" s="96" t="s">
        <v>211</v>
      </c>
      <c r="E344" s="337">
        <f>'калькуляция 2024'!R353</f>
        <v>162.5</v>
      </c>
      <c r="F344" s="337">
        <f>'калькуляция 2024'!S353</f>
        <v>32.5</v>
      </c>
      <c r="G344" s="337">
        <f t="shared" si="43"/>
        <v>195</v>
      </c>
      <c r="H344" s="110"/>
      <c r="I344" s="80"/>
      <c r="J344" s="57">
        <v>97</v>
      </c>
      <c r="K344" s="81" t="b">
        <f t="shared" si="39"/>
        <v>0</v>
      </c>
    </row>
    <row r="345" spans="1:11" ht="15.75" customHeight="1" x14ac:dyDescent="0.25">
      <c r="A345" s="920" t="s">
        <v>578</v>
      </c>
      <c r="B345" s="920" t="s">
        <v>315</v>
      </c>
      <c r="C345" s="923" t="s">
        <v>130</v>
      </c>
      <c r="D345" s="905" t="s">
        <v>211</v>
      </c>
      <c r="E345" s="918">
        <f>'калькуляция 2024'!R354</f>
        <v>642.5</v>
      </c>
      <c r="F345" s="918">
        <f>'калькуляция 2024'!S354</f>
        <v>128.5</v>
      </c>
      <c r="G345" s="918">
        <f t="shared" si="43"/>
        <v>771</v>
      </c>
      <c r="H345" s="910"/>
      <c r="I345" s="955"/>
      <c r="J345" s="57">
        <v>332</v>
      </c>
      <c r="K345" s="81" t="b">
        <f t="shared" si="39"/>
        <v>0</v>
      </c>
    </row>
    <row r="346" spans="1:11" ht="21.75" customHeight="1" x14ac:dyDescent="0.25">
      <c r="A346" s="922"/>
      <c r="B346" s="922"/>
      <c r="C346" s="924"/>
      <c r="D346" s="909"/>
      <c r="E346" s="919">
        <f>'калькуляция 2024'!R355</f>
        <v>0</v>
      </c>
      <c r="F346" s="919">
        <f>'калькуляция 2024'!S355</f>
        <v>0</v>
      </c>
      <c r="G346" s="919">
        <f t="shared" si="43"/>
        <v>0</v>
      </c>
      <c r="H346" s="911"/>
      <c r="I346" s="955"/>
      <c r="J346" s="57">
        <v>0</v>
      </c>
      <c r="K346" s="81" t="b">
        <f t="shared" si="39"/>
        <v>1</v>
      </c>
    </row>
    <row r="347" spans="1:11" ht="30" customHeight="1" x14ac:dyDescent="0.25">
      <c r="A347" s="343" t="s">
        <v>579</v>
      </c>
      <c r="B347" s="343" t="s">
        <v>316</v>
      </c>
      <c r="C347" s="204" t="s">
        <v>131</v>
      </c>
      <c r="D347" s="96" t="s">
        <v>211</v>
      </c>
      <c r="E347" s="337">
        <f>'калькуляция 2024'!R356</f>
        <v>1925.83</v>
      </c>
      <c r="F347" s="337">
        <f>'калькуляция 2024'!S356</f>
        <v>385.17</v>
      </c>
      <c r="G347" s="337">
        <f t="shared" si="43"/>
        <v>2311</v>
      </c>
      <c r="H347" s="110"/>
      <c r="I347" s="80"/>
      <c r="J347" s="57">
        <v>1026</v>
      </c>
      <c r="K347" s="81" t="b">
        <f t="shared" si="39"/>
        <v>0</v>
      </c>
    </row>
    <row r="348" spans="1:11" ht="15" hidden="1" customHeight="1" outlineLevel="1" x14ac:dyDescent="0.25">
      <c r="A348" s="328"/>
      <c r="B348" s="328"/>
      <c r="C348" s="327"/>
      <c r="D348" s="332"/>
      <c r="E348" s="326"/>
      <c r="F348" s="326"/>
      <c r="G348" s="329"/>
      <c r="H348" s="110"/>
      <c r="I348" s="80"/>
      <c r="J348" s="57"/>
      <c r="K348" s="81" t="b">
        <f t="shared" si="39"/>
        <v>1</v>
      </c>
    </row>
    <row r="349" spans="1:11" ht="15" hidden="1" customHeight="1" outlineLevel="1" x14ac:dyDescent="0.25">
      <c r="A349" s="328"/>
      <c r="B349" s="328"/>
      <c r="C349" s="327"/>
      <c r="D349" s="332"/>
      <c r="E349" s="326"/>
      <c r="F349" s="326"/>
      <c r="G349" s="329"/>
      <c r="H349" s="110"/>
      <c r="I349" s="80"/>
      <c r="J349" s="57"/>
      <c r="K349" s="81" t="b">
        <f t="shared" si="39"/>
        <v>1</v>
      </c>
    </row>
    <row r="350" spans="1:11" ht="15" hidden="1" customHeight="1" outlineLevel="1" x14ac:dyDescent="0.25">
      <c r="A350" s="328"/>
      <c r="B350" s="328"/>
      <c r="C350" s="327"/>
      <c r="D350" s="332"/>
      <c r="E350" s="326"/>
      <c r="F350" s="326"/>
      <c r="G350" s="329"/>
      <c r="H350" s="110"/>
      <c r="I350" s="80"/>
      <c r="J350" s="57"/>
      <c r="K350" s="81" t="b">
        <f t="shared" si="39"/>
        <v>1</v>
      </c>
    </row>
    <row r="351" spans="1:11" s="83" customFormat="1" ht="23.25" customHeight="1" collapsed="1" x14ac:dyDescent="0.25">
      <c r="A351" s="965" t="s">
        <v>632</v>
      </c>
      <c r="B351" s="966"/>
      <c r="C351" s="966"/>
      <c r="D351" s="966"/>
      <c r="E351" s="966"/>
      <c r="F351" s="966"/>
      <c r="G351" s="967"/>
      <c r="H351" s="110"/>
      <c r="I351" s="82"/>
      <c r="J351" s="57"/>
      <c r="K351" s="81" t="b">
        <f t="shared" si="39"/>
        <v>1</v>
      </c>
    </row>
    <row r="352" spans="1:11" ht="22.7" customHeight="1" x14ac:dyDescent="0.25">
      <c r="A352" s="328" t="s">
        <v>580</v>
      </c>
      <c r="B352" s="343" t="s">
        <v>35</v>
      </c>
      <c r="C352" s="204" t="s">
        <v>133</v>
      </c>
      <c r="D352" s="96" t="s">
        <v>317</v>
      </c>
      <c r="E352" s="337">
        <f>'калькуляция 2024'!R361</f>
        <v>1145.83</v>
      </c>
      <c r="F352" s="337">
        <f>'калькуляция 2024'!S361</f>
        <v>229.17</v>
      </c>
      <c r="G352" s="337">
        <f t="shared" ref="G352:G368" si="44">E352+F352</f>
        <v>1375</v>
      </c>
      <c r="H352" s="110"/>
      <c r="I352" s="80"/>
      <c r="J352" s="57">
        <v>792</v>
      </c>
      <c r="K352" s="81" t="b">
        <f t="shared" si="39"/>
        <v>0</v>
      </c>
    </row>
    <row r="353" spans="1:11" ht="23.25" customHeight="1" x14ac:dyDescent="0.25">
      <c r="A353" s="328" t="s">
        <v>581</v>
      </c>
      <c r="B353" s="343" t="s">
        <v>35</v>
      </c>
      <c r="C353" s="204" t="s">
        <v>133</v>
      </c>
      <c r="D353" s="96" t="s">
        <v>318</v>
      </c>
      <c r="E353" s="337">
        <f>'калькуляция 2024'!R362</f>
        <v>23.33</v>
      </c>
      <c r="F353" s="337">
        <f>'калькуляция 2024'!S362</f>
        <v>4.67</v>
      </c>
      <c r="G353" s="337">
        <f t="shared" si="44"/>
        <v>28</v>
      </c>
      <c r="H353" s="110"/>
      <c r="I353" s="80"/>
      <c r="J353" s="57">
        <v>16</v>
      </c>
      <c r="K353" s="81" t="b">
        <f t="shared" si="39"/>
        <v>0</v>
      </c>
    </row>
    <row r="354" spans="1:11" ht="22.7" customHeight="1" x14ac:dyDescent="0.25">
      <c r="A354" s="328" t="s">
        <v>583</v>
      </c>
      <c r="B354" s="343" t="s">
        <v>35</v>
      </c>
      <c r="C354" s="204" t="s">
        <v>132</v>
      </c>
      <c r="D354" s="96" t="s">
        <v>317</v>
      </c>
      <c r="E354" s="337">
        <f>'калькуляция 2024'!R363</f>
        <v>1454.17</v>
      </c>
      <c r="F354" s="337">
        <f>'калькуляция 2024'!S363</f>
        <v>290.83</v>
      </c>
      <c r="G354" s="337">
        <f t="shared" si="44"/>
        <v>1745</v>
      </c>
      <c r="H354" s="110"/>
      <c r="I354" s="80"/>
      <c r="J354" s="57">
        <v>898</v>
      </c>
      <c r="K354" s="81" t="b">
        <f t="shared" si="39"/>
        <v>0</v>
      </c>
    </row>
    <row r="355" spans="1:11" ht="21.75" customHeight="1" x14ac:dyDescent="0.25">
      <c r="A355" s="328" t="s">
        <v>584</v>
      </c>
      <c r="B355" s="343" t="s">
        <v>35</v>
      </c>
      <c r="C355" s="204" t="s">
        <v>132</v>
      </c>
      <c r="D355" s="96" t="s">
        <v>318</v>
      </c>
      <c r="E355" s="337">
        <f>'калькуляция 2024'!R364</f>
        <v>29.17</v>
      </c>
      <c r="F355" s="337">
        <f>'калькуляция 2024'!S364</f>
        <v>5.83</v>
      </c>
      <c r="G355" s="337">
        <f t="shared" si="44"/>
        <v>35</v>
      </c>
      <c r="H355" s="110"/>
      <c r="I355" s="80"/>
      <c r="J355" s="57">
        <v>18</v>
      </c>
      <c r="K355" s="81" t="b">
        <f t="shared" si="39"/>
        <v>0</v>
      </c>
    </row>
    <row r="356" spans="1:11" ht="30" customHeight="1" x14ac:dyDescent="0.25">
      <c r="A356" s="328" t="s">
        <v>585</v>
      </c>
      <c r="B356" s="343" t="s">
        <v>319</v>
      </c>
      <c r="C356" s="204" t="s">
        <v>134</v>
      </c>
      <c r="D356" s="96" t="s">
        <v>20</v>
      </c>
      <c r="E356" s="337">
        <f>'калькуляция 2024'!R365</f>
        <v>494.17</v>
      </c>
      <c r="F356" s="337">
        <f>'калькуляция 2024'!S365</f>
        <v>98.83</v>
      </c>
      <c r="G356" s="337">
        <f t="shared" si="44"/>
        <v>593</v>
      </c>
      <c r="H356" s="110"/>
      <c r="I356" s="80"/>
      <c r="J356" s="57">
        <v>208</v>
      </c>
      <c r="K356" s="81" t="b">
        <f t="shared" si="39"/>
        <v>0</v>
      </c>
    </row>
    <row r="357" spans="1:11" ht="31.7" customHeight="1" x14ac:dyDescent="0.25">
      <c r="A357" s="328" t="s">
        <v>586</v>
      </c>
      <c r="B357" s="214" t="s">
        <v>35</v>
      </c>
      <c r="C357" s="204" t="s">
        <v>135</v>
      </c>
      <c r="D357" s="96" t="s">
        <v>320</v>
      </c>
      <c r="E357" s="337">
        <f>'калькуляция 2024'!R366</f>
        <v>145</v>
      </c>
      <c r="F357" s="337">
        <f>'калькуляция 2024'!S366</f>
        <v>29</v>
      </c>
      <c r="G357" s="337">
        <f t="shared" si="44"/>
        <v>174</v>
      </c>
      <c r="H357" s="110"/>
      <c r="I357" s="80"/>
      <c r="J357" s="57">
        <v>71</v>
      </c>
      <c r="K357" s="81" t="b">
        <f t="shared" si="39"/>
        <v>0</v>
      </c>
    </row>
    <row r="358" spans="1:11" ht="39.75" customHeight="1" x14ac:dyDescent="0.25">
      <c r="A358" s="343" t="s">
        <v>587</v>
      </c>
      <c r="B358" s="214" t="s">
        <v>35</v>
      </c>
      <c r="C358" s="204" t="s">
        <v>136</v>
      </c>
      <c r="D358" s="96" t="s">
        <v>320</v>
      </c>
      <c r="E358" s="337">
        <f>'калькуляция 2024'!R367</f>
        <v>105</v>
      </c>
      <c r="F358" s="337">
        <f>'калькуляция 2024'!S367</f>
        <v>21</v>
      </c>
      <c r="G358" s="337">
        <f t="shared" si="44"/>
        <v>126</v>
      </c>
      <c r="H358" s="110"/>
      <c r="I358" s="80"/>
      <c r="J358" s="57">
        <v>63</v>
      </c>
      <c r="K358" s="81" t="b">
        <f t="shared" si="39"/>
        <v>0</v>
      </c>
    </row>
    <row r="359" spans="1:11" ht="33" customHeight="1" x14ac:dyDescent="0.25">
      <c r="A359" s="343" t="s">
        <v>582</v>
      </c>
      <c r="B359" s="214" t="s">
        <v>35</v>
      </c>
      <c r="C359" s="204" t="s">
        <v>137</v>
      </c>
      <c r="D359" s="96" t="s">
        <v>325</v>
      </c>
      <c r="E359" s="337">
        <f>'калькуляция 2024'!R368</f>
        <v>25</v>
      </c>
      <c r="F359" s="337">
        <f>'калькуляция 2024'!S368</f>
        <v>5</v>
      </c>
      <c r="G359" s="337">
        <f t="shared" si="44"/>
        <v>30</v>
      </c>
      <c r="H359" s="110"/>
      <c r="I359" s="80"/>
      <c r="J359" s="57">
        <v>15</v>
      </c>
      <c r="K359" s="81" t="b">
        <f t="shared" si="39"/>
        <v>0</v>
      </c>
    </row>
    <row r="360" spans="1:11" ht="39.75" customHeight="1" x14ac:dyDescent="0.25">
      <c r="A360" s="343" t="s">
        <v>588</v>
      </c>
      <c r="B360" s="214" t="s">
        <v>35</v>
      </c>
      <c r="C360" s="204" t="s">
        <v>138</v>
      </c>
      <c r="D360" s="96" t="s">
        <v>325</v>
      </c>
      <c r="E360" s="337">
        <f>'калькуляция 2024'!R369</f>
        <v>116.67</v>
      </c>
      <c r="F360" s="337">
        <f>'калькуляция 2024'!S369</f>
        <v>23.33</v>
      </c>
      <c r="G360" s="337">
        <f t="shared" si="44"/>
        <v>140</v>
      </c>
      <c r="H360" s="110"/>
      <c r="I360" s="80"/>
      <c r="J360" s="57">
        <v>57</v>
      </c>
      <c r="K360" s="81" t="b">
        <f t="shared" si="39"/>
        <v>0</v>
      </c>
    </row>
    <row r="361" spans="1:11" ht="16.5" customHeight="1" x14ac:dyDescent="0.25">
      <c r="A361" s="920" t="s">
        <v>633</v>
      </c>
      <c r="B361" s="940" t="s">
        <v>35</v>
      </c>
      <c r="C361" s="913" t="s">
        <v>139</v>
      </c>
      <c r="D361" s="928" t="s">
        <v>20</v>
      </c>
      <c r="E361" s="918">
        <f>'калькуляция 2024'!R370</f>
        <v>1233.33</v>
      </c>
      <c r="F361" s="918">
        <f>'калькуляция 2024'!S370</f>
        <v>246.67</v>
      </c>
      <c r="G361" s="918">
        <f t="shared" si="44"/>
        <v>1480</v>
      </c>
      <c r="H361" s="915"/>
      <c r="I361" s="955"/>
      <c r="J361" s="57">
        <v>737</v>
      </c>
      <c r="K361" s="81" t="b">
        <f t="shared" si="39"/>
        <v>0</v>
      </c>
    </row>
    <row r="362" spans="1:11" ht="26.25" customHeight="1" x14ac:dyDescent="0.25">
      <c r="A362" s="922"/>
      <c r="B362" s="941"/>
      <c r="C362" s="913"/>
      <c r="D362" s="929"/>
      <c r="E362" s="919">
        <f>'калькуляция 2024'!R371</f>
        <v>0</v>
      </c>
      <c r="F362" s="919">
        <f>'калькуляция 2024'!S371</f>
        <v>0</v>
      </c>
      <c r="G362" s="919">
        <f t="shared" si="44"/>
        <v>0</v>
      </c>
      <c r="H362" s="916"/>
      <c r="I362" s="955"/>
      <c r="J362" s="57">
        <v>0</v>
      </c>
      <c r="K362" s="81" t="b">
        <f t="shared" si="39"/>
        <v>1</v>
      </c>
    </row>
    <row r="363" spans="1:11" ht="34.5" customHeight="1" x14ac:dyDescent="0.25">
      <c r="A363" s="343" t="s">
        <v>634</v>
      </c>
      <c r="B363" s="214" t="s">
        <v>35</v>
      </c>
      <c r="C363" s="204" t="s">
        <v>140</v>
      </c>
      <c r="D363" s="96" t="s">
        <v>325</v>
      </c>
      <c r="E363" s="337">
        <f>'калькуляция 2024'!R372</f>
        <v>286.67</v>
      </c>
      <c r="F363" s="337">
        <f>'калькуляция 2024'!S372</f>
        <v>57.33</v>
      </c>
      <c r="G363" s="337">
        <f t="shared" si="44"/>
        <v>344</v>
      </c>
      <c r="H363" s="110"/>
      <c r="I363" s="80"/>
      <c r="J363" s="57">
        <v>219</v>
      </c>
      <c r="K363" s="81" t="b">
        <f t="shared" si="39"/>
        <v>0</v>
      </c>
    </row>
    <row r="364" spans="1:11" s="489" customFormat="1" ht="19.5" customHeight="1" x14ac:dyDescent="0.25">
      <c r="A364" s="801" t="s">
        <v>635</v>
      </c>
      <c r="B364" s="951" t="s">
        <v>35</v>
      </c>
      <c r="C364" s="953" t="s">
        <v>141</v>
      </c>
      <c r="D364" s="956" t="s">
        <v>334</v>
      </c>
      <c r="E364" s="944">
        <f>'калькуляция 2024'!R373</f>
        <v>420</v>
      </c>
      <c r="F364" s="944">
        <f>'калькуляция 2024'!S373</f>
        <v>84</v>
      </c>
      <c r="G364" s="944">
        <f t="shared" si="44"/>
        <v>504</v>
      </c>
      <c r="H364" s="962"/>
      <c r="I364" s="964"/>
      <c r="J364" s="489">
        <v>351</v>
      </c>
      <c r="K364" s="490" t="b">
        <f t="shared" si="39"/>
        <v>0</v>
      </c>
    </row>
    <row r="365" spans="1:11" s="489" customFormat="1" ht="27.95" customHeight="1" x14ac:dyDescent="0.25">
      <c r="A365" s="802"/>
      <c r="B365" s="952"/>
      <c r="C365" s="954"/>
      <c r="D365" s="957"/>
      <c r="E365" s="945">
        <f>'калькуляция 2024'!R374</f>
        <v>0</v>
      </c>
      <c r="F365" s="945">
        <f>'калькуляция 2024'!S374</f>
        <v>0</v>
      </c>
      <c r="G365" s="945">
        <f t="shared" si="44"/>
        <v>0</v>
      </c>
      <c r="H365" s="963"/>
      <c r="I365" s="964"/>
      <c r="J365" s="489">
        <v>0</v>
      </c>
      <c r="K365" s="490" t="b">
        <f t="shared" si="39"/>
        <v>1</v>
      </c>
    </row>
    <row r="366" spans="1:11" ht="42" customHeight="1" x14ac:dyDescent="0.25">
      <c r="A366" s="343" t="s">
        <v>636</v>
      </c>
      <c r="B366" s="214" t="s">
        <v>35</v>
      </c>
      <c r="C366" s="204" t="s">
        <v>142</v>
      </c>
      <c r="D366" s="96" t="s">
        <v>320</v>
      </c>
      <c r="E366" s="337">
        <f>'калькуляция 2024'!R375</f>
        <v>1135.83</v>
      </c>
      <c r="F366" s="337">
        <f>'калькуляция 2024'!S375</f>
        <v>227.17</v>
      </c>
      <c r="G366" s="337">
        <f t="shared" si="44"/>
        <v>1363</v>
      </c>
      <c r="H366" s="110"/>
      <c r="I366" s="80"/>
      <c r="J366" s="57">
        <v>679</v>
      </c>
      <c r="K366" s="81" t="b">
        <f t="shared" si="39"/>
        <v>0</v>
      </c>
    </row>
    <row r="367" spans="1:11" ht="56.25" customHeight="1" x14ac:dyDescent="0.25">
      <c r="A367" s="331" t="s">
        <v>637</v>
      </c>
      <c r="B367" s="214" t="s">
        <v>35</v>
      </c>
      <c r="C367" s="204" t="s">
        <v>143</v>
      </c>
      <c r="D367" s="96" t="s">
        <v>360</v>
      </c>
      <c r="E367" s="337">
        <f>'калькуляция 2024'!R376</f>
        <v>421.67</v>
      </c>
      <c r="F367" s="337">
        <f>'калькуляция 2024'!S376</f>
        <v>84.33</v>
      </c>
      <c r="G367" s="337">
        <f t="shared" si="44"/>
        <v>506</v>
      </c>
      <c r="H367" s="110"/>
      <c r="I367" s="80"/>
      <c r="J367" s="57">
        <v>322</v>
      </c>
      <c r="K367" s="81" t="b">
        <f t="shared" si="39"/>
        <v>0</v>
      </c>
    </row>
    <row r="368" spans="1:11" ht="71.25" customHeight="1" x14ac:dyDescent="0.25">
      <c r="A368" s="343" t="s">
        <v>638</v>
      </c>
      <c r="B368" s="214" t="s">
        <v>35</v>
      </c>
      <c r="C368" s="204" t="s">
        <v>323</v>
      </c>
      <c r="D368" s="96" t="s">
        <v>20</v>
      </c>
      <c r="E368" s="337">
        <f>'калькуляция 2024'!R377</f>
        <v>1135.83</v>
      </c>
      <c r="F368" s="337">
        <f>'калькуляция 2024'!S377</f>
        <v>227.17</v>
      </c>
      <c r="G368" s="337">
        <f t="shared" si="44"/>
        <v>1363</v>
      </c>
      <c r="H368" s="110"/>
      <c r="I368" s="80"/>
      <c r="J368" s="57">
        <v>679</v>
      </c>
      <c r="K368" s="81" t="b">
        <f t="shared" si="39"/>
        <v>0</v>
      </c>
    </row>
    <row r="369" spans="1:10" ht="27" customHeight="1" x14ac:dyDescent="0.25">
      <c r="A369" s="350"/>
      <c r="B369" s="948" t="s">
        <v>598</v>
      </c>
      <c r="C369" s="948"/>
      <c r="D369" s="224"/>
      <c r="E369" s="225"/>
      <c r="F369" s="225"/>
      <c r="G369" s="225"/>
      <c r="H369" s="81"/>
    </row>
    <row r="370" spans="1:10" ht="55.5" customHeight="1" x14ac:dyDescent="0.25">
      <c r="A370" s="947" t="s">
        <v>597</v>
      </c>
      <c r="B370" s="947"/>
      <c r="C370" s="947"/>
      <c r="D370" s="947"/>
      <c r="E370" s="947"/>
      <c r="F370" s="947"/>
      <c r="G370" s="947"/>
      <c r="H370" s="81"/>
    </row>
    <row r="371" spans="1:10" x14ac:dyDescent="0.25">
      <c r="A371" s="226"/>
      <c r="B371" s="225"/>
      <c r="C371" s="227"/>
      <c r="D371" s="224"/>
      <c r="E371" s="225"/>
      <c r="F371" s="225"/>
      <c r="G371" s="225"/>
      <c r="H371" s="81"/>
    </row>
    <row r="372" spans="1:10" ht="22.5" customHeight="1" x14ac:dyDescent="0.3">
      <c r="A372" s="949" t="s">
        <v>724</v>
      </c>
      <c r="B372" s="949"/>
      <c r="C372" s="949"/>
      <c r="D372" s="946" t="s">
        <v>700</v>
      </c>
      <c r="E372" s="946"/>
      <c r="F372" s="228" t="s">
        <v>726</v>
      </c>
      <c r="G372" s="228"/>
      <c r="H372" s="82"/>
    </row>
    <row r="373" spans="1:10" ht="18.75" x14ac:dyDescent="0.3">
      <c r="A373" s="338"/>
      <c r="B373" s="228"/>
      <c r="C373" s="228"/>
      <c r="D373" s="229"/>
      <c r="E373" s="228"/>
      <c r="F373" s="228"/>
      <c r="G373" s="228"/>
      <c r="H373" s="82"/>
    </row>
    <row r="374" spans="1:10" ht="38.25" customHeight="1" x14ac:dyDescent="0.3">
      <c r="A374" s="950" t="s">
        <v>594</v>
      </c>
      <c r="B374" s="950"/>
      <c r="C374" s="950"/>
      <c r="D374" s="946" t="s">
        <v>611</v>
      </c>
      <c r="E374" s="946"/>
      <c r="F374" s="228" t="s">
        <v>595</v>
      </c>
      <c r="G374" s="230"/>
      <c r="H374" s="82"/>
    </row>
    <row r="375" spans="1:10" x14ac:dyDescent="0.25">
      <c r="A375" s="231"/>
      <c r="B375" s="232"/>
      <c r="C375" s="233"/>
      <c r="D375" s="234"/>
      <c r="E375" s="232"/>
      <c r="F375" s="232"/>
      <c r="G375" s="232"/>
      <c r="H375" s="81"/>
    </row>
    <row r="376" spans="1:10" ht="24" customHeight="1" x14ac:dyDescent="0.25">
      <c r="A376" s="90"/>
      <c r="B376" s="81"/>
      <c r="C376" s="91"/>
      <c r="D376" s="97"/>
      <c r="E376" s="169">
        <f>SUM(E8:E368)</f>
        <v>140549.33000000002</v>
      </c>
      <c r="F376" s="169">
        <f>SUM(F8:F368)</f>
        <v>28109.862000000008</v>
      </c>
      <c r="G376" s="169">
        <f>SUM(G8:G368)</f>
        <v>168675.41503999999</v>
      </c>
      <c r="H376" s="146">
        <f>ROUND((G376/'калькуляция 2024'!W379)*100-100,2)</f>
        <v>140.88</v>
      </c>
      <c r="I376" s="145" t="s">
        <v>647</v>
      </c>
      <c r="J376" s="101">
        <f>E376+F376</f>
        <v>168659.19200000004</v>
      </c>
    </row>
    <row r="377" spans="1:10" x14ac:dyDescent="0.25">
      <c r="A377" s="90"/>
      <c r="B377" s="81"/>
      <c r="C377" s="91"/>
      <c r="D377" s="97"/>
      <c r="E377" s="81"/>
      <c r="F377" s="81"/>
      <c r="G377" s="81">
        <f>G376/120*20</f>
        <v>28112.56917333333</v>
      </c>
      <c r="H377" s="81"/>
    </row>
  </sheetData>
  <mergeCells count="203">
    <mergeCell ref="A7:G7"/>
    <mergeCell ref="A10:G10"/>
    <mergeCell ref="A60:G60"/>
    <mergeCell ref="A100:G100"/>
    <mergeCell ref="A342:G342"/>
    <mergeCell ref="A351:G351"/>
    <mergeCell ref="H145:H146"/>
    <mergeCell ref="I313:I314"/>
    <mergeCell ref="H305:H306"/>
    <mergeCell ref="I305:I306"/>
    <mergeCell ref="A313:A314"/>
    <mergeCell ref="B313:B314"/>
    <mergeCell ref="C313:C314"/>
    <mergeCell ref="D313:D314"/>
    <mergeCell ref="H324:H325"/>
    <mergeCell ref="I324:I325"/>
    <mergeCell ref="H321:H322"/>
    <mergeCell ref="I321:I322"/>
    <mergeCell ref="A324:A325"/>
    <mergeCell ref="B324:B325"/>
    <mergeCell ref="C324:C325"/>
    <mergeCell ref="D324:D325"/>
    <mergeCell ref="E321:E322"/>
    <mergeCell ref="F321:F322"/>
    <mergeCell ref="I361:I362"/>
    <mergeCell ref="D364:D365"/>
    <mergeCell ref="A211:D211"/>
    <mergeCell ref="A294:D294"/>
    <mergeCell ref="G321:G322"/>
    <mergeCell ref="A321:A322"/>
    <mergeCell ref="B321:B322"/>
    <mergeCell ref="C321:C322"/>
    <mergeCell ref="D321:D322"/>
    <mergeCell ref="G225:G226"/>
    <mergeCell ref="H364:H365"/>
    <mergeCell ref="I364:I365"/>
    <mergeCell ref="H361:H362"/>
    <mergeCell ref="I234:I235"/>
    <mergeCell ref="H225:H226"/>
    <mergeCell ref="I225:I226"/>
    <mergeCell ref="A234:A235"/>
    <mergeCell ref="B234:B235"/>
    <mergeCell ref="C234:C235"/>
    <mergeCell ref="D234:D235"/>
    <mergeCell ref="I345:I346"/>
    <mergeCell ref="G345:G346"/>
    <mergeCell ref="E313:E314"/>
    <mergeCell ref="F313:F314"/>
    <mergeCell ref="D374:E374"/>
    <mergeCell ref="A370:G370"/>
    <mergeCell ref="B369:C369"/>
    <mergeCell ref="A372:C372"/>
    <mergeCell ref="A374:C374"/>
    <mergeCell ref="B128:D128"/>
    <mergeCell ref="D372:E372"/>
    <mergeCell ref="F108:F109"/>
    <mergeCell ref="F145:F146"/>
    <mergeCell ref="G145:G146"/>
    <mergeCell ref="A129:A141"/>
    <mergeCell ref="B130:B131"/>
    <mergeCell ref="F305:F306"/>
    <mergeCell ref="G305:G306"/>
    <mergeCell ref="A305:A306"/>
    <mergeCell ref="B305:B306"/>
    <mergeCell ref="C305:C306"/>
    <mergeCell ref="D305:D306"/>
    <mergeCell ref="F345:F346"/>
    <mergeCell ref="F364:F365"/>
    <mergeCell ref="G364:G365"/>
    <mergeCell ref="A364:A365"/>
    <mergeCell ref="B364:B365"/>
    <mergeCell ref="C364:C365"/>
    <mergeCell ref="D1:G1"/>
    <mergeCell ref="E364:E365"/>
    <mergeCell ref="E361:E362"/>
    <mergeCell ref="F361:F362"/>
    <mergeCell ref="G361:G362"/>
    <mergeCell ref="F324:F325"/>
    <mergeCell ref="G324:G325"/>
    <mergeCell ref="D145:D146"/>
    <mergeCell ref="E130:E131"/>
    <mergeCell ref="F130:F131"/>
    <mergeCell ref="G130:G131"/>
    <mergeCell ref="G4:G5"/>
    <mergeCell ref="E145:E146"/>
    <mergeCell ref="D130:D131"/>
    <mergeCell ref="G313:G314"/>
    <mergeCell ref="B39:D39"/>
    <mergeCell ref="A53:D55"/>
    <mergeCell ref="G234:G235"/>
    <mergeCell ref="A145:A146"/>
    <mergeCell ref="C145:C146"/>
    <mergeCell ref="C130:C131"/>
    <mergeCell ref="A142:D144"/>
    <mergeCell ref="B25:B26"/>
    <mergeCell ref="C25:C26"/>
    <mergeCell ref="H108:H109"/>
    <mergeCell ref="H117:H118"/>
    <mergeCell ref="H130:H131"/>
    <mergeCell ref="A361:A362"/>
    <mergeCell ref="B361:B362"/>
    <mergeCell ref="C361:C362"/>
    <mergeCell ref="D361:D362"/>
    <mergeCell ref="E345:E346"/>
    <mergeCell ref="H345:H346"/>
    <mergeCell ref="H313:H314"/>
    <mergeCell ref="H234:H235"/>
    <mergeCell ref="E117:E118"/>
    <mergeCell ref="F117:F118"/>
    <mergeCell ref="A108:A124"/>
    <mergeCell ref="B108:B109"/>
    <mergeCell ref="C108:C109"/>
    <mergeCell ref="B117:B118"/>
    <mergeCell ref="G117:G118"/>
    <mergeCell ref="E108:E109"/>
    <mergeCell ref="A345:A346"/>
    <mergeCell ref="B345:B346"/>
    <mergeCell ref="C345:C346"/>
    <mergeCell ref="D345:D346"/>
    <mergeCell ref="E324:E325"/>
    <mergeCell ref="D43:D44"/>
    <mergeCell ref="A25:A26"/>
    <mergeCell ref="E305:E306"/>
    <mergeCell ref="C117:C118"/>
    <mergeCell ref="D117:D118"/>
    <mergeCell ref="E234:E235"/>
    <mergeCell ref="F234:F235"/>
    <mergeCell ref="E225:E226"/>
    <mergeCell ref="F225:F226"/>
    <mergeCell ref="A225:A226"/>
    <mergeCell ref="B225:B226"/>
    <mergeCell ref="C225:C226"/>
    <mergeCell ref="D225:D226"/>
    <mergeCell ref="A102:D102"/>
    <mergeCell ref="B107:D107"/>
    <mergeCell ref="A125:D127"/>
    <mergeCell ref="H74:H75"/>
    <mergeCell ref="I74:I75"/>
    <mergeCell ref="I84:I85"/>
    <mergeCell ref="A89:A90"/>
    <mergeCell ref="B89:B90"/>
    <mergeCell ref="C89:C90"/>
    <mergeCell ref="D89:D90"/>
    <mergeCell ref="E74:E75"/>
    <mergeCell ref="F74:F75"/>
    <mergeCell ref="G74:G75"/>
    <mergeCell ref="E89:E90"/>
    <mergeCell ref="F89:F90"/>
    <mergeCell ref="G89:G90"/>
    <mergeCell ref="H89:H90"/>
    <mergeCell ref="A74:A75"/>
    <mergeCell ref="B74:B75"/>
    <mergeCell ref="C74:C75"/>
    <mergeCell ref="D74:D75"/>
    <mergeCell ref="I89:I90"/>
    <mergeCell ref="I69:I70"/>
    <mergeCell ref="H43:H44"/>
    <mergeCell ref="H22:H23"/>
    <mergeCell ref="I22:I23"/>
    <mergeCell ref="E22:E23"/>
    <mergeCell ref="G108:G109"/>
    <mergeCell ref="D108:D109"/>
    <mergeCell ref="I25:I26"/>
    <mergeCell ref="A40:A52"/>
    <mergeCell ref="B40:B41"/>
    <mergeCell ref="C40:C41"/>
    <mergeCell ref="D40:D41"/>
    <mergeCell ref="E25:E26"/>
    <mergeCell ref="F25:F26"/>
    <mergeCell ref="G25:G26"/>
    <mergeCell ref="H25:H26"/>
    <mergeCell ref="E43:E44"/>
    <mergeCell ref="F43:F44"/>
    <mergeCell ref="G43:G44"/>
    <mergeCell ref="E40:E41"/>
    <mergeCell ref="F40:F41"/>
    <mergeCell ref="G40:G41"/>
    <mergeCell ref="B43:B44"/>
    <mergeCell ref="C43:C44"/>
    <mergeCell ref="H4:H5"/>
    <mergeCell ref="I4:I5"/>
    <mergeCell ref="A2:G2"/>
    <mergeCell ref="A4:A5"/>
    <mergeCell ref="B4:B5"/>
    <mergeCell ref="C4:C5"/>
    <mergeCell ref="D4:D5"/>
    <mergeCell ref="D25:D26"/>
    <mergeCell ref="H40:H41"/>
    <mergeCell ref="I11:I12"/>
    <mergeCell ref="A22:A23"/>
    <mergeCell ref="B22:B23"/>
    <mergeCell ref="C22:C23"/>
    <mergeCell ref="D22:D23"/>
    <mergeCell ref="E11:E12"/>
    <mergeCell ref="F11:F12"/>
    <mergeCell ref="G11:G12"/>
    <mergeCell ref="H11:H12"/>
    <mergeCell ref="A11:A12"/>
    <mergeCell ref="B11:B12"/>
    <mergeCell ref="C11:C12"/>
    <mergeCell ref="D11:D12"/>
    <mergeCell ref="F22:F23"/>
    <mergeCell ref="G22:G23"/>
  </mergeCells>
  <pageMargins left="0.70866141732283472" right="0.70866141732283472" top="0.74803149606299213" bottom="0.74803149606299213" header="0.31496062992125984" footer="0.31496062992125984"/>
  <pageSetup paperSize="9" scale="73" fitToHeight="0" orientation="portrait" r:id="rId1"/>
  <headerFooter>
    <oddFooter>&amp;R&amp;P</oddFooter>
  </headerFooter>
  <rowBreaks count="6" manualBreakCount="6">
    <brk id="51" max="9" man="1"/>
    <brk id="99" max="9" man="1"/>
    <brk id="141" max="9" man="1"/>
    <brk id="210" max="9" man="1"/>
    <brk id="281" max="9" man="1"/>
    <brk id="34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84"/>
  <sheetViews>
    <sheetView view="pageBreakPreview" topLeftCell="G166" zoomScale="80" zoomScaleSheetLayoutView="80" workbookViewId="0">
      <selection activeCell="G348" sqref="A348:XFD348"/>
    </sheetView>
  </sheetViews>
  <sheetFormatPr defaultRowHeight="15" outlineLevelRow="1" outlineLevelCol="1" x14ac:dyDescent="0.25"/>
  <cols>
    <col min="1" max="1" width="8.42578125" style="48" customWidth="1"/>
    <col min="2" max="2" width="8.7109375" customWidth="1"/>
    <col min="3" max="3" width="37.5703125" style="46" customWidth="1"/>
    <col min="4" max="4" width="11.28515625" customWidth="1"/>
    <col min="5" max="5" width="12.28515625" customWidth="1"/>
    <col min="6" max="6" width="9.140625" customWidth="1" outlineLevel="1"/>
    <col min="7" max="7" width="9.7109375" customWidth="1" outlineLevel="1"/>
    <col min="8" max="9" width="9.140625" customWidth="1" outlineLevel="1"/>
    <col min="10" max="10" width="10.5703125" customWidth="1" outlineLevel="1"/>
    <col min="11" max="11" width="15.7109375" style="46" customWidth="1" outlineLevel="1"/>
    <col min="12" max="13" width="9.140625" style="38" customWidth="1" outlineLevel="1"/>
    <col min="14" max="14" width="11" style="38" customWidth="1" outlineLevel="1"/>
    <col min="15" max="15" width="10.140625" style="38" customWidth="1" outlineLevel="1"/>
    <col min="16" max="16" width="9.140625" customWidth="1" outlineLevel="1"/>
    <col min="17" max="17" width="10" customWidth="1" outlineLevel="1"/>
    <col min="18" max="18" width="10.28515625" style="101" customWidth="1"/>
    <col min="19" max="19" width="11.28515625" style="193" customWidth="1"/>
    <col min="20" max="20" width="9.85546875" style="193" bestFit="1" customWidth="1"/>
    <col min="21" max="21" width="9.140625" style="117" hidden="1" customWidth="1"/>
    <col min="22" max="22" width="0" style="117" hidden="1" customWidth="1"/>
    <col min="23" max="23" width="9.85546875" bestFit="1" customWidth="1"/>
    <col min="25" max="25" width="9.140625" style="117" hidden="1" customWidth="1"/>
    <col min="26" max="26" width="9.140625" style="38"/>
    <col min="27" max="27" width="10.7109375" style="38" customWidth="1"/>
    <col min="28" max="28" width="11.28515625" customWidth="1"/>
    <col min="29" max="29" width="10.7109375" style="249" bestFit="1" customWidth="1"/>
    <col min="32" max="32" width="0" hidden="1" customWidth="1"/>
    <col min="33" max="33" width="9.140625" style="38"/>
    <col min="35" max="35" width="9.140625" customWidth="1"/>
    <col min="36" max="37" width="9.140625" style="38" hidden="1" customWidth="1"/>
    <col min="38" max="39" width="0" hidden="1" customWidth="1"/>
    <col min="40" max="40" width="0" style="38" hidden="1" customWidth="1"/>
    <col min="41" max="41" width="9.140625" style="38"/>
    <col min="42" max="42" width="11.85546875" style="38" hidden="1" customWidth="1"/>
    <col min="43" max="43" width="9.42578125" style="38" hidden="1" customWidth="1"/>
    <col min="44" max="44" width="0" style="38" hidden="1" customWidth="1"/>
    <col min="45" max="45" width="0" hidden="1" customWidth="1"/>
    <col min="46" max="46" width="12.140625" style="254" hidden="1" customWidth="1"/>
  </cols>
  <sheetData>
    <row r="1" spans="1:46" ht="75" customHeight="1" x14ac:dyDescent="0.25">
      <c r="A1" s="171"/>
      <c r="B1" s="172"/>
      <c r="C1" s="173"/>
      <c r="D1" s="172"/>
      <c r="E1" s="172"/>
      <c r="F1" s="172"/>
      <c r="G1" s="172"/>
      <c r="H1" s="172"/>
      <c r="I1" s="172"/>
      <c r="J1" s="172"/>
      <c r="K1" s="173"/>
      <c r="L1" s="174"/>
      <c r="M1" s="174"/>
      <c r="N1" s="174"/>
      <c r="O1" s="174"/>
      <c r="P1" s="943" t="s">
        <v>626</v>
      </c>
      <c r="Q1" s="943"/>
      <c r="R1" s="943"/>
      <c r="S1" s="943"/>
      <c r="T1" s="943"/>
      <c r="AJ1" s="355"/>
      <c r="AK1" s="355"/>
      <c r="AL1" s="117"/>
      <c r="AM1" s="117"/>
      <c r="AN1" s="355"/>
      <c r="AO1" s="355"/>
      <c r="AP1" s="355"/>
      <c r="AQ1" s="355"/>
      <c r="AR1" s="355"/>
      <c r="AT1" s="746" t="s">
        <v>661</v>
      </c>
    </row>
    <row r="2" spans="1:46" ht="35.25" customHeight="1" x14ac:dyDescent="0.25">
      <c r="A2" s="901" t="s">
        <v>679</v>
      </c>
      <c r="B2" s="902"/>
      <c r="C2" s="902"/>
      <c r="D2" s="902"/>
      <c r="E2" s="902"/>
      <c r="F2" s="902"/>
      <c r="G2" s="902"/>
      <c r="H2" s="902"/>
      <c r="I2" s="902"/>
      <c r="J2" s="902"/>
      <c r="K2" s="902"/>
      <c r="L2" s="902"/>
      <c r="M2" s="902"/>
      <c r="N2" s="902"/>
      <c r="O2" s="902"/>
      <c r="P2" s="902"/>
      <c r="Q2" s="902"/>
      <c r="R2" s="902"/>
      <c r="S2" s="902"/>
      <c r="T2" s="902"/>
      <c r="Z2" s="971" t="s">
        <v>650</v>
      </c>
      <c r="AG2" s="974" t="s">
        <v>655</v>
      </c>
      <c r="AH2" s="977" t="s">
        <v>652</v>
      </c>
      <c r="AJ2" s="355"/>
      <c r="AK2" s="355"/>
      <c r="AL2" s="767"/>
      <c r="AM2" s="117"/>
      <c r="AN2" s="355"/>
      <c r="AO2" s="355"/>
      <c r="AP2" s="871"/>
      <c r="AQ2" s="868" t="s">
        <v>656</v>
      </c>
      <c r="AR2" s="355"/>
      <c r="AT2" s="746"/>
    </row>
    <row r="3" spans="1:46" ht="12" customHeight="1" x14ac:dyDescent="0.25">
      <c r="A3" s="171"/>
      <c r="B3" s="172"/>
      <c r="C3" s="173"/>
      <c r="D3" s="172"/>
      <c r="E3" s="172"/>
      <c r="F3" s="172"/>
      <c r="G3" s="172"/>
      <c r="H3" s="172"/>
      <c r="I3" s="172"/>
      <c r="J3" s="172"/>
      <c r="K3" s="173"/>
      <c r="L3" s="174"/>
      <c r="M3" s="174"/>
      <c r="N3" s="174"/>
      <c r="O3" s="174"/>
      <c r="P3" s="172"/>
      <c r="Q3" s="172"/>
      <c r="R3" s="175"/>
      <c r="S3" s="175"/>
      <c r="T3" s="175"/>
      <c r="Z3" s="972"/>
      <c r="AG3" s="975"/>
      <c r="AH3" s="977"/>
      <c r="AJ3" s="355"/>
      <c r="AK3" s="355"/>
      <c r="AL3" s="767"/>
      <c r="AM3" s="117"/>
      <c r="AN3" s="355"/>
      <c r="AO3" s="355"/>
      <c r="AP3" s="871"/>
      <c r="AQ3" s="869"/>
      <c r="AR3" s="355"/>
      <c r="AT3" s="746"/>
    </row>
    <row r="4" spans="1:46" s="81" customFormat="1" ht="39.75" customHeight="1" x14ac:dyDescent="0.2">
      <c r="A4" s="978" t="s">
        <v>0</v>
      </c>
      <c r="B4" s="980" t="s">
        <v>1</v>
      </c>
      <c r="C4" s="983" t="s">
        <v>2</v>
      </c>
      <c r="D4" s="983" t="s">
        <v>3</v>
      </c>
      <c r="E4" s="983" t="s">
        <v>4</v>
      </c>
      <c r="F4" s="983" t="s">
        <v>5</v>
      </c>
      <c r="G4" s="983" t="s">
        <v>6</v>
      </c>
      <c r="H4" s="983" t="s">
        <v>7</v>
      </c>
      <c r="I4" s="373" t="s">
        <v>624</v>
      </c>
      <c r="J4" s="980" t="s">
        <v>21</v>
      </c>
      <c r="K4" s="980" t="s">
        <v>9</v>
      </c>
      <c r="L4" s="980" t="s">
        <v>10</v>
      </c>
      <c r="M4" s="980" t="s">
        <v>11</v>
      </c>
      <c r="N4" s="980" t="s">
        <v>12</v>
      </c>
      <c r="O4" s="980" t="s">
        <v>13</v>
      </c>
      <c r="P4" s="980" t="s">
        <v>17</v>
      </c>
      <c r="Q4" s="374" t="s">
        <v>14</v>
      </c>
      <c r="R4" s="375" t="s">
        <v>16</v>
      </c>
      <c r="S4" s="375" t="s">
        <v>22</v>
      </c>
      <c r="T4" s="996" t="s">
        <v>15</v>
      </c>
      <c r="U4" s="815" t="s">
        <v>625</v>
      </c>
      <c r="V4" s="815" t="s">
        <v>328</v>
      </c>
      <c r="W4" s="998" t="s">
        <v>639</v>
      </c>
      <c r="X4" s="987" t="s">
        <v>662</v>
      </c>
      <c r="Y4" s="132"/>
      <c r="Z4" s="972"/>
      <c r="AA4" s="148"/>
      <c r="AC4" s="988" t="s">
        <v>654</v>
      </c>
      <c r="AD4" s="991" t="s">
        <v>651</v>
      </c>
      <c r="AG4" s="975"/>
      <c r="AH4" s="977"/>
      <c r="AJ4" s="251"/>
      <c r="AK4" s="251"/>
      <c r="AL4" s="767"/>
      <c r="AM4" s="132"/>
      <c r="AN4" s="251"/>
      <c r="AO4" s="251"/>
      <c r="AP4" s="871"/>
      <c r="AQ4" s="869"/>
      <c r="AR4" s="251"/>
      <c r="AT4" s="746"/>
    </row>
    <row r="5" spans="1:46" s="81" customFormat="1" ht="13.7" customHeight="1" x14ac:dyDescent="0.2">
      <c r="A5" s="979"/>
      <c r="B5" s="982"/>
      <c r="C5" s="983"/>
      <c r="D5" s="984"/>
      <c r="E5" s="984"/>
      <c r="F5" s="984"/>
      <c r="G5" s="984"/>
      <c r="H5" s="984"/>
      <c r="I5" s="147">
        <f>'[1]Исходные данные'!$C$6</f>
        <v>0.30199999999999999</v>
      </c>
      <c r="J5" s="981"/>
      <c r="K5" s="981"/>
      <c r="L5" s="981"/>
      <c r="M5" s="981"/>
      <c r="N5" s="981"/>
      <c r="O5" s="981"/>
      <c r="P5" s="981"/>
      <c r="Q5" s="147">
        <f>'условия, ФОТ'!$C$7</f>
        <v>0.77500000000000002</v>
      </c>
      <c r="R5" s="354">
        <v>0.13500000000000001</v>
      </c>
      <c r="S5" s="354">
        <v>0.2</v>
      </c>
      <c r="T5" s="997"/>
      <c r="U5" s="816"/>
      <c r="V5" s="816"/>
      <c r="W5" s="999"/>
      <c r="X5" s="987"/>
      <c r="Y5" s="132"/>
      <c r="Z5" s="972"/>
      <c r="AA5" s="148"/>
      <c r="AC5" s="989"/>
      <c r="AD5" s="991"/>
      <c r="AG5" s="975"/>
      <c r="AH5" s="977"/>
      <c r="AJ5" s="251"/>
      <c r="AK5" s="251"/>
      <c r="AL5" s="767"/>
      <c r="AM5" s="132"/>
      <c r="AN5" s="251"/>
      <c r="AO5" s="251"/>
      <c r="AP5" s="871"/>
      <c r="AQ5" s="869"/>
      <c r="AR5" s="251"/>
      <c r="AT5" s="746"/>
    </row>
    <row r="6" spans="1:46" s="3" customFormat="1" ht="11.25" customHeight="1" x14ac:dyDescent="0.2">
      <c r="A6" s="344">
        <v>1</v>
      </c>
      <c r="B6" s="345">
        <v>2</v>
      </c>
      <c r="C6" s="346">
        <v>3</v>
      </c>
      <c r="D6" s="345">
        <v>4</v>
      </c>
      <c r="E6" s="345">
        <v>5</v>
      </c>
      <c r="F6" s="345">
        <v>6</v>
      </c>
      <c r="G6" s="345">
        <v>7</v>
      </c>
      <c r="H6" s="345">
        <v>8</v>
      </c>
      <c r="I6" s="345">
        <v>9</v>
      </c>
      <c r="J6" s="345">
        <v>10</v>
      </c>
      <c r="K6" s="346">
        <v>11</v>
      </c>
      <c r="L6" s="346">
        <v>12</v>
      </c>
      <c r="M6" s="346">
        <v>13</v>
      </c>
      <c r="N6" s="346">
        <v>14</v>
      </c>
      <c r="O6" s="346">
        <v>15</v>
      </c>
      <c r="P6" s="345">
        <v>16</v>
      </c>
      <c r="Q6" s="345">
        <v>17</v>
      </c>
      <c r="R6" s="176">
        <v>18</v>
      </c>
      <c r="S6" s="176">
        <v>19</v>
      </c>
      <c r="T6" s="176">
        <v>20</v>
      </c>
      <c r="U6" s="118"/>
      <c r="V6" s="118"/>
      <c r="W6" s="999"/>
      <c r="X6" s="987"/>
      <c r="Y6" s="133"/>
      <c r="Z6" s="972"/>
      <c r="AA6" s="149"/>
      <c r="AC6" s="989"/>
      <c r="AD6" s="991"/>
      <c r="AG6" s="975"/>
      <c r="AH6" s="977"/>
      <c r="AJ6" s="252"/>
      <c r="AK6" s="252"/>
      <c r="AL6" s="767"/>
      <c r="AM6" s="133"/>
      <c r="AN6" s="252"/>
      <c r="AO6" s="252"/>
      <c r="AP6" s="871"/>
      <c r="AQ6" s="869"/>
      <c r="AR6" s="252"/>
      <c r="AT6" s="746"/>
    </row>
    <row r="7" spans="1:46" s="83" customFormat="1" ht="20.25" customHeight="1" x14ac:dyDescent="0.25">
      <c r="A7" s="992" t="s">
        <v>383</v>
      </c>
      <c r="B7" s="993"/>
      <c r="C7" s="993"/>
      <c r="D7" s="993"/>
      <c r="E7" s="993"/>
      <c r="F7" s="993"/>
      <c r="G7" s="993"/>
      <c r="H7" s="993"/>
      <c r="I7" s="993"/>
      <c r="J7" s="993"/>
      <c r="K7" s="993"/>
      <c r="L7" s="993"/>
      <c r="M7" s="993"/>
      <c r="N7" s="993"/>
      <c r="O7" s="993"/>
      <c r="P7" s="993"/>
      <c r="Q7" s="993"/>
      <c r="R7" s="993"/>
      <c r="S7" s="993"/>
      <c r="T7" s="994"/>
      <c r="U7" s="119"/>
      <c r="V7" s="120"/>
      <c r="W7" s="1000"/>
      <c r="X7" s="987"/>
      <c r="Y7" s="134"/>
      <c r="Z7" s="973"/>
      <c r="AA7" s="150"/>
      <c r="AC7" s="990"/>
      <c r="AD7" s="991"/>
      <c r="AG7" s="976"/>
      <c r="AH7" s="977"/>
      <c r="AJ7" s="253"/>
      <c r="AK7" s="253"/>
      <c r="AL7" s="768"/>
      <c r="AM7" s="134"/>
      <c r="AN7" s="253"/>
      <c r="AO7" s="253"/>
      <c r="AP7" s="872"/>
      <c r="AQ7" s="870"/>
      <c r="AR7" s="253"/>
      <c r="AT7" s="746"/>
    </row>
    <row r="8" spans="1:46" s="81" customFormat="1" ht="45.95" customHeight="1" x14ac:dyDescent="0.2">
      <c r="A8" s="361" t="s">
        <v>144</v>
      </c>
      <c r="B8" s="361" t="s">
        <v>178</v>
      </c>
      <c r="C8" s="362" t="s">
        <v>18</v>
      </c>
      <c r="D8" s="373" t="s">
        <v>20</v>
      </c>
      <c r="E8" s="373" t="s">
        <v>170</v>
      </c>
      <c r="F8" s="359">
        <f>VLOOKUP(E8,'условия, ФОТ'!$A$14:$I$28,9, FALSE)</f>
        <v>319.19</v>
      </c>
      <c r="G8" s="364">
        <v>2</v>
      </c>
      <c r="H8" s="359">
        <f>ROUND(F8*G8,2)</f>
        <v>638.38</v>
      </c>
      <c r="I8" s="359">
        <f>ROUND(H8*$I$5,2)</f>
        <v>192.79</v>
      </c>
      <c r="J8" s="359">
        <f>H8+I8</f>
        <v>831.17</v>
      </c>
      <c r="K8" s="363"/>
      <c r="L8" s="359"/>
      <c r="M8" s="359"/>
      <c r="N8" s="359"/>
      <c r="O8" s="359"/>
      <c r="P8" s="359">
        <f>J8+O8</f>
        <v>831.17</v>
      </c>
      <c r="Q8" s="359">
        <f>ROUND(P8*$Q$5,2)</f>
        <v>644.16</v>
      </c>
      <c r="R8" s="369">
        <f>ROUND(T8/1.2,2)</f>
        <v>1072.5</v>
      </c>
      <c r="S8" s="369">
        <f>ROUND(R8*$S$5,2)</f>
        <v>214.5</v>
      </c>
      <c r="T8" s="369">
        <f>ROUND((P8+Q8)*(1+AC8)*1.2,0)</f>
        <v>1287</v>
      </c>
      <c r="U8" s="121">
        <v>1206</v>
      </c>
      <c r="V8" s="122">
        <f>T8/U8*100-100</f>
        <v>6.7164179104477739</v>
      </c>
      <c r="W8" s="377">
        <v>1245</v>
      </c>
      <c r="X8" s="367">
        <f>T8/W8*100-100</f>
        <v>3.3734939759036138</v>
      </c>
      <c r="Y8" s="132">
        <v>1245</v>
      </c>
      <c r="Z8" s="356">
        <v>1.034</v>
      </c>
      <c r="AA8" s="152">
        <f>ROUND(W8*Z8,2)</f>
        <v>1287.33</v>
      </c>
      <c r="AB8" s="157">
        <f>ROUND((P8+Q8)*1.2,2)</f>
        <v>1770.4</v>
      </c>
      <c r="AC8" s="170">
        <f>ROUND((AA8/AB8)*100%-100%,4)</f>
        <v>-0.27289999999999998</v>
      </c>
      <c r="AD8" s="366">
        <f>AB8*AC8</f>
        <v>-483.14215999999999</v>
      </c>
      <c r="AF8" s="161">
        <v>1287.33</v>
      </c>
      <c r="AG8" s="357">
        <v>1287</v>
      </c>
      <c r="AH8" s="358">
        <f>T8-AG8</f>
        <v>0</v>
      </c>
      <c r="AJ8" s="366">
        <v>2.5999999999999999E-2</v>
      </c>
      <c r="AK8" s="366">
        <f>IF(AJ8&lt;0,-AJ8+1,AJ8)</f>
        <v>2.5999999999999999E-2</v>
      </c>
      <c r="AL8" s="366">
        <v>0</v>
      </c>
      <c r="AN8" s="152"/>
      <c r="AO8" s="148"/>
      <c r="AP8" s="366">
        <v>1.034</v>
      </c>
      <c r="AQ8" s="241">
        <v>2.5999999999999999E-2</v>
      </c>
      <c r="AR8" s="366">
        <f>Z8-AP8</f>
        <v>0</v>
      </c>
      <c r="AT8" s="241">
        <f>AC8-AQ8</f>
        <v>-0.2989</v>
      </c>
    </row>
    <row r="9" spans="1:46" s="81" customFormat="1" ht="57" customHeight="1" x14ac:dyDescent="0.2">
      <c r="A9" s="361" t="s">
        <v>145</v>
      </c>
      <c r="B9" s="361" t="s">
        <v>179</v>
      </c>
      <c r="C9" s="362" t="s">
        <v>19</v>
      </c>
      <c r="D9" s="373" t="s">
        <v>20</v>
      </c>
      <c r="E9" s="373" t="s">
        <v>170</v>
      </c>
      <c r="F9" s="359">
        <f>VLOOKUP(E9,'условия, ФОТ'!$A$14:$I$28,9, FALSE)</f>
        <v>319.19</v>
      </c>
      <c r="G9" s="364">
        <v>2</v>
      </c>
      <c r="H9" s="359">
        <f>ROUND(F9*G9,2)</f>
        <v>638.38</v>
      </c>
      <c r="I9" s="359">
        <f>ROUND(H9*$I$5,2)</f>
        <v>192.79</v>
      </c>
      <c r="J9" s="359">
        <f>H9+I9</f>
        <v>831.17</v>
      </c>
      <c r="K9" s="363"/>
      <c r="L9" s="359"/>
      <c r="M9" s="359"/>
      <c r="N9" s="359"/>
      <c r="O9" s="359"/>
      <c r="P9" s="359">
        <f>J9+O9</f>
        <v>831.17</v>
      </c>
      <c r="Q9" s="359">
        <f>ROUND(P9*$Q$5,2)</f>
        <v>644.16</v>
      </c>
      <c r="R9" s="369">
        <f>ROUND(T9/1.2,2)</f>
        <v>1072.5</v>
      </c>
      <c r="S9" s="369">
        <f>ROUND(R9*$S$5,2)</f>
        <v>214.5</v>
      </c>
      <c r="T9" s="369">
        <f>ROUND((P9+Q9)*(1+AC9)*1.2,0)</f>
        <v>1287</v>
      </c>
      <c r="U9" s="121">
        <v>1206</v>
      </c>
      <c r="V9" s="122">
        <f>T9/U9*100-100</f>
        <v>6.7164179104477739</v>
      </c>
      <c r="W9" s="377">
        <v>1245</v>
      </c>
      <c r="X9" s="367">
        <f t="shared" ref="X9:X69" si="0">T9/W9*100-100</f>
        <v>3.3734939759036138</v>
      </c>
      <c r="Y9" s="132">
        <v>1245</v>
      </c>
      <c r="Z9" s="356">
        <v>1.034</v>
      </c>
      <c r="AA9" s="152">
        <f>ROUND(W9*Z9,2)</f>
        <v>1287.33</v>
      </c>
      <c r="AB9" s="157">
        <f>ROUND((P9+Q9)*1.2,2)</f>
        <v>1770.4</v>
      </c>
      <c r="AC9" s="170">
        <f>ROUND((AA9/AB9)*100%-100%,4)</f>
        <v>-0.27289999999999998</v>
      </c>
      <c r="AD9" s="366">
        <f t="shared" ref="AD9:AD69" si="1">AB9*AC9</f>
        <v>-483.14215999999999</v>
      </c>
      <c r="AF9" s="81">
        <v>1287.33</v>
      </c>
      <c r="AG9" s="366">
        <v>1287</v>
      </c>
      <c r="AH9" s="358">
        <f t="shared" ref="AH9:AH69" si="2">T9-AG9</f>
        <v>0</v>
      </c>
      <c r="AJ9" s="366">
        <v>2.5999999999999999E-2</v>
      </c>
      <c r="AK9" s="366">
        <f t="shared" ref="AK9:AK69" si="3">IF(AJ9&lt;0,-AJ9+1,AJ9)</f>
        <v>2.5999999999999999E-2</v>
      </c>
      <c r="AL9" s="366">
        <v>0</v>
      </c>
      <c r="AN9" s="152"/>
      <c r="AO9" s="148"/>
      <c r="AP9" s="366">
        <v>1.034</v>
      </c>
      <c r="AQ9" s="241">
        <v>2.5999999999999999E-2</v>
      </c>
      <c r="AR9" s="366">
        <f t="shared" ref="AR9:AR69" si="4">Z9-AP9</f>
        <v>0</v>
      </c>
      <c r="AT9" s="241">
        <f t="shared" ref="AT9:AT69" si="5">AC9-AQ9</f>
        <v>-0.2989</v>
      </c>
    </row>
    <row r="10" spans="1:46" s="83" customFormat="1" ht="25.5" customHeight="1" x14ac:dyDescent="0.25">
      <c r="A10" s="992" t="s">
        <v>322</v>
      </c>
      <c r="B10" s="993"/>
      <c r="C10" s="993"/>
      <c r="D10" s="993"/>
      <c r="E10" s="993"/>
      <c r="F10" s="993"/>
      <c r="G10" s="993"/>
      <c r="H10" s="993"/>
      <c r="I10" s="993"/>
      <c r="J10" s="993"/>
      <c r="K10" s="993"/>
      <c r="L10" s="993"/>
      <c r="M10" s="993"/>
      <c r="N10" s="993"/>
      <c r="O10" s="993"/>
      <c r="P10" s="993"/>
      <c r="Q10" s="993"/>
      <c r="R10" s="993"/>
      <c r="S10" s="993"/>
      <c r="T10" s="994"/>
      <c r="U10" s="123"/>
      <c r="V10" s="120"/>
      <c r="W10" s="377"/>
      <c r="X10" s="367"/>
      <c r="Y10" s="134"/>
      <c r="Z10" s="356"/>
      <c r="AA10" s="366"/>
      <c r="AB10" s="158"/>
      <c r="AC10" s="170"/>
      <c r="AD10" s="366"/>
      <c r="AG10" s="162"/>
      <c r="AH10" s="358"/>
      <c r="AJ10" s="162"/>
      <c r="AK10" s="366"/>
      <c r="AL10" s="366"/>
      <c r="AN10" s="152"/>
      <c r="AO10" s="150"/>
      <c r="AP10" s="162"/>
      <c r="AQ10" s="242"/>
      <c r="AR10" s="366"/>
      <c r="AT10" s="241"/>
    </row>
    <row r="11" spans="1:46" s="81" customFormat="1" ht="20.25" customHeight="1" x14ac:dyDescent="0.2">
      <c r="A11" s="979" t="s">
        <v>146</v>
      </c>
      <c r="B11" s="979" t="s">
        <v>180</v>
      </c>
      <c r="C11" s="995" t="s">
        <v>23</v>
      </c>
      <c r="D11" s="983" t="s">
        <v>24</v>
      </c>
      <c r="E11" s="373" t="s">
        <v>174</v>
      </c>
      <c r="F11" s="364">
        <f>VLOOKUP(E11,'условия, ФОТ'!$A$14:$I$28,9, FALSE)</f>
        <v>456.01</v>
      </c>
      <c r="G11" s="364">
        <v>0.68</v>
      </c>
      <c r="H11" s="985">
        <f>ROUND((F11*G11+F12*G12),2)</f>
        <v>531.92999999999995</v>
      </c>
      <c r="I11" s="985">
        <f>ROUND(H11*$I$5,2)</f>
        <v>160.63999999999999</v>
      </c>
      <c r="J11" s="985">
        <f>H11+I11</f>
        <v>692.56999999999994</v>
      </c>
      <c r="K11" s="986"/>
      <c r="L11" s="985"/>
      <c r="M11" s="985"/>
      <c r="N11" s="985"/>
      <c r="O11" s="985">
        <f>SUM(O13:O19)</f>
        <v>185.07000000000002</v>
      </c>
      <c r="P11" s="985">
        <f>J11+O11</f>
        <v>877.64</v>
      </c>
      <c r="Q11" s="985">
        <f>ROUND(P11*$Q$5,2)</f>
        <v>680.17</v>
      </c>
      <c r="R11" s="1004">
        <f>ROUND(T11/1.2,2)</f>
        <v>806.67</v>
      </c>
      <c r="S11" s="1004">
        <f>ROUND(R11*$S$5,2)</f>
        <v>161.33000000000001</v>
      </c>
      <c r="T11" s="1004">
        <f>ROUND((P11+Q11)*(1+AC11)*1.2,0)</f>
        <v>968</v>
      </c>
      <c r="U11" s="794">
        <v>907</v>
      </c>
      <c r="V11" s="1010">
        <f>T11/U11*100-100</f>
        <v>6.7254685777287762</v>
      </c>
      <c r="W11" s="1001">
        <v>936</v>
      </c>
      <c r="X11" s="1002">
        <f t="shared" si="0"/>
        <v>3.4188034188034351</v>
      </c>
      <c r="Y11" s="132">
        <v>936</v>
      </c>
      <c r="Z11" s="751">
        <v>1.034</v>
      </c>
      <c r="AA11" s="1003">
        <f>ROUND(W11*Z11,2)</f>
        <v>967.82</v>
      </c>
      <c r="AB11" s="1005">
        <f>ROUND((P11+Q11)*1.2,2)</f>
        <v>1869.37</v>
      </c>
      <c r="AC11" s="1006">
        <f>ROUND((AA11/AB11)*100%-100%,4)</f>
        <v>-0.48230000000000001</v>
      </c>
      <c r="AD11" s="751">
        <f t="shared" si="1"/>
        <v>-901.59715099999994</v>
      </c>
      <c r="AF11" s="81">
        <v>967.82400000000007</v>
      </c>
      <c r="AG11" s="751">
        <v>968</v>
      </c>
      <c r="AH11" s="1008">
        <f t="shared" si="2"/>
        <v>0</v>
      </c>
      <c r="AJ11" s="751">
        <v>0.1414</v>
      </c>
      <c r="AK11" s="751">
        <f t="shared" si="3"/>
        <v>0.1414</v>
      </c>
      <c r="AL11" s="751">
        <v>0</v>
      </c>
      <c r="AN11" s="879"/>
      <c r="AO11" s="148"/>
      <c r="AP11" s="751">
        <v>1.034</v>
      </c>
      <c r="AQ11" s="747">
        <v>0.1414</v>
      </c>
      <c r="AR11" s="751">
        <f t="shared" si="4"/>
        <v>0</v>
      </c>
      <c r="AT11" s="747">
        <f t="shared" si="5"/>
        <v>-0.62370000000000003</v>
      </c>
    </row>
    <row r="12" spans="1:46" s="81" customFormat="1" ht="21" customHeight="1" x14ac:dyDescent="0.2">
      <c r="A12" s="979"/>
      <c r="B12" s="979"/>
      <c r="C12" s="995"/>
      <c r="D12" s="983"/>
      <c r="E12" s="373" t="s">
        <v>169</v>
      </c>
      <c r="F12" s="359">
        <f>VLOOKUP(E12,'условия, ФОТ'!$A$14:$I$28,9, FALSE)</f>
        <v>326.24</v>
      </c>
      <c r="G12" s="364">
        <v>0.68</v>
      </c>
      <c r="H12" s="985"/>
      <c r="I12" s="985"/>
      <c r="J12" s="985"/>
      <c r="K12" s="986"/>
      <c r="L12" s="985"/>
      <c r="M12" s="985"/>
      <c r="N12" s="985"/>
      <c r="O12" s="985"/>
      <c r="P12" s="985"/>
      <c r="Q12" s="985">
        <f>ROUND(P12*$Q$5,2)</f>
        <v>0</v>
      </c>
      <c r="R12" s="1004">
        <f>ROUND(T12/1.18,2)</f>
        <v>0</v>
      </c>
      <c r="S12" s="1004">
        <f>ROUND(R12*$S$5,2)</f>
        <v>0</v>
      </c>
      <c r="T12" s="1004">
        <f>ROUND((P12+Q12)*(1+$R$5)*1.18,0)</f>
        <v>0</v>
      </c>
      <c r="U12" s="1009"/>
      <c r="V12" s="1010"/>
      <c r="W12" s="1001"/>
      <c r="X12" s="1002"/>
      <c r="Y12" s="132">
        <v>0</v>
      </c>
      <c r="Z12" s="752"/>
      <c r="AA12" s="1003"/>
      <c r="AB12" s="1005"/>
      <c r="AC12" s="1007"/>
      <c r="AD12" s="752"/>
      <c r="AG12" s="752"/>
      <c r="AH12" s="1008"/>
      <c r="AJ12" s="752"/>
      <c r="AK12" s="752"/>
      <c r="AL12" s="752"/>
      <c r="AN12" s="880"/>
      <c r="AO12" s="148"/>
      <c r="AP12" s="752"/>
      <c r="AQ12" s="748"/>
      <c r="AR12" s="752"/>
      <c r="AT12" s="748"/>
    </row>
    <row r="13" spans="1:46" s="81" customFormat="1" outlineLevel="1" x14ac:dyDescent="0.2">
      <c r="A13" s="361"/>
      <c r="B13" s="376"/>
      <c r="C13" s="363"/>
      <c r="D13" s="376"/>
      <c r="E13" s="376"/>
      <c r="F13" s="376"/>
      <c r="G13" s="376"/>
      <c r="H13" s="376"/>
      <c r="I13" s="376"/>
      <c r="J13" s="178" t="s">
        <v>385</v>
      </c>
      <c r="K13" s="184" t="s">
        <v>329</v>
      </c>
      <c r="L13" s="364" t="str">
        <f>VLOOKUP(K13,материалы!$A$5:$G$31,5, FALSE)</f>
        <v>м3</v>
      </c>
      <c r="M13" s="359">
        <f>VLOOKUP(K13,материалы!$A$5:$G$31,7, FALSE)</f>
        <v>1033.33</v>
      </c>
      <c r="N13" s="364">
        <v>8.7499999999999994E-2</v>
      </c>
      <c r="O13" s="179">
        <f>ROUND(M13*N13,2)</f>
        <v>90.42</v>
      </c>
      <c r="P13" s="376"/>
      <c r="Q13" s="376"/>
      <c r="R13" s="180"/>
      <c r="S13" s="180"/>
      <c r="T13" s="180"/>
      <c r="U13" s="124"/>
      <c r="V13" s="125"/>
      <c r="W13" s="377"/>
      <c r="X13" s="367"/>
      <c r="Y13" s="132"/>
      <c r="Z13" s="356"/>
      <c r="AA13" s="366"/>
      <c r="AB13" s="158"/>
      <c r="AC13" s="170"/>
      <c r="AD13" s="366"/>
      <c r="AG13" s="366"/>
      <c r="AH13" s="358"/>
      <c r="AJ13" s="366"/>
      <c r="AK13" s="366"/>
      <c r="AL13" s="366"/>
      <c r="AN13" s="152"/>
      <c r="AO13" s="148"/>
      <c r="AP13" s="366"/>
      <c r="AQ13" s="241"/>
      <c r="AR13" s="366"/>
      <c r="AT13" s="241"/>
    </row>
    <row r="14" spans="1:46" s="81" customFormat="1" outlineLevel="1" x14ac:dyDescent="0.2">
      <c r="A14" s="361"/>
      <c r="B14" s="376"/>
      <c r="C14" s="363"/>
      <c r="D14" s="376"/>
      <c r="E14" s="376"/>
      <c r="F14" s="376"/>
      <c r="G14" s="376"/>
      <c r="H14" s="376"/>
      <c r="I14" s="376"/>
      <c r="J14" s="376"/>
      <c r="K14" s="184" t="s">
        <v>330</v>
      </c>
      <c r="L14" s="364" t="str">
        <f>VLOOKUP(K14,материалы!$A$5:$G$31,5, FALSE)</f>
        <v>м3</v>
      </c>
      <c r="M14" s="359">
        <f>VLOOKUP(K14,материалы!$A$5:$G$31,7, FALSE)</f>
        <v>116.67</v>
      </c>
      <c r="N14" s="364">
        <v>0.15</v>
      </c>
      <c r="O14" s="179">
        <f>ROUND(M14*N14,2)</f>
        <v>17.5</v>
      </c>
      <c r="P14" s="376"/>
      <c r="Q14" s="376"/>
      <c r="R14" s="180"/>
      <c r="S14" s="180"/>
      <c r="T14" s="180"/>
      <c r="U14" s="124"/>
      <c r="V14" s="125"/>
      <c r="W14" s="377"/>
      <c r="X14" s="367"/>
      <c r="Y14" s="132"/>
      <c r="Z14" s="356"/>
      <c r="AA14" s="366"/>
      <c r="AB14" s="158"/>
      <c r="AC14" s="170"/>
      <c r="AD14" s="366"/>
      <c r="AG14" s="366"/>
      <c r="AH14" s="358"/>
      <c r="AJ14" s="366"/>
      <c r="AK14" s="366"/>
      <c r="AL14" s="366"/>
      <c r="AN14" s="152"/>
      <c r="AO14" s="148"/>
      <c r="AP14" s="366"/>
      <c r="AQ14" s="241"/>
      <c r="AR14" s="366"/>
      <c r="AT14" s="241"/>
    </row>
    <row r="15" spans="1:46" s="81" customFormat="1" ht="38.25" outlineLevel="1" x14ac:dyDescent="0.2">
      <c r="A15" s="361"/>
      <c r="B15" s="376"/>
      <c r="C15" s="363"/>
      <c r="D15" s="376"/>
      <c r="E15" s="376"/>
      <c r="F15" s="376"/>
      <c r="G15" s="376"/>
      <c r="H15" s="376"/>
      <c r="I15" s="376"/>
      <c r="J15" s="376"/>
      <c r="K15" s="184" t="s">
        <v>347</v>
      </c>
      <c r="L15" s="364" t="str">
        <f>VLOOKUP(K15,материалы!$A$5:$G$31,5, FALSE)</f>
        <v>кг</v>
      </c>
      <c r="M15" s="359">
        <f>VLOOKUP(K15,материалы!$A$5:$G$31,7, FALSE)</f>
        <v>300</v>
      </c>
      <c r="N15" s="364">
        <v>0.1</v>
      </c>
      <c r="O15" s="179">
        <f t="shared" ref="O15:O19" si="6">ROUND(M15*N15,2)</f>
        <v>30</v>
      </c>
      <c r="P15" s="376"/>
      <c r="Q15" s="376"/>
      <c r="R15" s="180"/>
      <c r="S15" s="180"/>
      <c r="T15" s="180"/>
      <c r="U15" s="124"/>
      <c r="V15" s="125"/>
      <c r="W15" s="377"/>
      <c r="X15" s="367"/>
      <c r="Y15" s="132"/>
      <c r="Z15" s="356"/>
      <c r="AA15" s="366"/>
      <c r="AB15" s="158"/>
      <c r="AC15" s="170"/>
      <c r="AD15" s="366"/>
      <c r="AG15" s="366"/>
      <c r="AH15" s="358"/>
      <c r="AJ15" s="366"/>
      <c r="AK15" s="366"/>
      <c r="AL15" s="366"/>
      <c r="AN15" s="152"/>
      <c r="AO15" s="148"/>
      <c r="AP15" s="366"/>
      <c r="AQ15" s="241"/>
      <c r="AR15" s="366"/>
      <c r="AT15" s="241"/>
    </row>
    <row r="16" spans="1:46" s="81" customFormat="1" ht="30" customHeight="1" outlineLevel="1" x14ac:dyDescent="0.2">
      <c r="A16" s="361"/>
      <c r="B16" s="376"/>
      <c r="C16" s="363"/>
      <c r="D16" s="376"/>
      <c r="E16" s="376"/>
      <c r="F16" s="376"/>
      <c r="G16" s="376"/>
      <c r="H16" s="376"/>
      <c r="I16" s="376"/>
      <c r="J16" s="376"/>
      <c r="K16" s="184" t="s">
        <v>358</v>
      </c>
      <c r="L16" s="364" t="str">
        <f>VLOOKUP(K16,материалы!$A$5:$G$31,5, FALSE)</f>
        <v>шт.</v>
      </c>
      <c r="M16" s="359">
        <f>VLOOKUP(K16,материалы!$A$5:$G$31,7, FALSE)</f>
        <v>35</v>
      </c>
      <c r="N16" s="364">
        <v>1</v>
      </c>
      <c r="O16" s="179">
        <f t="shared" si="6"/>
        <v>35</v>
      </c>
      <c r="P16" s="376"/>
      <c r="Q16" s="376"/>
      <c r="R16" s="180"/>
      <c r="S16" s="180"/>
      <c r="T16" s="180"/>
      <c r="U16" s="124"/>
      <c r="V16" s="125"/>
      <c r="W16" s="377"/>
      <c r="X16" s="367"/>
      <c r="Y16" s="132"/>
      <c r="Z16" s="356"/>
      <c r="AA16" s="366"/>
      <c r="AB16" s="158"/>
      <c r="AC16" s="170"/>
      <c r="AD16" s="366"/>
      <c r="AG16" s="366"/>
      <c r="AH16" s="358"/>
      <c r="AJ16" s="366"/>
      <c r="AK16" s="366"/>
      <c r="AL16" s="366"/>
      <c r="AN16" s="152"/>
      <c r="AO16" s="148"/>
      <c r="AP16" s="366"/>
      <c r="AQ16" s="241"/>
      <c r="AR16" s="366"/>
      <c r="AT16" s="241"/>
    </row>
    <row r="17" spans="1:46" s="81" customFormat="1" ht="25.5" outlineLevel="1" x14ac:dyDescent="0.2">
      <c r="A17" s="361"/>
      <c r="B17" s="376"/>
      <c r="C17" s="363"/>
      <c r="D17" s="376"/>
      <c r="E17" s="376"/>
      <c r="F17" s="376"/>
      <c r="G17" s="376"/>
      <c r="H17" s="376"/>
      <c r="I17" s="376"/>
      <c r="J17" s="376"/>
      <c r="K17" s="184" t="s">
        <v>348</v>
      </c>
      <c r="L17" s="364" t="str">
        <f>VLOOKUP(K17,материалы!$A$5:$G$31,5, FALSE)</f>
        <v>шт.</v>
      </c>
      <c r="M17" s="359">
        <f>VLOOKUP(K17,материалы!$A$5:$G$31,7, FALSE)</f>
        <v>45</v>
      </c>
      <c r="N17" s="364">
        <v>0.25</v>
      </c>
      <c r="O17" s="179">
        <f t="shared" si="6"/>
        <v>11.25</v>
      </c>
      <c r="P17" s="376"/>
      <c r="Q17" s="376"/>
      <c r="R17" s="180"/>
      <c r="S17" s="180"/>
      <c r="T17" s="180"/>
      <c r="U17" s="124"/>
      <c r="V17" s="125"/>
      <c r="W17" s="377"/>
      <c r="X17" s="367"/>
      <c r="Y17" s="132"/>
      <c r="Z17" s="356"/>
      <c r="AA17" s="366"/>
      <c r="AB17" s="158"/>
      <c r="AC17" s="170"/>
      <c r="AD17" s="366"/>
      <c r="AG17" s="366"/>
      <c r="AH17" s="358"/>
      <c r="AJ17" s="366"/>
      <c r="AK17" s="366"/>
      <c r="AL17" s="366"/>
      <c r="AN17" s="152"/>
      <c r="AO17" s="148"/>
      <c r="AP17" s="366"/>
      <c r="AQ17" s="241"/>
      <c r="AR17" s="366"/>
      <c r="AT17" s="241"/>
    </row>
    <row r="18" spans="1:46" s="81" customFormat="1" outlineLevel="1" x14ac:dyDescent="0.2">
      <c r="A18" s="361"/>
      <c r="B18" s="376"/>
      <c r="C18" s="363"/>
      <c r="D18" s="376"/>
      <c r="E18" s="376"/>
      <c r="F18" s="376"/>
      <c r="G18" s="376"/>
      <c r="H18" s="376"/>
      <c r="I18" s="376"/>
      <c r="J18" s="376"/>
      <c r="K18" s="184" t="s">
        <v>335</v>
      </c>
      <c r="L18" s="364" t="str">
        <f>VLOOKUP(K18,материалы!$A$5:$G$31,5, FALSE)</f>
        <v>кг</v>
      </c>
      <c r="M18" s="359">
        <f>VLOOKUP(K18,материалы!$A$5:$G$31,7, FALSE)</f>
        <v>95</v>
      </c>
      <c r="N18" s="185">
        <v>1E-3</v>
      </c>
      <c r="O18" s="179">
        <f t="shared" si="6"/>
        <v>0.1</v>
      </c>
      <c r="P18" s="376"/>
      <c r="Q18" s="376"/>
      <c r="R18" s="180"/>
      <c r="S18" s="180"/>
      <c r="T18" s="180"/>
      <c r="U18" s="124"/>
      <c r="V18" s="125"/>
      <c r="W18" s="377"/>
      <c r="X18" s="367"/>
      <c r="Y18" s="132"/>
      <c r="Z18" s="356"/>
      <c r="AA18" s="366"/>
      <c r="AB18" s="158"/>
      <c r="AC18" s="170"/>
      <c r="AD18" s="366"/>
      <c r="AG18" s="366"/>
      <c r="AH18" s="358"/>
      <c r="AJ18" s="366"/>
      <c r="AK18" s="366"/>
      <c r="AL18" s="366"/>
      <c r="AN18" s="152"/>
      <c r="AO18" s="148"/>
      <c r="AP18" s="366"/>
      <c r="AQ18" s="241"/>
      <c r="AR18" s="366"/>
      <c r="AT18" s="241"/>
    </row>
    <row r="19" spans="1:46" s="81" customFormat="1" outlineLevel="1" x14ac:dyDescent="0.2">
      <c r="A19" s="361"/>
      <c r="B19" s="376"/>
      <c r="C19" s="363"/>
      <c r="D19" s="376"/>
      <c r="E19" s="376"/>
      <c r="F19" s="376"/>
      <c r="G19" s="376"/>
      <c r="H19" s="376"/>
      <c r="I19" s="376"/>
      <c r="J19" s="376"/>
      <c r="K19" s="184" t="s">
        <v>336</v>
      </c>
      <c r="L19" s="364" t="str">
        <f>VLOOKUP(K19,материалы!$A$5:$G$31,5, FALSE)</f>
        <v>кг</v>
      </c>
      <c r="M19" s="359">
        <f>VLOOKUP(K19,материалы!$A$5:$G$31,7, FALSE)</f>
        <v>80</v>
      </c>
      <c r="N19" s="364">
        <v>0.01</v>
      </c>
      <c r="O19" s="179">
        <f t="shared" si="6"/>
        <v>0.8</v>
      </c>
      <c r="P19" s="376"/>
      <c r="Q19" s="376"/>
      <c r="R19" s="180"/>
      <c r="S19" s="180"/>
      <c r="T19" s="180"/>
      <c r="U19" s="124"/>
      <c r="V19" s="125"/>
      <c r="W19" s="377"/>
      <c r="X19" s="367"/>
      <c r="Y19" s="132"/>
      <c r="Z19" s="356"/>
      <c r="AA19" s="366"/>
      <c r="AB19" s="158"/>
      <c r="AC19" s="170"/>
      <c r="AD19" s="366"/>
      <c r="AG19" s="366"/>
      <c r="AH19" s="358"/>
      <c r="AJ19" s="366"/>
      <c r="AK19" s="366"/>
      <c r="AL19" s="366"/>
      <c r="AN19" s="152"/>
      <c r="AO19" s="148"/>
      <c r="AP19" s="366"/>
      <c r="AQ19" s="241"/>
      <c r="AR19" s="366"/>
      <c r="AT19" s="241"/>
    </row>
    <row r="20" spans="1:46" s="81" customFormat="1" ht="42.75" customHeight="1" x14ac:dyDescent="0.2">
      <c r="A20" s="361" t="s">
        <v>450</v>
      </c>
      <c r="B20" s="361" t="s">
        <v>180</v>
      </c>
      <c r="C20" s="362" t="s">
        <v>384</v>
      </c>
      <c r="D20" s="359" t="s">
        <v>24</v>
      </c>
      <c r="E20" s="359" t="s">
        <v>169</v>
      </c>
      <c r="F20" s="359">
        <f>VLOOKUP(E20,'условия, ФОТ'!$A$14:$I$28,9, FALSE)</f>
        <v>326.24</v>
      </c>
      <c r="G20" s="359">
        <f>G12*0.7</f>
        <v>0.47599999999999998</v>
      </c>
      <c r="H20" s="359">
        <f>ROUND(F20*G20,2)</f>
        <v>155.29</v>
      </c>
      <c r="I20" s="359">
        <f>ROUND(H20*$I$5,2)</f>
        <v>46.9</v>
      </c>
      <c r="J20" s="359">
        <f>H20+I20</f>
        <v>202.19</v>
      </c>
      <c r="K20" s="184"/>
      <c r="L20" s="364"/>
      <c r="M20" s="359"/>
      <c r="N20" s="364"/>
      <c r="O20" s="359">
        <f>O21</f>
        <v>11.25</v>
      </c>
      <c r="P20" s="359">
        <f>J20+O20</f>
        <v>213.44</v>
      </c>
      <c r="Q20" s="359">
        <f>ROUND(P20*$Q$5,2)</f>
        <v>165.42</v>
      </c>
      <c r="R20" s="369">
        <f>ROUND(T20/1.2,2)</f>
        <v>206.67</v>
      </c>
      <c r="S20" s="369">
        <f>ROUND(R20*$S$5,2)</f>
        <v>41.33</v>
      </c>
      <c r="T20" s="369">
        <f>ROUND((P20+Q20)*(1+AC20)*1.2,0)</f>
        <v>248</v>
      </c>
      <c r="U20" s="121">
        <v>220</v>
      </c>
      <c r="V20" s="122">
        <f>T20/U20*100-100</f>
        <v>12.72727272727272</v>
      </c>
      <c r="W20" s="377">
        <v>227</v>
      </c>
      <c r="X20" s="367">
        <f t="shared" si="0"/>
        <v>9.2511013215859066</v>
      </c>
      <c r="Y20" s="132">
        <v>227</v>
      </c>
      <c r="Z20" s="368">
        <v>1.0940000000000001</v>
      </c>
      <c r="AA20" s="152">
        <f>ROUND(W20*Z20,2)</f>
        <v>248.34</v>
      </c>
      <c r="AB20" s="157">
        <f>ROUND((P20+Q20)*1.2,2)</f>
        <v>454.63</v>
      </c>
      <c r="AC20" s="170">
        <f>ROUND((AA20/AB20)*100%-100%,4)</f>
        <v>-0.45379999999999998</v>
      </c>
      <c r="AD20" s="366">
        <f t="shared" si="1"/>
        <v>-206.311094</v>
      </c>
      <c r="AF20" s="81">
        <v>234.71800000000002</v>
      </c>
      <c r="AG20" s="366">
        <v>235</v>
      </c>
      <c r="AH20" s="358">
        <f t="shared" si="2"/>
        <v>13</v>
      </c>
      <c r="AJ20" s="366">
        <v>-7.9000000000000008E-3</v>
      </c>
      <c r="AK20" s="366">
        <f t="shared" si="3"/>
        <v>1.0079</v>
      </c>
      <c r="AL20" s="366">
        <v>1.042</v>
      </c>
      <c r="AM20" s="152"/>
      <c r="AN20" s="152">
        <f>ROUND(W20*AL20,2)</f>
        <v>236.53</v>
      </c>
      <c r="AO20" s="148"/>
      <c r="AP20" s="366">
        <v>1.034</v>
      </c>
      <c r="AQ20" s="241">
        <v>-7.9000000000000008E-3</v>
      </c>
      <c r="AR20" s="366">
        <f t="shared" si="4"/>
        <v>6.0000000000000053E-2</v>
      </c>
      <c r="AT20" s="241">
        <f t="shared" si="5"/>
        <v>-0.44589999999999996</v>
      </c>
    </row>
    <row r="21" spans="1:46" s="81" customFormat="1" ht="25.5" outlineLevel="1" x14ac:dyDescent="0.2">
      <c r="A21" s="361"/>
      <c r="B21" s="376"/>
      <c r="C21" s="363"/>
      <c r="D21" s="376"/>
      <c r="E21" s="376"/>
      <c r="F21" s="376"/>
      <c r="G21" s="376"/>
      <c r="H21" s="376"/>
      <c r="I21" s="376"/>
      <c r="J21" s="178" t="s">
        <v>385</v>
      </c>
      <c r="K21" s="184" t="s">
        <v>348</v>
      </c>
      <c r="L21" s="364" t="str">
        <f>VLOOKUP(K21,материалы!$A$5:$G$31,5, FALSE)</f>
        <v>шт.</v>
      </c>
      <c r="M21" s="359">
        <f>VLOOKUP(K21,материалы!$A$5:$G$31,7, FALSE)</f>
        <v>45</v>
      </c>
      <c r="N21" s="364">
        <v>0.25</v>
      </c>
      <c r="O21" s="359">
        <f t="shared" ref="O21" si="7">ROUND(M21*N21,2)</f>
        <v>11.25</v>
      </c>
      <c r="P21" s="376"/>
      <c r="Q21" s="376"/>
      <c r="R21" s="180"/>
      <c r="S21" s="180"/>
      <c r="T21" s="180"/>
      <c r="U21" s="121"/>
      <c r="V21" s="125"/>
      <c r="W21" s="377"/>
      <c r="X21" s="367"/>
      <c r="Y21" s="132"/>
      <c r="Z21" s="356"/>
      <c r="AA21" s="366"/>
      <c r="AB21" s="158"/>
      <c r="AC21" s="170"/>
      <c r="AD21" s="366"/>
      <c r="AG21" s="366"/>
      <c r="AH21" s="358"/>
      <c r="AJ21" s="366"/>
      <c r="AK21" s="366"/>
      <c r="AL21" s="366"/>
      <c r="AN21" s="152"/>
      <c r="AO21" s="148"/>
      <c r="AP21" s="366"/>
      <c r="AQ21" s="241"/>
      <c r="AR21" s="366"/>
      <c r="AT21" s="241"/>
    </row>
    <row r="22" spans="1:46" s="81" customFormat="1" ht="15" customHeight="1" x14ac:dyDescent="0.2">
      <c r="A22" s="979" t="s">
        <v>451</v>
      </c>
      <c r="B22" s="979" t="s">
        <v>181</v>
      </c>
      <c r="C22" s="995" t="s">
        <v>28</v>
      </c>
      <c r="D22" s="983" t="s">
        <v>29</v>
      </c>
      <c r="E22" s="373" t="s">
        <v>174</v>
      </c>
      <c r="F22" s="359">
        <f>VLOOKUP(E22,'условия, ФОТ'!$A$14:$I$28,9, FALSE)</f>
        <v>456.01</v>
      </c>
      <c r="G22" s="364">
        <v>0.49</v>
      </c>
      <c r="H22" s="985">
        <f>ROUND((F22*G22+F23*G23),2)</f>
        <v>383.3</v>
      </c>
      <c r="I22" s="985">
        <f>ROUND(H22*$I$5,2)</f>
        <v>115.76</v>
      </c>
      <c r="J22" s="985">
        <f>H22+I22</f>
        <v>499.06</v>
      </c>
      <c r="K22" s="995"/>
      <c r="L22" s="983"/>
      <c r="M22" s="983"/>
      <c r="N22" s="983"/>
      <c r="O22" s="985">
        <f>SUM(O24)</f>
        <v>18</v>
      </c>
      <c r="P22" s="985">
        <f>J22+O22</f>
        <v>517.05999999999995</v>
      </c>
      <c r="Q22" s="985">
        <f>ROUND(P22*$Q$5,2)</f>
        <v>400.72</v>
      </c>
      <c r="R22" s="1004">
        <f>ROUND(T22/1.2,2)</f>
        <v>458.33</v>
      </c>
      <c r="S22" s="1004">
        <f>ROUND(R22*$S$5,2)</f>
        <v>91.67</v>
      </c>
      <c r="T22" s="1004">
        <f>ROUND((P22+Q22)*(1+AC22)*1.2,0)</f>
        <v>550</v>
      </c>
      <c r="U22" s="794">
        <v>515</v>
      </c>
      <c r="V22" s="1010">
        <f>T22/U22*100-100</f>
        <v>6.7961165048543677</v>
      </c>
      <c r="W22" s="1011">
        <v>532</v>
      </c>
      <c r="X22" s="1002">
        <f t="shared" si="0"/>
        <v>3.383458646616532</v>
      </c>
      <c r="Y22" s="132">
        <v>532</v>
      </c>
      <c r="Z22" s="751">
        <v>1.034</v>
      </c>
      <c r="AA22" s="1013">
        <f>ROUND(W22*Z22,2)</f>
        <v>550.09</v>
      </c>
      <c r="AB22" s="1005">
        <f>ROUND((P22+Q22)*1.2,2)</f>
        <v>1101.3399999999999</v>
      </c>
      <c r="AC22" s="1006">
        <f>ROUND((AA22/AB22)*100%-100%,4)</f>
        <v>-0.50049999999999994</v>
      </c>
      <c r="AD22" s="751">
        <f t="shared" si="1"/>
        <v>-551.22066999999993</v>
      </c>
      <c r="AF22" s="81">
        <v>550.08799999999997</v>
      </c>
      <c r="AG22" s="751">
        <v>550</v>
      </c>
      <c r="AH22" s="1008">
        <f t="shared" si="2"/>
        <v>0</v>
      </c>
      <c r="AJ22" s="751">
        <v>0.1104</v>
      </c>
      <c r="AK22" s="751">
        <f t="shared" si="3"/>
        <v>0.1104</v>
      </c>
      <c r="AL22" s="751">
        <v>0</v>
      </c>
      <c r="AN22" s="879"/>
      <c r="AO22" s="148"/>
      <c r="AP22" s="751">
        <v>1.034</v>
      </c>
      <c r="AQ22" s="747">
        <v>0.1104</v>
      </c>
      <c r="AR22" s="751">
        <f t="shared" si="4"/>
        <v>0</v>
      </c>
      <c r="AT22" s="747">
        <f t="shared" si="5"/>
        <v>-0.6109</v>
      </c>
    </row>
    <row r="23" spans="1:46" s="81" customFormat="1" ht="15" customHeight="1" x14ac:dyDescent="0.2">
      <c r="A23" s="979"/>
      <c r="B23" s="979"/>
      <c r="C23" s="995"/>
      <c r="D23" s="983"/>
      <c r="E23" s="373" t="s">
        <v>169</v>
      </c>
      <c r="F23" s="359">
        <f>VLOOKUP(E23,'условия, ФОТ'!$A$14:$I$28,9, FALSE)</f>
        <v>326.24</v>
      </c>
      <c r="G23" s="364">
        <v>0.49</v>
      </c>
      <c r="H23" s="985"/>
      <c r="I23" s="985"/>
      <c r="J23" s="985"/>
      <c r="K23" s="995"/>
      <c r="L23" s="983"/>
      <c r="M23" s="983"/>
      <c r="N23" s="983"/>
      <c r="O23" s="985"/>
      <c r="P23" s="985"/>
      <c r="Q23" s="985"/>
      <c r="R23" s="1004"/>
      <c r="S23" s="1004"/>
      <c r="T23" s="1004">
        <f>ROUND((P23+Q23)*(1+$R$5)*1.18,0)</f>
        <v>0</v>
      </c>
      <c r="U23" s="1009"/>
      <c r="V23" s="1010"/>
      <c r="W23" s="1012"/>
      <c r="X23" s="1002"/>
      <c r="Y23" s="132"/>
      <c r="Z23" s="752"/>
      <c r="AA23" s="1014"/>
      <c r="AB23" s="1005"/>
      <c r="AC23" s="1007"/>
      <c r="AD23" s="752"/>
      <c r="AG23" s="752"/>
      <c r="AH23" s="1008"/>
      <c r="AJ23" s="752"/>
      <c r="AK23" s="752"/>
      <c r="AL23" s="752"/>
      <c r="AN23" s="880"/>
      <c r="AO23" s="148"/>
      <c r="AP23" s="752"/>
      <c r="AQ23" s="748"/>
      <c r="AR23" s="752"/>
      <c r="AT23" s="748"/>
    </row>
    <row r="24" spans="1:46" s="81" customFormat="1" ht="38.25" outlineLevel="1" x14ac:dyDescent="0.2">
      <c r="A24" s="361"/>
      <c r="B24" s="376"/>
      <c r="C24" s="363"/>
      <c r="D24" s="376"/>
      <c r="E24" s="376"/>
      <c r="F24" s="376"/>
      <c r="G24" s="376"/>
      <c r="H24" s="376"/>
      <c r="I24" s="376"/>
      <c r="J24" s="178" t="s">
        <v>385</v>
      </c>
      <c r="K24" s="184" t="s">
        <v>347</v>
      </c>
      <c r="L24" s="364" t="str">
        <f>VLOOKUP(K24,материалы!$A$5:$G$31,5, FALSE)</f>
        <v>кг</v>
      </c>
      <c r="M24" s="359">
        <f>VLOOKUP(K24,материалы!$A$5:$G$31,7, FALSE)</f>
        <v>300</v>
      </c>
      <c r="N24" s="364">
        <v>0.06</v>
      </c>
      <c r="O24" s="359">
        <f>ROUND(M24*N24,2)</f>
        <v>18</v>
      </c>
      <c r="P24" s="376"/>
      <c r="Q24" s="376"/>
      <c r="R24" s="180"/>
      <c r="S24" s="180"/>
      <c r="T24" s="180"/>
      <c r="U24" s="124"/>
      <c r="V24" s="125"/>
      <c r="W24" s="377"/>
      <c r="X24" s="367"/>
      <c r="Y24" s="132"/>
      <c r="Z24" s="356"/>
      <c r="AA24" s="366"/>
      <c r="AB24" s="158"/>
      <c r="AC24" s="170"/>
      <c r="AD24" s="366"/>
      <c r="AG24" s="366"/>
      <c r="AH24" s="358"/>
      <c r="AJ24" s="366"/>
      <c r="AK24" s="366"/>
      <c r="AL24" s="366"/>
      <c r="AN24" s="152"/>
      <c r="AO24" s="148"/>
      <c r="AP24" s="366"/>
      <c r="AQ24" s="241"/>
      <c r="AR24" s="366"/>
      <c r="AT24" s="241"/>
    </row>
    <row r="25" spans="1:46" s="81" customFormat="1" ht="23.25" customHeight="1" x14ac:dyDescent="0.2">
      <c r="A25" s="979" t="s">
        <v>452</v>
      </c>
      <c r="B25" s="979" t="s">
        <v>356</v>
      </c>
      <c r="C25" s="995" t="s">
        <v>357</v>
      </c>
      <c r="D25" s="985" t="s">
        <v>36</v>
      </c>
      <c r="E25" s="373" t="s">
        <v>174</v>
      </c>
      <c r="F25" s="359">
        <f>VLOOKUP(E25,'условия, ФОТ'!$A$14:$I$28,9, FALSE)</f>
        <v>456.01</v>
      </c>
      <c r="G25" s="359">
        <v>0.2</v>
      </c>
      <c r="H25" s="985">
        <f>ROUND((F25*G25+F26*G26),2)</f>
        <v>156.44999999999999</v>
      </c>
      <c r="I25" s="985">
        <f>ROUND(H25*$I$5,2)</f>
        <v>47.25</v>
      </c>
      <c r="J25" s="985">
        <f>H25+I25</f>
        <v>203.7</v>
      </c>
      <c r="K25" s="1015"/>
      <c r="L25" s="1016"/>
      <c r="M25" s="1016"/>
      <c r="N25" s="1016"/>
      <c r="O25" s="1016">
        <f>O27</f>
        <v>132.99</v>
      </c>
      <c r="P25" s="985">
        <f>J25+O25</f>
        <v>336.69</v>
      </c>
      <c r="Q25" s="985">
        <f>ROUND(P25*$Q$5,2)</f>
        <v>260.93</v>
      </c>
      <c r="R25" s="1004">
        <f>ROUND(T25/1.2,2)</f>
        <v>285</v>
      </c>
      <c r="S25" s="1004">
        <f>ROUND(R25*$S$5,2)</f>
        <v>57</v>
      </c>
      <c r="T25" s="1004">
        <f>ROUND((P25+Q25)*(1+AC25)*1.2,0)</f>
        <v>342</v>
      </c>
      <c r="U25" s="794">
        <v>321</v>
      </c>
      <c r="V25" s="1010">
        <f>T25/U25*100-100</f>
        <v>6.5420560747663501</v>
      </c>
      <c r="W25" s="1011">
        <v>331</v>
      </c>
      <c r="X25" s="1002">
        <f t="shared" si="0"/>
        <v>3.3232628398791633</v>
      </c>
      <c r="Y25" s="132">
        <v>331</v>
      </c>
      <c r="Z25" s="751">
        <v>1.034</v>
      </c>
      <c r="AA25" s="1003">
        <f>ROUND(W25*Z25,2)</f>
        <v>342.25</v>
      </c>
      <c r="AB25" s="1005">
        <f>ROUND((P25+Q25)*1.2,2)</f>
        <v>717.14</v>
      </c>
      <c r="AC25" s="1006">
        <f>ROUND((AA25/AB25)*100%-100%,4)</f>
        <v>-0.52280000000000004</v>
      </c>
      <c r="AD25" s="751">
        <f t="shared" si="1"/>
        <v>-374.92079200000001</v>
      </c>
      <c r="AF25" s="81">
        <v>342.25400000000002</v>
      </c>
      <c r="AG25" s="751">
        <v>342</v>
      </c>
      <c r="AH25" s="1008">
        <f t="shared" si="2"/>
        <v>0</v>
      </c>
      <c r="AJ25" s="751">
        <v>0.1615</v>
      </c>
      <c r="AK25" s="751">
        <f t="shared" si="3"/>
        <v>0.1615</v>
      </c>
      <c r="AL25" s="751">
        <v>0</v>
      </c>
      <c r="AN25" s="879"/>
      <c r="AO25" s="148"/>
      <c r="AP25" s="751">
        <v>1.034</v>
      </c>
      <c r="AQ25" s="747">
        <v>0.1615</v>
      </c>
      <c r="AR25" s="751">
        <f t="shared" si="4"/>
        <v>0</v>
      </c>
      <c r="AT25" s="747">
        <f t="shared" si="5"/>
        <v>-0.68430000000000002</v>
      </c>
    </row>
    <row r="26" spans="1:46" s="81" customFormat="1" ht="21.75" customHeight="1" x14ac:dyDescent="0.2">
      <c r="A26" s="979"/>
      <c r="B26" s="979"/>
      <c r="C26" s="995"/>
      <c r="D26" s="985"/>
      <c r="E26" s="373" t="s">
        <v>169</v>
      </c>
      <c r="F26" s="359">
        <f>VLOOKUP(E26,'условия, ФОТ'!$A$14:$I$28,9, FALSE)</f>
        <v>326.24</v>
      </c>
      <c r="G26" s="359">
        <v>0.2</v>
      </c>
      <c r="H26" s="985"/>
      <c r="I26" s="985"/>
      <c r="J26" s="985"/>
      <c r="K26" s="1015"/>
      <c r="L26" s="1016"/>
      <c r="M26" s="1016"/>
      <c r="N26" s="1016"/>
      <c r="O26" s="1016"/>
      <c r="P26" s="985"/>
      <c r="Q26" s="985"/>
      <c r="R26" s="1004"/>
      <c r="S26" s="1004"/>
      <c r="T26" s="1004">
        <f>ROUND((P26+Q26)*(1+$R$5)*1.18,0)</f>
        <v>0</v>
      </c>
      <c r="U26" s="1009"/>
      <c r="V26" s="1010"/>
      <c r="W26" s="1012"/>
      <c r="X26" s="1002"/>
      <c r="Y26" s="132"/>
      <c r="Z26" s="752"/>
      <c r="AA26" s="1003"/>
      <c r="AB26" s="1005"/>
      <c r="AC26" s="1007"/>
      <c r="AD26" s="752"/>
      <c r="AG26" s="752"/>
      <c r="AH26" s="1008"/>
      <c r="AJ26" s="752"/>
      <c r="AK26" s="752"/>
      <c r="AL26" s="752"/>
      <c r="AN26" s="880"/>
      <c r="AO26" s="148"/>
      <c r="AP26" s="752"/>
      <c r="AQ26" s="748"/>
      <c r="AR26" s="752"/>
      <c r="AT26" s="748"/>
    </row>
    <row r="27" spans="1:46" s="81" customFormat="1" ht="28.5" customHeight="1" outlineLevel="1" x14ac:dyDescent="0.2">
      <c r="A27" s="361"/>
      <c r="B27" s="361"/>
      <c r="C27" s="362"/>
      <c r="D27" s="359"/>
      <c r="E27" s="373"/>
      <c r="F27" s="359"/>
      <c r="G27" s="359"/>
      <c r="H27" s="359"/>
      <c r="I27" s="359"/>
      <c r="J27" s="178" t="s">
        <v>385</v>
      </c>
      <c r="K27" s="184" t="s">
        <v>388</v>
      </c>
      <c r="L27" s="364" t="str">
        <f>VLOOKUP(K27,материалы!$A$5:$G$31,5, FALSE)</f>
        <v>м</v>
      </c>
      <c r="M27" s="359">
        <f>VLOOKUP(K27,материалы!$A$5:$G$31,7, FALSE)</f>
        <v>132.99</v>
      </c>
      <c r="N27" s="364">
        <v>1</v>
      </c>
      <c r="O27" s="359">
        <f t="shared" ref="O27" si="8">ROUND(M27*N27,2)</f>
        <v>132.99</v>
      </c>
      <c r="P27" s="359"/>
      <c r="Q27" s="359"/>
      <c r="R27" s="369"/>
      <c r="S27" s="369"/>
      <c r="T27" s="369"/>
      <c r="U27" s="121"/>
      <c r="V27" s="126"/>
      <c r="W27" s="377"/>
      <c r="X27" s="367"/>
      <c r="Y27" s="132"/>
      <c r="Z27" s="356"/>
      <c r="AA27" s="366"/>
      <c r="AB27" s="158"/>
      <c r="AC27" s="170"/>
      <c r="AD27" s="366"/>
      <c r="AG27" s="366"/>
      <c r="AH27" s="358"/>
      <c r="AJ27" s="366"/>
      <c r="AK27" s="366"/>
      <c r="AL27" s="366"/>
      <c r="AN27" s="152"/>
      <c r="AO27" s="148"/>
      <c r="AP27" s="366"/>
      <c r="AQ27" s="241"/>
      <c r="AR27" s="366"/>
      <c r="AT27" s="241"/>
    </row>
    <row r="28" spans="1:46" s="81" customFormat="1" ht="31.7" customHeight="1" x14ac:dyDescent="0.2">
      <c r="A28" s="361" t="s">
        <v>453</v>
      </c>
      <c r="B28" s="361" t="s">
        <v>30</v>
      </c>
      <c r="C28" s="362" t="s">
        <v>427</v>
      </c>
      <c r="D28" s="373" t="s">
        <v>31</v>
      </c>
      <c r="E28" s="373" t="s">
        <v>169</v>
      </c>
      <c r="F28" s="359">
        <f>VLOOKUP(E28,'условия, ФОТ'!$A$14:$I$28,9, FALSE)</f>
        <v>326.24</v>
      </c>
      <c r="G28" s="364">
        <v>0.25</v>
      </c>
      <c r="H28" s="359">
        <f>ROUND(F28*G28,2)</f>
        <v>81.56</v>
      </c>
      <c r="I28" s="359">
        <f>ROUND(H28*$I$5,2)</f>
        <v>24.63</v>
      </c>
      <c r="J28" s="359">
        <f>H28+I28</f>
        <v>106.19</v>
      </c>
      <c r="K28" s="363"/>
      <c r="L28" s="359"/>
      <c r="M28" s="359"/>
      <c r="N28" s="359"/>
      <c r="O28" s="359">
        <f>O29</f>
        <v>35</v>
      </c>
      <c r="P28" s="359">
        <f>J28+O28</f>
        <v>141.19</v>
      </c>
      <c r="Q28" s="359">
        <f>ROUND(P28*$Q$5,2)</f>
        <v>109.42</v>
      </c>
      <c r="R28" s="369">
        <f>ROUND(T28/1.2,2)</f>
        <v>161.66999999999999</v>
      </c>
      <c r="S28" s="369">
        <f>ROUND(R28*$S$5,2)</f>
        <v>32.33</v>
      </c>
      <c r="T28" s="369">
        <f>ROUND((P28+Q28)*(1+AC28)*1.2,0)</f>
        <v>194</v>
      </c>
      <c r="U28" s="121">
        <v>182</v>
      </c>
      <c r="V28" s="371">
        <f>T28/U28*100-100</f>
        <v>6.5934065934065984</v>
      </c>
      <c r="W28" s="377">
        <v>188</v>
      </c>
      <c r="X28" s="367">
        <f t="shared" si="0"/>
        <v>3.1914893617021249</v>
      </c>
      <c r="Y28" s="132">
        <v>188</v>
      </c>
      <c r="Z28" s="356">
        <v>1.034</v>
      </c>
      <c r="AA28" s="152">
        <f>ROUND(W28*Z28,2)</f>
        <v>194.39</v>
      </c>
      <c r="AB28" s="157">
        <f>ROUND((P28+Q28)*1.2,2)</f>
        <v>300.73</v>
      </c>
      <c r="AC28" s="170">
        <f>ROUND((AA28/AB28)*100%-100%,4)</f>
        <v>-0.35360000000000003</v>
      </c>
      <c r="AD28" s="366">
        <f t="shared" si="1"/>
        <v>-106.33812800000001</v>
      </c>
      <c r="AF28" s="81">
        <v>194.392</v>
      </c>
      <c r="AG28" s="366">
        <v>194</v>
      </c>
      <c r="AH28" s="358">
        <f t="shared" si="2"/>
        <v>0</v>
      </c>
      <c r="AJ28" s="366">
        <v>8.1600000000000006E-2</v>
      </c>
      <c r="AK28" s="366">
        <f t="shared" si="3"/>
        <v>8.1600000000000006E-2</v>
      </c>
      <c r="AL28" s="366">
        <v>0</v>
      </c>
      <c r="AN28" s="152"/>
      <c r="AO28" s="148"/>
      <c r="AP28" s="366">
        <v>1.034</v>
      </c>
      <c r="AQ28" s="241">
        <v>8.1600000000000006E-2</v>
      </c>
      <c r="AR28" s="366">
        <f t="shared" si="4"/>
        <v>0</v>
      </c>
      <c r="AT28" s="241">
        <f t="shared" si="5"/>
        <v>-0.43520000000000003</v>
      </c>
    </row>
    <row r="29" spans="1:46" s="81" customFormat="1" ht="45" customHeight="1" outlineLevel="1" x14ac:dyDescent="0.2">
      <c r="A29" s="361"/>
      <c r="B29" s="361"/>
      <c r="C29" s="362"/>
      <c r="D29" s="373"/>
      <c r="E29" s="373"/>
      <c r="F29" s="359"/>
      <c r="G29" s="364"/>
      <c r="H29" s="359"/>
      <c r="I29" s="359"/>
      <c r="J29" s="359"/>
      <c r="K29" s="184" t="s">
        <v>426</v>
      </c>
      <c r="L29" s="364" t="str">
        <f>VLOOKUP(K29,материалы!$A$5:$G$31,5, FALSE)</f>
        <v>шт.</v>
      </c>
      <c r="M29" s="359">
        <f>VLOOKUP(K29,материалы!$A$5:$G$31,7, FALSE)</f>
        <v>35</v>
      </c>
      <c r="N29" s="364">
        <v>1</v>
      </c>
      <c r="O29" s="359">
        <f t="shared" ref="O29" si="9">ROUND(M29*N29,2)</f>
        <v>35</v>
      </c>
      <c r="P29" s="359"/>
      <c r="Q29" s="359"/>
      <c r="R29" s="369"/>
      <c r="S29" s="369"/>
      <c r="T29" s="369"/>
      <c r="U29" s="121"/>
      <c r="V29" s="371"/>
      <c r="W29" s="377"/>
      <c r="X29" s="367"/>
      <c r="Y29" s="132"/>
      <c r="Z29" s="356"/>
      <c r="AA29" s="366"/>
      <c r="AB29" s="158"/>
      <c r="AC29" s="170"/>
      <c r="AD29" s="366"/>
      <c r="AG29" s="366"/>
      <c r="AH29" s="358"/>
      <c r="AJ29" s="366"/>
      <c r="AK29" s="366"/>
      <c r="AL29" s="366"/>
      <c r="AN29" s="152"/>
      <c r="AO29" s="148"/>
      <c r="AP29" s="366"/>
      <c r="AQ29" s="241"/>
      <c r="AR29" s="366"/>
      <c r="AT29" s="241"/>
    </row>
    <row r="30" spans="1:46" s="81" customFormat="1" ht="40.700000000000003" customHeight="1" x14ac:dyDescent="0.2">
      <c r="A30" s="361" t="s">
        <v>454</v>
      </c>
      <c r="B30" s="361" t="s">
        <v>32</v>
      </c>
      <c r="C30" s="362" t="s">
        <v>33</v>
      </c>
      <c r="D30" s="373" t="s">
        <v>668</v>
      </c>
      <c r="E30" s="373" t="s">
        <v>168</v>
      </c>
      <c r="F30" s="359">
        <f>VLOOKUP(E30,'условия, ФОТ'!$A$14:$I$28,9, FALSE)</f>
        <v>282.83999999999997</v>
      </c>
      <c r="G30" s="364">
        <v>0.5</v>
      </c>
      <c r="H30" s="359">
        <f>ROUND(F30*G30,2)</f>
        <v>141.41999999999999</v>
      </c>
      <c r="I30" s="359">
        <f>ROUND(H30*$I$5,2)</f>
        <v>42.71</v>
      </c>
      <c r="J30" s="359">
        <f>H30+I30</f>
        <v>184.13</v>
      </c>
      <c r="K30" s="363"/>
      <c r="L30" s="359"/>
      <c r="M30" s="359"/>
      <c r="N30" s="359"/>
      <c r="O30" s="359"/>
      <c r="P30" s="359">
        <f>J30+O30</f>
        <v>184.13</v>
      </c>
      <c r="Q30" s="359">
        <f>ROUND(P30*$Q$5,2)</f>
        <v>142.69999999999999</v>
      </c>
      <c r="R30" s="369">
        <f>ROUND(T30/1.2,2)</f>
        <v>202.5</v>
      </c>
      <c r="S30" s="369">
        <f>ROUND(R30*$S$5,2)</f>
        <v>40.5</v>
      </c>
      <c r="T30" s="369">
        <f>ROUND((P30+Q30)*(1+AC30)*1.2,0)</f>
        <v>243</v>
      </c>
      <c r="U30" s="121">
        <v>186</v>
      </c>
      <c r="V30" s="122">
        <f>T30/U30*100-100</f>
        <v>30.645161290322562</v>
      </c>
      <c r="W30" s="377">
        <v>192</v>
      </c>
      <c r="X30" s="367">
        <f t="shared" si="0"/>
        <v>26.5625</v>
      </c>
      <c r="Y30" s="132">
        <v>192</v>
      </c>
      <c r="Z30" s="368">
        <v>1.264</v>
      </c>
      <c r="AA30" s="152">
        <f>ROUND(W30*Z30,2)</f>
        <v>242.69</v>
      </c>
      <c r="AB30" s="157">
        <f>ROUND((P30+Q30)*1.2,2)</f>
        <v>392.2</v>
      </c>
      <c r="AC30" s="170">
        <f>ROUND((AA30/AB30)*100%-100%,4)</f>
        <v>-0.38119999999999998</v>
      </c>
      <c r="AD30" s="366">
        <f t="shared" si="1"/>
        <v>-149.50663999999998</v>
      </c>
      <c r="AF30" s="81">
        <v>198.52800000000002</v>
      </c>
      <c r="AG30" s="366">
        <v>199</v>
      </c>
      <c r="AH30" s="358">
        <f t="shared" si="2"/>
        <v>44</v>
      </c>
      <c r="AJ30" s="366">
        <v>-0.14119999999999999</v>
      </c>
      <c r="AK30" s="366">
        <f t="shared" si="3"/>
        <v>1.1412</v>
      </c>
      <c r="AL30" s="366">
        <v>1.18</v>
      </c>
      <c r="AN30" s="152">
        <f t="shared" ref="AN30:AN68" si="10">ROUND(W30*AL30,2)</f>
        <v>226.56</v>
      </c>
      <c r="AO30" s="148"/>
      <c r="AP30" s="366">
        <v>1.034</v>
      </c>
      <c r="AQ30" s="241">
        <v>-0.14119999999999999</v>
      </c>
      <c r="AR30" s="366">
        <f t="shared" si="4"/>
        <v>0.22999999999999998</v>
      </c>
      <c r="AT30" s="241">
        <f t="shared" si="5"/>
        <v>-0.24</v>
      </c>
    </row>
    <row r="31" spans="1:46" s="81" customFormat="1" ht="39.75" customHeight="1" x14ac:dyDescent="0.2">
      <c r="A31" s="361" t="s">
        <v>455</v>
      </c>
      <c r="B31" s="361" t="s">
        <v>182</v>
      </c>
      <c r="C31" s="362" t="s">
        <v>589</v>
      </c>
      <c r="D31" s="359" t="s">
        <v>34</v>
      </c>
      <c r="E31" s="373" t="s">
        <v>169</v>
      </c>
      <c r="F31" s="359">
        <f>VLOOKUP(E31,'условия, ФОТ'!$A$14:$I$28,9, FALSE)</f>
        <v>326.24</v>
      </c>
      <c r="G31" s="364">
        <v>0.25</v>
      </c>
      <c r="H31" s="359">
        <f>ROUND(F31*G31,2)</f>
        <v>81.56</v>
      </c>
      <c r="I31" s="359">
        <f>ROUND(H31*$I$5,2)</f>
        <v>24.63</v>
      </c>
      <c r="J31" s="359">
        <f>H31+I31</f>
        <v>106.19</v>
      </c>
      <c r="K31" s="363"/>
      <c r="L31" s="359"/>
      <c r="M31" s="359"/>
      <c r="N31" s="359"/>
      <c r="O31" s="359">
        <f>SUM(O32:O34)</f>
        <v>5.6499999999999995</v>
      </c>
      <c r="P31" s="359">
        <f t="shared" ref="P31:P56" si="11">J31+O31</f>
        <v>111.84</v>
      </c>
      <c r="Q31" s="359">
        <f>ROUND(P31*$Q$5,2)</f>
        <v>86.68</v>
      </c>
      <c r="R31" s="369">
        <f>ROUND(T31/1.2,2)</f>
        <v>108.33</v>
      </c>
      <c r="S31" s="369">
        <f>ROUND(R31*$S$5,2)</f>
        <v>21.67</v>
      </c>
      <c r="T31" s="369">
        <f>ROUND((P31+Q31)*(1+AC31)*1.2,0)</f>
        <v>130</v>
      </c>
      <c r="U31" s="121">
        <v>115</v>
      </c>
      <c r="V31" s="122">
        <f t="shared" ref="V31:V35" si="12">T31/U31*100-100</f>
        <v>13.043478260869563</v>
      </c>
      <c r="W31" s="377">
        <v>119</v>
      </c>
      <c r="X31" s="367">
        <f t="shared" si="0"/>
        <v>9.2436974789915922</v>
      </c>
      <c r="Y31" s="132">
        <v>119</v>
      </c>
      <c r="Z31" s="368">
        <v>1.095</v>
      </c>
      <c r="AA31" s="152">
        <f>ROUND(W31*Z31,2)</f>
        <v>130.31</v>
      </c>
      <c r="AB31" s="157">
        <f>ROUND((P31+Q31)*1.2,2)</f>
        <v>238.22</v>
      </c>
      <c r="AC31" s="258">
        <f>ROUND((AA31/AB31)*100%-100%,4)</f>
        <v>-0.45300000000000001</v>
      </c>
      <c r="AD31" s="366">
        <f t="shared" si="1"/>
        <v>-107.91366000000001</v>
      </c>
      <c r="AF31" s="81">
        <v>123.04600000000001</v>
      </c>
      <c r="AG31" s="366">
        <v>123</v>
      </c>
      <c r="AH31" s="358">
        <f t="shared" si="2"/>
        <v>7</v>
      </c>
      <c r="AJ31" s="366">
        <v>-9.2999999999999992E-3</v>
      </c>
      <c r="AK31" s="366">
        <f t="shared" si="3"/>
        <v>1.0093000000000001</v>
      </c>
      <c r="AL31" s="366">
        <v>1.044</v>
      </c>
      <c r="AN31" s="152">
        <f t="shared" si="10"/>
        <v>124.24</v>
      </c>
      <c r="AO31" s="148"/>
      <c r="AP31" s="366">
        <v>1.034</v>
      </c>
      <c r="AQ31" s="241">
        <v>-9.2999999999999992E-3</v>
      </c>
      <c r="AR31" s="366">
        <f t="shared" si="4"/>
        <v>6.0999999999999943E-2</v>
      </c>
      <c r="AT31" s="241">
        <f t="shared" si="5"/>
        <v>-0.44370000000000004</v>
      </c>
    </row>
    <row r="32" spans="1:46" s="81" customFormat="1" ht="24.75" customHeight="1" outlineLevel="1" x14ac:dyDescent="0.2">
      <c r="A32" s="361"/>
      <c r="B32" s="361"/>
      <c r="C32" s="362"/>
      <c r="D32" s="359"/>
      <c r="E32" s="373"/>
      <c r="F32" s="359"/>
      <c r="G32" s="364"/>
      <c r="H32" s="359"/>
      <c r="I32" s="359"/>
      <c r="J32" s="178" t="s">
        <v>385</v>
      </c>
      <c r="K32" s="92" t="s">
        <v>341</v>
      </c>
      <c r="L32" s="364" t="str">
        <f>VLOOKUP(K32,материалы!$A$5:$G$31,5, FALSE)</f>
        <v>кг</v>
      </c>
      <c r="M32" s="359">
        <f>VLOOKUP(K32,материалы!$A$5:$G$31,7, FALSE)</f>
        <v>950</v>
      </c>
      <c r="N32" s="359">
        <v>5.0000000000000001E-3</v>
      </c>
      <c r="O32" s="359">
        <f>ROUND(M32*N32,2)</f>
        <v>4.75</v>
      </c>
      <c r="P32" s="359"/>
      <c r="Q32" s="359"/>
      <c r="R32" s="369"/>
      <c r="S32" s="369"/>
      <c r="T32" s="369"/>
      <c r="U32" s="121"/>
      <c r="V32" s="122"/>
      <c r="W32" s="377"/>
      <c r="X32" s="367"/>
      <c r="Y32" s="132"/>
      <c r="Z32" s="356"/>
      <c r="AA32" s="366"/>
      <c r="AB32" s="158"/>
      <c r="AC32" s="170"/>
      <c r="AD32" s="366"/>
      <c r="AG32" s="366"/>
      <c r="AH32" s="358"/>
      <c r="AJ32" s="366"/>
      <c r="AK32" s="366"/>
      <c r="AL32" s="366"/>
      <c r="AN32" s="152"/>
      <c r="AO32" s="148"/>
      <c r="AP32" s="366"/>
      <c r="AQ32" s="241"/>
      <c r="AR32" s="366"/>
      <c r="AT32" s="241"/>
    </row>
    <row r="33" spans="1:46" s="81" customFormat="1" ht="18" customHeight="1" outlineLevel="1" x14ac:dyDescent="0.2">
      <c r="A33" s="361"/>
      <c r="B33" s="361"/>
      <c r="C33" s="362"/>
      <c r="D33" s="359"/>
      <c r="E33" s="373"/>
      <c r="F33" s="359"/>
      <c r="G33" s="364"/>
      <c r="H33" s="359"/>
      <c r="I33" s="359"/>
      <c r="J33" s="359"/>
      <c r="K33" s="184" t="s">
        <v>335</v>
      </c>
      <c r="L33" s="364" t="str">
        <f>VLOOKUP(K33,материалы!$A$5:$G$31,5, FALSE)</f>
        <v>кг</v>
      </c>
      <c r="M33" s="359">
        <f>VLOOKUP(K33,материалы!$A$5:$G$31,7, FALSE)</f>
        <v>95</v>
      </c>
      <c r="N33" s="185">
        <v>1E-3</v>
      </c>
      <c r="O33" s="359">
        <f>ROUND(M33*N33,2)</f>
        <v>0.1</v>
      </c>
      <c r="P33" s="359"/>
      <c r="Q33" s="359"/>
      <c r="R33" s="369"/>
      <c r="S33" s="369"/>
      <c r="T33" s="369"/>
      <c r="U33" s="121"/>
      <c r="V33" s="122"/>
      <c r="W33" s="377"/>
      <c r="X33" s="367"/>
      <c r="Y33" s="132"/>
      <c r="Z33" s="356"/>
      <c r="AA33" s="366"/>
      <c r="AB33" s="158"/>
      <c r="AC33" s="170"/>
      <c r="AD33" s="366"/>
      <c r="AG33" s="366"/>
      <c r="AH33" s="358"/>
      <c r="AJ33" s="366"/>
      <c r="AK33" s="366"/>
      <c r="AL33" s="366"/>
      <c r="AN33" s="152"/>
      <c r="AO33" s="148"/>
      <c r="AP33" s="366"/>
      <c r="AQ33" s="241"/>
      <c r="AR33" s="366"/>
      <c r="AT33" s="241"/>
    </row>
    <row r="34" spans="1:46" s="81" customFormat="1" ht="17.25" customHeight="1" outlineLevel="1" x14ac:dyDescent="0.2">
      <c r="A34" s="361"/>
      <c r="B34" s="361"/>
      <c r="C34" s="362"/>
      <c r="D34" s="359"/>
      <c r="E34" s="373"/>
      <c r="F34" s="359"/>
      <c r="G34" s="364"/>
      <c r="H34" s="359"/>
      <c r="I34" s="359"/>
      <c r="J34" s="359"/>
      <c r="K34" s="184" t="s">
        <v>336</v>
      </c>
      <c r="L34" s="364" t="str">
        <f>VLOOKUP(K34,материалы!$A$5:$G$31,5, FALSE)</f>
        <v>кг</v>
      </c>
      <c r="M34" s="359">
        <f>VLOOKUP(K34,материалы!$A$5:$G$31,7, FALSE)</f>
        <v>80</v>
      </c>
      <c r="N34" s="364">
        <v>0.01</v>
      </c>
      <c r="O34" s="359">
        <f>ROUND(M34*N34,2)</f>
        <v>0.8</v>
      </c>
      <c r="P34" s="359"/>
      <c r="Q34" s="359"/>
      <c r="R34" s="369"/>
      <c r="S34" s="369"/>
      <c r="T34" s="369"/>
      <c r="U34" s="121"/>
      <c r="V34" s="122"/>
      <c r="W34" s="377"/>
      <c r="X34" s="367"/>
      <c r="Y34" s="132"/>
      <c r="Z34" s="356"/>
      <c r="AA34" s="366"/>
      <c r="AB34" s="158"/>
      <c r="AC34" s="170"/>
      <c r="AD34" s="366"/>
      <c r="AG34" s="366"/>
      <c r="AH34" s="358"/>
      <c r="AJ34" s="366"/>
      <c r="AK34" s="366"/>
      <c r="AL34" s="366"/>
      <c r="AN34" s="152"/>
      <c r="AO34" s="148"/>
      <c r="AP34" s="366"/>
      <c r="AQ34" s="241"/>
      <c r="AR34" s="366"/>
      <c r="AT34" s="241"/>
    </row>
    <row r="35" spans="1:46" s="81" customFormat="1" ht="57.75" customHeight="1" x14ac:dyDescent="0.2">
      <c r="A35" s="361" t="s">
        <v>456</v>
      </c>
      <c r="B35" s="361" t="s">
        <v>182</v>
      </c>
      <c r="C35" s="362" t="s">
        <v>590</v>
      </c>
      <c r="D35" s="359" t="s">
        <v>34</v>
      </c>
      <c r="E35" s="373" t="s">
        <v>169</v>
      </c>
      <c r="F35" s="359">
        <f>VLOOKUP(E35,'условия, ФОТ'!$A$14:$I$28,9, FALSE)</f>
        <v>326.24</v>
      </c>
      <c r="G35" s="364">
        <v>0.35</v>
      </c>
      <c r="H35" s="359">
        <f t="shared" ref="H35" si="13">ROUND(F35*G35,2)</f>
        <v>114.18</v>
      </c>
      <c r="I35" s="359">
        <f t="shared" ref="I35" si="14">ROUND(H35*$I$5,2)</f>
        <v>34.479999999999997</v>
      </c>
      <c r="J35" s="359">
        <f t="shared" ref="J35" si="15">H35+I35</f>
        <v>148.66</v>
      </c>
      <c r="K35" s="363"/>
      <c r="L35" s="359"/>
      <c r="M35" s="359"/>
      <c r="N35" s="359"/>
      <c r="O35" s="359">
        <f>SUM(O36:O38)</f>
        <v>5.6499999999999995</v>
      </c>
      <c r="P35" s="359">
        <f t="shared" si="11"/>
        <v>154.31</v>
      </c>
      <c r="Q35" s="359">
        <f t="shared" ref="Q35:Q234" si="16">ROUND(P35*$Q$5,2)</f>
        <v>119.59</v>
      </c>
      <c r="R35" s="369">
        <f>ROUND(T35/1.2,2)</f>
        <v>149.16999999999999</v>
      </c>
      <c r="S35" s="369">
        <f t="shared" ref="S35:S235" si="17">ROUND(R35*$S$5,2)</f>
        <v>29.83</v>
      </c>
      <c r="T35" s="369">
        <f>ROUND((P35+Q35)*(1+AC35)*1.2,0)</f>
        <v>179</v>
      </c>
      <c r="U35" s="121">
        <v>157</v>
      </c>
      <c r="V35" s="122">
        <f t="shared" si="12"/>
        <v>14.01273885350318</v>
      </c>
      <c r="W35" s="377">
        <v>162</v>
      </c>
      <c r="X35" s="367">
        <f t="shared" si="0"/>
        <v>10.493827160493822</v>
      </c>
      <c r="Y35" s="132">
        <v>162</v>
      </c>
      <c r="Z35" s="368">
        <v>1.1040000000000001</v>
      </c>
      <c r="AA35" s="152">
        <f>ROUND(W35*Z35,2)</f>
        <v>178.85</v>
      </c>
      <c r="AB35" s="157">
        <f>ROUND((P35+Q35)*1.2,2)</f>
        <v>328.68</v>
      </c>
      <c r="AC35" s="170">
        <f>ROUND((AA35/AB35)*100%-100%,4)</f>
        <v>-0.45590000000000003</v>
      </c>
      <c r="AD35" s="366">
        <f t="shared" si="1"/>
        <v>-149.845212</v>
      </c>
      <c r="AF35" s="81">
        <v>167.50800000000001</v>
      </c>
      <c r="AG35" s="366">
        <v>168</v>
      </c>
      <c r="AH35" s="358">
        <f t="shared" si="2"/>
        <v>11</v>
      </c>
      <c r="AJ35" s="366">
        <v>-1.7100000000000001E-2</v>
      </c>
      <c r="AK35" s="366">
        <f t="shared" si="3"/>
        <v>1.0170999999999999</v>
      </c>
      <c r="AL35" s="366">
        <v>1.052</v>
      </c>
      <c r="AN35" s="152">
        <f t="shared" si="10"/>
        <v>170.42</v>
      </c>
      <c r="AO35" s="148"/>
      <c r="AP35" s="366">
        <v>1.034</v>
      </c>
      <c r="AQ35" s="241">
        <v>-1.7100000000000001E-2</v>
      </c>
      <c r="AR35" s="366">
        <f t="shared" si="4"/>
        <v>7.0000000000000062E-2</v>
      </c>
      <c r="AT35" s="241">
        <f t="shared" si="5"/>
        <v>-0.43880000000000002</v>
      </c>
    </row>
    <row r="36" spans="1:46" s="81" customFormat="1" ht="24" customHeight="1" outlineLevel="1" x14ac:dyDescent="0.2">
      <c r="A36" s="361"/>
      <c r="B36" s="361"/>
      <c r="C36" s="362"/>
      <c r="D36" s="359"/>
      <c r="E36" s="373"/>
      <c r="F36" s="359"/>
      <c r="G36" s="364"/>
      <c r="H36" s="359"/>
      <c r="I36" s="359"/>
      <c r="J36" s="178" t="s">
        <v>385</v>
      </c>
      <c r="K36" s="92" t="s">
        <v>341</v>
      </c>
      <c r="L36" s="364" t="str">
        <f>VLOOKUP(K36,материалы!$A$5:$G$31,5, FALSE)</f>
        <v>кг</v>
      </c>
      <c r="M36" s="359">
        <f>VLOOKUP(K36,материалы!$A$5:$G$31,7, FALSE)</f>
        <v>950</v>
      </c>
      <c r="N36" s="359">
        <v>5.0000000000000001E-3</v>
      </c>
      <c r="O36" s="359">
        <f>ROUND(M36*N36,2)</f>
        <v>4.75</v>
      </c>
      <c r="P36" s="359"/>
      <c r="Q36" s="359"/>
      <c r="R36" s="369"/>
      <c r="S36" s="369"/>
      <c r="T36" s="369"/>
      <c r="U36" s="121"/>
      <c r="V36" s="122"/>
      <c r="W36" s="377"/>
      <c r="X36" s="367"/>
      <c r="Y36" s="132"/>
      <c r="Z36" s="356"/>
      <c r="AA36" s="366"/>
      <c r="AB36" s="158"/>
      <c r="AC36" s="170"/>
      <c r="AD36" s="366"/>
      <c r="AG36" s="366"/>
      <c r="AH36" s="358"/>
      <c r="AJ36" s="366"/>
      <c r="AK36" s="366"/>
      <c r="AL36" s="366"/>
      <c r="AN36" s="152"/>
      <c r="AO36" s="148"/>
      <c r="AP36" s="366"/>
      <c r="AQ36" s="241"/>
      <c r="AR36" s="366"/>
      <c r="AT36" s="241"/>
    </row>
    <row r="37" spans="1:46" s="81" customFormat="1" ht="15.75" customHeight="1" outlineLevel="1" x14ac:dyDescent="0.2">
      <c r="A37" s="361"/>
      <c r="B37" s="361"/>
      <c r="C37" s="362"/>
      <c r="D37" s="359"/>
      <c r="E37" s="373"/>
      <c r="F37" s="359"/>
      <c r="G37" s="364"/>
      <c r="H37" s="359"/>
      <c r="I37" s="359"/>
      <c r="J37" s="359"/>
      <c r="K37" s="184" t="s">
        <v>335</v>
      </c>
      <c r="L37" s="364" t="str">
        <f>VLOOKUP(K37,материалы!$A$5:$G$31,5, FALSE)</f>
        <v>кг</v>
      </c>
      <c r="M37" s="359">
        <f>VLOOKUP(K37,материалы!$A$5:$G$31,7, FALSE)</f>
        <v>95</v>
      </c>
      <c r="N37" s="185">
        <v>1E-3</v>
      </c>
      <c r="O37" s="359">
        <f t="shared" ref="O37:O38" si="18">ROUND(M37*N37,2)</f>
        <v>0.1</v>
      </c>
      <c r="P37" s="359"/>
      <c r="Q37" s="359"/>
      <c r="R37" s="369"/>
      <c r="S37" s="369"/>
      <c r="T37" s="369"/>
      <c r="U37" s="121"/>
      <c r="V37" s="122"/>
      <c r="W37" s="377"/>
      <c r="X37" s="367"/>
      <c r="Y37" s="132"/>
      <c r="Z37" s="356"/>
      <c r="AA37" s="366"/>
      <c r="AB37" s="158"/>
      <c r="AC37" s="170"/>
      <c r="AD37" s="366"/>
      <c r="AG37" s="366"/>
      <c r="AH37" s="358"/>
      <c r="AJ37" s="366"/>
      <c r="AK37" s="366"/>
      <c r="AL37" s="366"/>
      <c r="AN37" s="152"/>
      <c r="AO37" s="148"/>
      <c r="AP37" s="366"/>
      <c r="AQ37" s="241"/>
      <c r="AR37" s="366"/>
      <c r="AT37" s="241"/>
    </row>
    <row r="38" spans="1:46" s="81" customFormat="1" ht="18.95" customHeight="1" outlineLevel="1" x14ac:dyDescent="0.2">
      <c r="A38" s="361"/>
      <c r="B38" s="361"/>
      <c r="C38" s="362"/>
      <c r="D38" s="359"/>
      <c r="E38" s="373"/>
      <c r="F38" s="359"/>
      <c r="G38" s="364"/>
      <c r="H38" s="359"/>
      <c r="I38" s="359"/>
      <c r="J38" s="359"/>
      <c r="K38" s="184" t="s">
        <v>336</v>
      </c>
      <c r="L38" s="364" t="str">
        <f>VLOOKUP(K38,материалы!$A$5:$G$31,5, FALSE)</f>
        <v>кг</v>
      </c>
      <c r="M38" s="359">
        <f>VLOOKUP(K38,материалы!$A$5:$G$31,7, FALSE)</f>
        <v>80</v>
      </c>
      <c r="N38" s="364">
        <v>0.01</v>
      </c>
      <c r="O38" s="359">
        <f t="shared" si="18"/>
        <v>0.8</v>
      </c>
      <c r="P38" s="359"/>
      <c r="Q38" s="359"/>
      <c r="R38" s="369"/>
      <c r="S38" s="369"/>
      <c r="T38" s="369"/>
      <c r="U38" s="121"/>
      <c r="V38" s="122"/>
      <c r="W38" s="377"/>
      <c r="X38" s="367"/>
      <c r="Y38" s="132"/>
      <c r="Z38" s="356"/>
      <c r="AA38" s="366"/>
      <c r="AB38" s="158"/>
      <c r="AC38" s="170"/>
      <c r="AD38" s="366"/>
      <c r="AG38" s="366"/>
      <c r="AH38" s="358"/>
      <c r="AJ38" s="366"/>
      <c r="AK38" s="366"/>
      <c r="AL38" s="366"/>
      <c r="AN38" s="152"/>
      <c r="AO38" s="148"/>
      <c r="AP38" s="366"/>
      <c r="AQ38" s="241"/>
      <c r="AR38" s="366"/>
      <c r="AT38" s="241"/>
    </row>
    <row r="39" spans="1:46" s="81" customFormat="1" ht="31.7" customHeight="1" x14ac:dyDescent="0.2">
      <c r="A39" s="361" t="s">
        <v>457</v>
      </c>
      <c r="B39" s="995" t="s">
        <v>365</v>
      </c>
      <c r="C39" s="995"/>
      <c r="D39" s="359"/>
      <c r="E39" s="373"/>
      <c r="F39" s="359"/>
      <c r="G39" s="364"/>
      <c r="H39" s="359"/>
      <c r="I39" s="359"/>
      <c r="J39" s="359"/>
      <c r="K39" s="363"/>
      <c r="L39" s="359"/>
      <c r="M39" s="359"/>
      <c r="N39" s="359"/>
      <c r="O39" s="359"/>
      <c r="P39" s="359"/>
      <c r="Q39" s="359"/>
      <c r="R39" s="369"/>
      <c r="S39" s="369"/>
      <c r="T39" s="369"/>
      <c r="U39" s="121"/>
      <c r="V39" s="122"/>
      <c r="W39" s="377"/>
      <c r="X39" s="367"/>
      <c r="Y39" s="132"/>
      <c r="Z39" s="356"/>
      <c r="AA39" s="366"/>
      <c r="AB39" s="158"/>
      <c r="AC39" s="170"/>
      <c r="AD39" s="366"/>
      <c r="AG39" s="366"/>
      <c r="AH39" s="358"/>
      <c r="AJ39" s="366"/>
      <c r="AK39" s="366"/>
      <c r="AL39" s="366"/>
      <c r="AN39" s="152"/>
      <c r="AO39" s="148"/>
      <c r="AP39" s="366"/>
      <c r="AQ39" s="241"/>
      <c r="AR39" s="366"/>
      <c r="AT39" s="241"/>
    </row>
    <row r="40" spans="1:46" s="81" customFormat="1" ht="23.25" customHeight="1" x14ac:dyDescent="0.2">
      <c r="A40" s="979" t="s">
        <v>363</v>
      </c>
      <c r="B40" s="979" t="s">
        <v>356</v>
      </c>
      <c r="C40" s="995" t="s">
        <v>357</v>
      </c>
      <c r="D40" s="985" t="s">
        <v>36</v>
      </c>
      <c r="E40" s="373" t="s">
        <v>174</v>
      </c>
      <c r="F40" s="359">
        <f>VLOOKUP(E40,'условия, ФОТ'!$A$14:$I$28,9, FALSE)</f>
        <v>456.01</v>
      </c>
      <c r="G40" s="359">
        <v>0.2</v>
      </c>
      <c r="H40" s="985">
        <f>ROUND(F40*G40+F41*G41,2)</f>
        <v>156.44999999999999</v>
      </c>
      <c r="I40" s="985">
        <f>ROUND(H40*$I$5,2)</f>
        <v>47.25</v>
      </c>
      <c r="J40" s="985">
        <f>H40+I40</f>
        <v>203.7</v>
      </c>
      <c r="K40" s="986"/>
      <c r="L40" s="985"/>
      <c r="M40" s="985"/>
      <c r="N40" s="985"/>
      <c r="O40" s="985">
        <f>O42</f>
        <v>132.99</v>
      </c>
      <c r="P40" s="985">
        <f>J40+O40</f>
        <v>336.69</v>
      </c>
      <c r="Q40" s="985">
        <f>ROUND(P40*$Q$5,2)</f>
        <v>260.93</v>
      </c>
      <c r="R40" s="1004">
        <f>ROUND(T40/1.2,2)</f>
        <v>285</v>
      </c>
      <c r="S40" s="1004">
        <f>ROUND(R40*$S$5,2)</f>
        <v>57</v>
      </c>
      <c r="T40" s="1004">
        <f>ROUND((P40+Q40)*(1+AC40)*1.2,0)</f>
        <v>342</v>
      </c>
      <c r="U40" s="794">
        <v>321</v>
      </c>
      <c r="V40" s="122">
        <f>T40/U40*100-100</f>
        <v>6.5420560747663501</v>
      </c>
      <c r="W40" s="1001">
        <v>331</v>
      </c>
      <c r="X40" s="1002">
        <f t="shared" si="0"/>
        <v>3.3232628398791633</v>
      </c>
      <c r="Y40" s="132">
        <v>331</v>
      </c>
      <c r="Z40" s="751">
        <v>1.034</v>
      </c>
      <c r="AA40" s="1003">
        <f>ROUND(W40*Z40,2)</f>
        <v>342.25</v>
      </c>
      <c r="AB40" s="1005">
        <f>ROUND((P40+Q40)*1.2,2)</f>
        <v>717.14</v>
      </c>
      <c r="AC40" s="1006">
        <f>ROUND((AA40/AB40)*100%-100%,4)</f>
        <v>-0.52280000000000004</v>
      </c>
      <c r="AD40" s="751">
        <f t="shared" si="1"/>
        <v>-374.92079200000001</v>
      </c>
      <c r="AF40" s="81">
        <v>342.25400000000002</v>
      </c>
      <c r="AG40" s="751">
        <v>342</v>
      </c>
      <c r="AH40" s="1008">
        <f t="shared" si="2"/>
        <v>0</v>
      </c>
      <c r="AJ40" s="751">
        <v>0.1615</v>
      </c>
      <c r="AK40" s="751">
        <f t="shared" si="3"/>
        <v>0.1615</v>
      </c>
      <c r="AL40" s="751">
        <v>0</v>
      </c>
      <c r="AN40" s="879"/>
      <c r="AO40" s="148"/>
      <c r="AP40" s="751">
        <v>1.034</v>
      </c>
      <c r="AQ40" s="747">
        <v>0.1615</v>
      </c>
      <c r="AR40" s="751">
        <f t="shared" si="4"/>
        <v>0</v>
      </c>
      <c r="AT40" s="747">
        <f t="shared" si="5"/>
        <v>-0.68430000000000002</v>
      </c>
    </row>
    <row r="41" spans="1:46" s="81" customFormat="1" ht="18" customHeight="1" x14ac:dyDescent="0.2">
      <c r="A41" s="979"/>
      <c r="B41" s="979"/>
      <c r="C41" s="995"/>
      <c r="D41" s="985"/>
      <c r="E41" s="373" t="s">
        <v>169</v>
      </c>
      <c r="F41" s="359">
        <f>VLOOKUP(E41,'условия, ФОТ'!$A$14:$I$28,9, FALSE)</f>
        <v>326.24</v>
      </c>
      <c r="G41" s="359">
        <v>0.2</v>
      </c>
      <c r="H41" s="985"/>
      <c r="I41" s="985"/>
      <c r="J41" s="985"/>
      <c r="K41" s="986"/>
      <c r="L41" s="985"/>
      <c r="M41" s="985"/>
      <c r="N41" s="985"/>
      <c r="O41" s="985"/>
      <c r="P41" s="985"/>
      <c r="Q41" s="985"/>
      <c r="R41" s="1004"/>
      <c r="S41" s="1004"/>
      <c r="T41" s="1004">
        <f>ROUND((P41+Q41)*(1+$R$5)*1.18,0)</f>
        <v>0</v>
      </c>
      <c r="U41" s="1009"/>
      <c r="V41" s="122"/>
      <c r="W41" s="1001"/>
      <c r="X41" s="1002"/>
      <c r="Y41" s="132"/>
      <c r="Z41" s="752"/>
      <c r="AA41" s="1003"/>
      <c r="AB41" s="1005"/>
      <c r="AC41" s="1007"/>
      <c r="AD41" s="752"/>
      <c r="AG41" s="752"/>
      <c r="AH41" s="1008"/>
      <c r="AJ41" s="752"/>
      <c r="AK41" s="752"/>
      <c r="AL41" s="752"/>
      <c r="AN41" s="880"/>
      <c r="AO41" s="148"/>
      <c r="AP41" s="752"/>
      <c r="AQ41" s="748"/>
      <c r="AR41" s="752"/>
      <c r="AT41" s="748"/>
    </row>
    <row r="42" spans="1:46" s="81" customFormat="1" ht="24.75" customHeight="1" outlineLevel="1" x14ac:dyDescent="0.2">
      <c r="A42" s="979"/>
      <c r="B42" s="361"/>
      <c r="C42" s="362"/>
      <c r="D42" s="359"/>
      <c r="E42" s="373"/>
      <c r="F42" s="359"/>
      <c r="G42" s="359"/>
      <c r="H42" s="359"/>
      <c r="I42" s="359"/>
      <c r="J42" s="178" t="s">
        <v>385</v>
      </c>
      <c r="K42" s="184" t="s">
        <v>388</v>
      </c>
      <c r="L42" s="364" t="str">
        <f>VLOOKUP(K42,материалы!$A$5:$G$31,5, FALSE)</f>
        <v>м</v>
      </c>
      <c r="M42" s="359">
        <f>VLOOKUP(K42,материалы!$A$5:$G$31,7, FALSE)</f>
        <v>132.99</v>
      </c>
      <c r="N42" s="364">
        <v>1</v>
      </c>
      <c r="O42" s="359">
        <f t="shared" ref="O42" si="19">ROUND(M42*N42,2)</f>
        <v>132.99</v>
      </c>
      <c r="P42" s="359"/>
      <c r="Q42" s="359"/>
      <c r="R42" s="369"/>
      <c r="S42" s="369"/>
      <c r="T42" s="369"/>
      <c r="U42" s="121"/>
      <c r="V42" s="122"/>
      <c r="W42" s="377"/>
      <c r="X42" s="367"/>
      <c r="Y42" s="132"/>
      <c r="Z42" s="356"/>
      <c r="AA42" s="366"/>
      <c r="AB42" s="158"/>
      <c r="AC42" s="170"/>
      <c r="AD42" s="366"/>
      <c r="AG42" s="366"/>
      <c r="AH42" s="358"/>
      <c r="AJ42" s="366"/>
      <c r="AK42" s="366"/>
      <c r="AL42" s="366"/>
      <c r="AN42" s="152"/>
      <c r="AO42" s="148"/>
      <c r="AP42" s="366"/>
      <c r="AQ42" s="241"/>
      <c r="AR42" s="366"/>
      <c r="AT42" s="241"/>
    </row>
    <row r="43" spans="1:46" s="81" customFormat="1" ht="24" customHeight="1" x14ac:dyDescent="0.2">
      <c r="A43" s="979"/>
      <c r="B43" s="979" t="s">
        <v>180</v>
      </c>
      <c r="C43" s="995" t="s">
        <v>23</v>
      </c>
      <c r="D43" s="983" t="s">
        <v>24</v>
      </c>
      <c r="E43" s="373" t="s">
        <v>174</v>
      </c>
      <c r="F43" s="359">
        <f>VLOOKUP(E43,'условия, ФОТ'!$A$14:$I$28,9, FALSE)</f>
        <v>456.01</v>
      </c>
      <c r="G43" s="364">
        <v>0.68</v>
      </c>
      <c r="H43" s="985">
        <f>ROUND(F43*G43+F44*G44,2)</f>
        <v>531.92999999999995</v>
      </c>
      <c r="I43" s="985">
        <f>ROUND(H43*$I$5,2)</f>
        <v>160.63999999999999</v>
      </c>
      <c r="J43" s="985">
        <f>H43+I43</f>
        <v>692.56999999999994</v>
      </c>
      <c r="K43" s="986"/>
      <c r="L43" s="985"/>
      <c r="M43" s="985"/>
      <c r="N43" s="985"/>
      <c r="O43" s="985">
        <f>SUM(O45:O51)</f>
        <v>185.07000000000002</v>
      </c>
      <c r="P43" s="985">
        <f>J43+O43</f>
        <v>877.64</v>
      </c>
      <c r="Q43" s="985">
        <f>ROUND(P43*$Q$5,2)</f>
        <v>680.17</v>
      </c>
      <c r="R43" s="1004">
        <f>ROUND(T43/1.2,2)</f>
        <v>806.67</v>
      </c>
      <c r="S43" s="1004">
        <f t="shared" ref="S43:S44" si="20">ROUND(R43*$S$5,2)</f>
        <v>161.33000000000001</v>
      </c>
      <c r="T43" s="1004">
        <f>ROUND((P43+Q43)*(1+AC43)*1.2,0)</f>
        <v>968</v>
      </c>
      <c r="U43" s="794">
        <v>907</v>
      </c>
      <c r="V43" s="1017">
        <f t="shared" ref="V43:V44" si="21">T43/U43*100-100</f>
        <v>6.7254685777287762</v>
      </c>
      <c r="W43" s="1001">
        <v>936</v>
      </c>
      <c r="X43" s="1002">
        <f t="shared" si="0"/>
        <v>3.4188034188034351</v>
      </c>
      <c r="Y43" s="132">
        <v>936</v>
      </c>
      <c r="Z43" s="751">
        <v>1.034</v>
      </c>
      <c r="AA43" s="1003">
        <f>ROUND(W43*Z43,2)</f>
        <v>967.82</v>
      </c>
      <c r="AB43" s="1005">
        <f>ROUND((P43+Q43)*1.2,2)</f>
        <v>1869.37</v>
      </c>
      <c r="AC43" s="1006">
        <f>ROUND((AA43/AB43)*100%-100%,4)</f>
        <v>-0.48230000000000001</v>
      </c>
      <c r="AD43" s="751">
        <f t="shared" si="1"/>
        <v>-901.59715099999994</v>
      </c>
      <c r="AF43" s="81">
        <v>967.82400000000007</v>
      </c>
      <c r="AG43" s="751">
        <v>968</v>
      </c>
      <c r="AH43" s="1008">
        <f t="shared" si="2"/>
        <v>0</v>
      </c>
      <c r="AJ43" s="751">
        <v>0.1414</v>
      </c>
      <c r="AK43" s="751">
        <f t="shared" si="3"/>
        <v>0.1414</v>
      </c>
      <c r="AL43" s="751">
        <v>0</v>
      </c>
      <c r="AN43" s="879"/>
      <c r="AO43" s="148"/>
      <c r="AP43" s="751">
        <v>1.034</v>
      </c>
      <c r="AQ43" s="747">
        <v>0.1414</v>
      </c>
      <c r="AR43" s="751">
        <f t="shared" si="4"/>
        <v>0</v>
      </c>
      <c r="AT43" s="747">
        <f t="shared" si="5"/>
        <v>-0.62370000000000003</v>
      </c>
    </row>
    <row r="44" spans="1:46" s="81" customFormat="1" ht="16.5" customHeight="1" x14ac:dyDescent="0.2">
      <c r="A44" s="979"/>
      <c r="B44" s="979"/>
      <c r="C44" s="995"/>
      <c r="D44" s="983"/>
      <c r="E44" s="373" t="s">
        <v>169</v>
      </c>
      <c r="F44" s="359">
        <f>VLOOKUP(E44,'условия, ФОТ'!$A$14:$I$28,9, FALSE)</f>
        <v>326.24</v>
      </c>
      <c r="G44" s="364">
        <v>0.68</v>
      </c>
      <c r="H44" s="985"/>
      <c r="I44" s="985"/>
      <c r="J44" s="985"/>
      <c r="K44" s="986"/>
      <c r="L44" s="985"/>
      <c r="M44" s="985"/>
      <c r="N44" s="985"/>
      <c r="O44" s="985"/>
      <c r="P44" s="985"/>
      <c r="Q44" s="985"/>
      <c r="R44" s="1004">
        <f t="shared" ref="R44" si="22">ROUND(T44/1.18,2)</f>
        <v>0</v>
      </c>
      <c r="S44" s="1004">
        <f t="shared" si="20"/>
        <v>0</v>
      </c>
      <c r="T44" s="1004">
        <f>ROUND((P44+Q44)*(1+$R$5)*1.18,0)</f>
        <v>0</v>
      </c>
      <c r="U44" s="1009"/>
      <c r="V44" s="1017" t="e">
        <f t="shared" si="21"/>
        <v>#DIV/0!</v>
      </c>
      <c r="W44" s="1001"/>
      <c r="X44" s="1002"/>
      <c r="Y44" s="132">
        <v>0</v>
      </c>
      <c r="Z44" s="752"/>
      <c r="AA44" s="1003"/>
      <c r="AB44" s="1005"/>
      <c r="AC44" s="1007"/>
      <c r="AD44" s="752"/>
      <c r="AG44" s="752"/>
      <c r="AH44" s="1008"/>
      <c r="AJ44" s="752"/>
      <c r="AK44" s="752"/>
      <c r="AL44" s="752"/>
      <c r="AN44" s="880"/>
      <c r="AO44" s="148"/>
      <c r="AP44" s="752"/>
      <c r="AQ44" s="748"/>
      <c r="AR44" s="752"/>
      <c r="AT44" s="748"/>
    </row>
    <row r="45" spans="1:46" s="81" customFormat="1" ht="16.5" customHeight="1" outlineLevel="1" x14ac:dyDescent="0.2">
      <c r="A45" s="979"/>
      <c r="B45" s="361"/>
      <c r="C45" s="362"/>
      <c r="D45" s="373"/>
      <c r="E45" s="373"/>
      <c r="F45" s="359"/>
      <c r="G45" s="364"/>
      <c r="H45" s="359"/>
      <c r="I45" s="359"/>
      <c r="J45" s="178" t="s">
        <v>385</v>
      </c>
      <c r="K45" s="184" t="s">
        <v>329</v>
      </c>
      <c r="L45" s="364" t="str">
        <f>VLOOKUP(K45,материалы!$A$5:$G$31,5, FALSE)</f>
        <v>м3</v>
      </c>
      <c r="M45" s="359">
        <f>VLOOKUP(K45,материалы!$A$5:$G$31,7, FALSE)</f>
        <v>1033.33</v>
      </c>
      <c r="N45" s="364">
        <v>8.7499999999999994E-2</v>
      </c>
      <c r="O45" s="359">
        <f>ROUND(M45*N45,2)</f>
        <v>90.42</v>
      </c>
      <c r="P45" s="359"/>
      <c r="Q45" s="359"/>
      <c r="R45" s="369"/>
      <c r="S45" s="369"/>
      <c r="T45" s="369"/>
      <c r="U45" s="121"/>
      <c r="V45" s="122"/>
      <c r="W45" s="377"/>
      <c r="X45" s="367"/>
      <c r="Y45" s="132"/>
      <c r="Z45" s="356"/>
      <c r="AA45" s="366"/>
      <c r="AB45" s="158"/>
      <c r="AC45" s="170"/>
      <c r="AD45" s="366"/>
      <c r="AG45" s="366"/>
      <c r="AH45" s="358"/>
      <c r="AJ45" s="366"/>
      <c r="AK45" s="366"/>
      <c r="AL45" s="366"/>
      <c r="AN45" s="152"/>
      <c r="AO45" s="148"/>
      <c r="AP45" s="366"/>
      <c r="AQ45" s="241"/>
      <c r="AR45" s="366"/>
      <c r="AT45" s="241"/>
    </row>
    <row r="46" spans="1:46" s="81" customFormat="1" ht="18.95" customHeight="1" outlineLevel="1" x14ac:dyDescent="0.2">
      <c r="A46" s="979"/>
      <c r="B46" s="361"/>
      <c r="C46" s="362"/>
      <c r="D46" s="373"/>
      <c r="E46" s="373"/>
      <c r="F46" s="359"/>
      <c r="G46" s="364"/>
      <c r="H46" s="359"/>
      <c r="I46" s="359"/>
      <c r="J46" s="359"/>
      <c r="K46" s="184" t="s">
        <v>330</v>
      </c>
      <c r="L46" s="364" t="str">
        <f>VLOOKUP(K46,материалы!$A$5:$G$31,5, FALSE)</f>
        <v>м3</v>
      </c>
      <c r="M46" s="359">
        <f>VLOOKUP(K46,материалы!$A$5:$G$31,7, FALSE)</f>
        <v>116.67</v>
      </c>
      <c r="N46" s="359">
        <v>0.15</v>
      </c>
      <c r="O46" s="359">
        <f t="shared" ref="O46:O51" si="23">ROUND(M46*N46,2)</f>
        <v>17.5</v>
      </c>
      <c r="P46" s="359"/>
      <c r="Q46" s="359"/>
      <c r="R46" s="369"/>
      <c r="S46" s="369"/>
      <c r="T46" s="369"/>
      <c r="U46" s="121"/>
      <c r="V46" s="122"/>
      <c r="W46" s="377"/>
      <c r="X46" s="367"/>
      <c r="Y46" s="132"/>
      <c r="Z46" s="356"/>
      <c r="AA46" s="366"/>
      <c r="AB46" s="158"/>
      <c r="AC46" s="170"/>
      <c r="AD46" s="366"/>
      <c r="AG46" s="366"/>
      <c r="AH46" s="358"/>
      <c r="AJ46" s="366"/>
      <c r="AK46" s="366"/>
      <c r="AL46" s="366"/>
      <c r="AN46" s="152"/>
      <c r="AO46" s="148"/>
      <c r="AP46" s="366"/>
      <c r="AQ46" s="241"/>
      <c r="AR46" s="366"/>
      <c r="AT46" s="241"/>
    </row>
    <row r="47" spans="1:46" s="81" customFormat="1" ht="22.7" customHeight="1" outlineLevel="1" x14ac:dyDescent="0.2">
      <c r="A47" s="979"/>
      <c r="B47" s="361"/>
      <c r="C47" s="362"/>
      <c r="D47" s="373"/>
      <c r="E47" s="373"/>
      <c r="F47" s="359"/>
      <c r="G47" s="364"/>
      <c r="H47" s="359"/>
      <c r="I47" s="359"/>
      <c r="J47" s="359"/>
      <c r="K47" s="184" t="s">
        <v>347</v>
      </c>
      <c r="L47" s="364" t="str">
        <f>VLOOKUP(K47,материалы!$A$5:$G$31,5, FALSE)</f>
        <v>кг</v>
      </c>
      <c r="M47" s="359">
        <f>VLOOKUP(K47,материалы!$A$5:$G$31,7, FALSE)</f>
        <v>300</v>
      </c>
      <c r="N47" s="359">
        <v>0.1</v>
      </c>
      <c r="O47" s="359">
        <f t="shared" si="23"/>
        <v>30</v>
      </c>
      <c r="P47" s="359"/>
      <c r="Q47" s="359"/>
      <c r="R47" s="369"/>
      <c r="S47" s="369"/>
      <c r="T47" s="369"/>
      <c r="U47" s="121"/>
      <c r="V47" s="122"/>
      <c r="W47" s="377"/>
      <c r="X47" s="367"/>
      <c r="Y47" s="132"/>
      <c r="Z47" s="356"/>
      <c r="AA47" s="366"/>
      <c r="AB47" s="158"/>
      <c r="AC47" s="170"/>
      <c r="AD47" s="366"/>
      <c r="AG47" s="366"/>
      <c r="AH47" s="358"/>
      <c r="AJ47" s="366"/>
      <c r="AK47" s="366"/>
      <c r="AL47" s="366"/>
      <c r="AN47" s="152"/>
      <c r="AO47" s="148"/>
      <c r="AP47" s="366"/>
      <c r="AQ47" s="241"/>
      <c r="AR47" s="366"/>
      <c r="AT47" s="241"/>
    </row>
    <row r="48" spans="1:46" s="81" customFormat="1" ht="30.75" customHeight="1" outlineLevel="1" x14ac:dyDescent="0.2">
      <c r="A48" s="979"/>
      <c r="B48" s="361"/>
      <c r="C48" s="362"/>
      <c r="D48" s="373"/>
      <c r="E48" s="373"/>
      <c r="F48" s="359"/>
      <c r="G48" s="364"/>
      <c r="H48" s="359"/>
      <c r="I48" s="359"/>
      <c r="J48" s="359"/>
      <c r="K48" s="184" t="s">
        <v>358</v>
      </c>
      <c r="L48" s="364" t="str">
        <f>VLOOKUP(K48,материалы!$A$5:$G$31,5, FALSE)</f>
        <v>шт.</v>
      </c>
      <c r="M48" s="359">
        <f>VLOOKUP(K48,материалы!$A$5:$G$31,7, FALSE)</f>
        <v>35</v>
      </c>
      <c r="N48" s="359">
        <v>1</v>
      </c>
      <c r="O48" s="359">
        <f t="shared" si="23"/>
        <v>35</v>
      </c>
      <c r="P48" s="359"/>
      <c r="Q48" s="359"/>
      <c r="R48" s="369"/>
      <c r="S48" s="369"/>
      <c r="T48" s="369"/>
      <c r="U48" s="121"/>
      <c r="V48" s="122"/>
      <c r="W48" s="377"/>
      <c r="X48" s="367"/>
      <c r="Y48" s="132"/>
      <c r="Z48" s="356"/>
      <c r="AA48" s="366"/>
      <c r="AB48" s="158"/>
      <c r="AC48" s="170"/>
      <c r="AD48" s="366"/>
      <c r="AG48" s="366"/>
      <c r="AH48" s="358"/>
      <c r="AJ48" s="366"/>
      <c r="AK48" s="366"/>
      <c r="AL48" s="366"/>
      <c r="AN48" s="152"/>
      <c r="AO48" s="148"/>
      <c r="AP48" s="366"/>
      <c r="AQ48" s="241"/>
      <c r="AR48" s="366"/>
      <c r="AT48" s="241"/>
    </row>
    <row r="49" spans="1:46" s="81" customFormat="1" ht="24" customHeight="1" outlineLevel="1" x14ac:dyDescent="0.2">
      <c r="A49" s="979"/>
      <c r="B49" s="361"/>
      <c r="C49" s="362"/>
      <c r="D49" s="373"/>
      <c r="E49" s="373"/>
      <c r="F49" s="359"/>
      <c r="G49" s="364"/>
      <c r="H49" s="359"/>
      <c r="I49" s="359"/>
      <c r="J49" s="359"/>
      <c r="K49" s="184" t="s">
        <v>348</v>
      </c>
      <c r="L49" s="364" t="str">
        <f>VLOOKUP(K49,материалы!$A$5:$G$31,5, FALSE)</f>
        <v>шт.</v>
      </c>
      <c r="M49" s="359">
        <f>VLOOKUP(K49,материалы!$A$5:$G$31,7, FALSE)</f>
        <v>45</v>
      </c>
      <c r="N49" s="359">
        <v>0.25</v>
      </c>
      <c r="O49" s="359">
        <f t="shared" si="23"/>
        <v>11.25</v>
      </c>
      <c r="P49" s="359"/>
      <c r="Q49" s="359"/>
      <c r="R49" s="369"/>
      <c r="S49" s="369"/>
      <c r="T49" s="369"/>
      <c r="U49" s="121"/>
      <c r="V49" s="122"/>
      <c r="W49" s="377"/>
      <c r="X49" s="367"/>
      <c r="Y49" s="132"/>
      <c r="Z49" s="356"/>
      <c r="AA49" s="366"/>
      <c r="AB49" s="158"/>
      <c r="AC49" s="170"/>
      <c r="AD49" s="366"/>
      <c r="AG49" s="366"/>
      <c r="AH49" s="358"/>
      <c r="AJ49" s="366"/>
      <c r="AK49" s="366"/>
      <c r="AL49" s="366"/>
      <c r="AN49" s="152"/>
      <c r="AO49" s="148"/>
      <c r="AP49" s="366"/>
      <c r="AQ49" s="241"/>
      <c r="AR49" s="366"/>
      <c r="AT49" s="241"/>
    </row>
    <row r="50" spans="1:46" s="81" customFormat="1" ht="17.25" customHeight="1" outlineLevel="1" x14ac:dyDescent="0.2">
      <c r="A50" s="979"/>
      <c r="B50" s="361"/>
      <c r="C50" s="362"/>
      <c r="D50" s="373"/>
      <c r="E50" s="373"/>
      <c r="F50" s="359"/>
      <c r="G50" s="364"/>
      <c r="H50" s="359"/>
      <c r="I50" s="359"/>
      <c r="J50" s="359"/>
      <c r="K50" s="184" t="s">
        <v>336</v>
      </c>
      <c r="L50" s="364" t="str">
        <f>VLOOKUP(K50,материалы!$A$5:$G$31,5, FALSE)</f>
        <v>кг</v>
      </c>
      <c r="M50" s="359">
        <f>VLOOKUP(K50,материалы!$A$5:$G$31,7, FALSE)</f>
        <v>80</v>
      </c>
      <c r="N50" s="359">
        <v>0.01</v>
      </c>
      <c r="O50" s="359">
        <f t="shared" si="23"/>
        <v>0.8</v>
      </c>
      <c r="P50" s="359"/>
      <c r="Q50" s="359"/>
      <c r="R50" s="369"/>
      <c r="S50" s="369"/>
      <c r="T50" s="369"/>
      <c r="U50" s="121"/>
      <c r="V50" s="122"/>
      <c r="W50" s="377"/>
      <c r="X50" s="367"/>
      <c r="Y50" s="132"/>
      <c r="Z50" s="356"/>
      <c r="AA50" s="366"/>
      <c r="AB50" s="158"/>
      <c r="AC50" s="170"/>
      <c r="AD50" s="366"/>
      <c r="AG50" s="366"/>
      <c r="AH50" s="358"/>
      <c r="AJ50" s="366"/>
      <c r="AK50" s="366"/>
      <c r="AL50" s="366"/>
      <c r="AN50" s="152"/>
      <c r="AO50" s="148"/>
      <c r="AP50" s="366"/>
      <c r="AQ50" s="241"/>
      <c r="AR50" s="366"/>
      <c r="AT50" s="241"/>
    </row>
    <row r="51" spans="1:46" s="81" customFormat="1" ht="16.5" customHeight="1" outlineLevel="1" x14ac:dyDescent="0.2">
      <c r="A51" s="979"/>
      <c r="B51" s="361"/>
      <c r="C51" s="362"/>
      <c r="D51" s="373"/>
      <c r="E51" s="373"/>
      <c r="F51" s="359"/>
      <c r="G51" s="364"/>
      <c r="H51" s="359"/>
      <c r="I51" s="359"/>
      <c r="J51" s="359"/>
      <c r="K51" s="184" t="s">
        <v>335</v>
      </c>
      <c r="L51" s="364" t="str">
        <f>VLOOKUP(K51,материалы!$A$5:$G$31,5, FALSE)</f>
        <v>кг</v>
      </c>
      <c r="M51" s="359">
        <f>VLOOKUP(K51,материалы!$A$5:$G$31,7, FALSE)</f>
        <v>95</v>
      </c>
      <c r="N51" s="359">
        <v>1E-3</v>
      </c>
      <c r="O51" s="359">
        <f t="shared" si="23"/>
        <v>0.1</v>
      </c>
      <c r="P51" s="359"/>
      <c r="Q51" s="359"/>
      <c r="R51" s="369"/>
      <c r="S51" s="369"/>
      <c r="T51" s="369"/>
      <c r="U51" s="121"/>
      <c r="V51" s="122"/>
      <c r="W51" s="377"/>
      <c r="X51" s="367"/>
      <c r="Y51" s="132"/>
      <c r="Z51" s="356"/>
      <c r="AA51" s="366"/>
      <c r="AB51" s="158"/>
      <c r="AC51" s="170"/>
      <c r="AD51" s="366"/>
      <c r="AG51" s="366"/>
      <c r="AH51" s="358"/>
      <c r="AJ51" s="366"/>
      <c r="AK51" s="366"/>
      <c r="AL51" s="366"/>
      <c r="AN51" s="152"/>
      <c r="AO51" s="148"/>
      <c r="AP51" s="366"/>
      <c r="AQ51" s="241"/>
      <c r="AR51" s="366"/>
      <c r="AT51" s="241"/>
    </row>
    <row r="52" spans="1:46" s="81" customFormat="1" ht="61.5" customHeight="1" x14ac:dyDescent="0.2">
      <c r="A52" s="979"/>
      <c r="B52" s="361" t="s">
        <v>182</v>
      </c>
      <c r="C52" s="362" t="s">
        <v>589</v>
      </c>
      <c r="D52" s="359" t="s">
        <v>34</v>
      </c>
      <c r="E52" s="373" t="s">
        <v>169</v>
      </c>
      <c r="F52" s="359">
        <f>VLOOKUP(E52,'условия, ФОТ'!$A$14:$I$28,9, FALSE)</f>
        <v>326.24</v>
      </c>
      <c r="G52" s="364">
        <v>0.25</v>
      </c>
      <c r="H52" s="359">
        <f>ROUND(F52*G52,2)</f>
        <v>81.56</v>
      </c>
      <c r="I52" s="359">
        <f>ROUND(H52*$I$5,2)</f>
        <v>24.63</v>
      </c>
      <c r="J52" s="359">
        <f>H52+I52</f>
        <v>106.19</v>
      </c>
      <c r="K52" s="363"/>
      <c r="L52" s="359"/>
      <c r="M52" s="359"/>
      <c r="N52" s="359"/>
      <c r="O52" s="359">
        <f>SUM(O53:O55)</f>
        <v>5.6499999999999995</v>
      </c>
      <c r="P52" s="359">
        <f>J52+O52</f>
        <v>111.84</v>
      </c>
      <c r="Q52" s="359">
        <f>ROUND(P52*$Q$5,2)</f>
        <v>86.68</v>
      </c>
      <c r="R52" s="369">
        <f>ROUND(T52/1.2,2)</f>
        <v>108.33</v>
      </c>
      <c r="S52" s="369">
        <f>ROUND(R52*$S$5,2)</f>
        <v>21.67</v>
      </c>
      <c r="T52" s="369">
        <f>ROUND((P52+Q52)*(1+AC52)*1.2,0)</f>
        <v>130</v>
      </c>
      <c r="U52" s="121">
        <v>115</v>
      </c>
      <c r="V52" s="122">
        <f>T52/U52*100-100</f>
        <v>13.043478260869563</v>
      </c>
      <c r="W52" s="377">
        <v>119</v>
      </c>
      <c r="X52" s="367">
        <f t="shared" si="0"/>
        <v>9.2436974789915922</v>
      </c>
      <c r="Y52" s="132">
        <v>119</v>
      </c>
      <c r="Z52" s="368">
        <v>1.095</v>
      </c>
      <c r="AA52" s="152">
        <f>ROUND(W52*Z52,2)</f>
        <v>130.31</v>
      </c>
      <c r="AB52" s="157">
        <f>ROUND((P52+Q52)*1.2,2)</f>
        <v>238.22</v>
      </c>
      <c r="AC52" s="170">
        <f>ROUND((AA52/AB52)*100%-100%,4)</f>
        <v>-0.45300000000000001</v>
      </c>
      <c r="AD52" s="366">
        <f t="shared" si="1"/>
        <v>-107.91366000000001</v>
      </c>
      <c r="AF52" s="81">
        <v>123.04600000000001</v>
      </c>
      <c r="AG52" s="366">
        <v>123</v>
      </c>
      <c r="AH52" s="358">
        <f t="shared" si="2"/>
        <v>7</v>
      </c>
      <c r="AJ52" s="366">
        <v>-9.2999999999999992E-3</v>
      </c>
      <c r="AK52" s="366">
        <f t="shared" si="3"/>
        <v>1.0093000000000001</v>
      </c>
      <c r="AL52" s="366">
        <v>1.044</v>
      </c>
      <c r="AN52" s="152">
        <f t="shared" si="10"/>
        <v>124.24</v>
      </c>
      <c r="AO52" s="148"/>
      <c r="AP52" s="366">
        <v>1.034</v>
      </c>
      <c r="AQ52" s="241">
        <v>-9.2999999999999992E-3</v>
      </c>
      <c r="AR52" s="366">
        <f t="shared" si="4"/>
        <v>6.0999999999999943E-2</v>
      </c>
      <c r="AT52" s="241">
        <f t="shared" si="5"/>
        <v>-0.44370000000000004</v>
      </c>
    </row>
    <row r="53" spans="1:46" s="81" customFormat="1" ht="30" customHeight="1" x14ac:dyDescent="0.2">
      <c r="A53" s="1018" t="s">
        <v>612</v>
      </c>
      <c r="B53" s="1018"/>
      <c r="C53" s="1018"/>
      <c r="D53" s="1018"/>
      <c r="E53" s="1018"/>
      <c r="F53" s="1018"/>
      <c r="G53" s="1018"/>
      <c r="H53" s="1018"/>
      <c r="I53" s="1018"/>
      <c r="J53" s="178" t="s">
        <v>385</v>
      </c>
      <c r="K53" s="92" t="s">
        <v>341</v>
      </c>
      <c r="L53" s="364" t="str">
        <f>VLOOKUP(K53,материалы!$A$5:$G$31,5, FALSE)</f>
        <v>кг</v>
      </c>
      <c r="M53" s="359">
        <f>VLOOKUP(K53,материалы!$A$5:$G$31,7, FALSE)</f>
        <v>950</v>
      </c>
      <c r="N53" s="359">
        <v>5.0000000000000001E-3</v>
      </c>
      <c r="O53" s="359">
        <f t="shared" ref="O53:O55" si="24">ROUND(M53*N53,2)</f>
        <v>4.75</v>
      </c>
      <c r="P53" s="359"/>
      <c r="Q53" s="359"/>
      <c r="R53" s="369"/>
      <c r="S53" s="369"/>
      <c r="T53" s="369"/>
      <c r="U53" s="121"/>
      <c r="V53" s="122"/>
      <c r="W53" s="377"/>
      <c r="X53" s="367"/>
      <c r="Y53" s="132"/>
      <c r="Z53" s="356"/>
      <c r="AA53" s="366"/>
      <c r="AB53" s="158"/>
      <c r="AC53" s="170"/>
      <c r="AD53" s="366"/>
      <c r="AG53" s="366"/>
      <c r="AH53" s="358"/>
      <c r="AJ53" s="366"/>
      <c r="AK53" s="366"/>
      <c r="AL53" s="366"/>
      <c r="AN53" s="152"/>
      <c r="AO53" s="148"/>
      <c r="AP53" s="366"/>
      <c r="AQ53" s="241"/>
      <c r="AR53" s="366"/>
      <c r="AT53" s="241"/>
    </row>
    <row r="54" spans="1:46" s="81" customFormat="1" ht="29.25" customHeight="1" x14ac:dyDescent="0.2">
      <c r="A54" s="1018"/>
      <c r="B54" s="1018"/>
      <c r="C54" s="1018"/>
      <c r="D54" s="1018"/>
      <c r="E54" s="1018"/>
      <c r="F54" s="1018"/>
      <c r="G54" s="1018"/>
      <c r="H54" s="1018"/>
      <c r="I54" s="1018"/>
      <c r="J54" s="359"/>
      <c r="K54" s="184" t="s">
        <v>335</v>
      </c>
      <c r="L54" s="364" t="str">
        <f>VLOOKUP(K54,материалы!$A$5:$G$31,5, FALSE)</f>
        <v>кг</v>
      </c>
      <c r="M54" s="359">
        <f>VLOOKUP(K54,материалы!$A$5:$G$31,7, FALSE)</f>
        <v>95</v>
      </c>
      <c r="N54" s="185">
        <f>0.001</f>
        <v>1E-3</v>
      </c>
      <c r="O54" s="359">
        <f t="shared" si="24"/>
        <v>0.1</v>
      </c>
      <c r="P54" s="359"/>
      <c r="Q54" s="359"/>
      <c r="R54" s="369"/>
      <c r="S54" s="369"/>
      <c r="T54" s="369"/>
      <c r="U54" s="121"/>
      <c r="V54" s="122"/>
      <c r="W54" s="377"/>
      <c r="X54" s="367"/>
      <c r="Y54" s="132"/>
      <c r="Z54" s="356"/>
      <c r="AA54" s="366"/>
      <c r="AB54" s="158"/>
      <c r="AC54" s="170"/>
      <c r="AD54" s="366"/>
      <c r="AG54" s="366"/>
      <c r="AH54" s="358"/>
      <c r="AJ54" s="366"/>
      <c r="AK54" s="366"/>
      <c r="AL54" s="366"/>
      <c r="AN54" s="152"/>
      <c r="AO54" s="148"/>
      <c r="AP54" s="366"/>
      <c r="AQ54" s="241"/>
      <c r="AR54" s="366"/>
      <c r="AT54" s="241"/>
    </row>
    <row r="55" spans="1:46" s="81" customFormat="1" ht="28.5" customHeight="1" x14ac:dyDescent="0.2">
      <c r="A55" s="1018"/>
      <c r="B55" s="1018"/>
      <c r="C55" s="1018"/>
      <c r="D55" s="1018"/>
      <c r="E55" s="1018"/>
      <c r="F55" s="1018"/>
      <c r="G55" s="1018"/>
      <c r="H55" s="1018"/>
      <c r="I55" s="1018"/>
      <c r="J55" s="359"/>
      <c r="K55" s="184" t="s">
        <v>336</v>
      </c>
      <c r="L55" s="364" t="str">
        <f>VLOOKUP(K55,материалы!$A$5:$G$31,5, FALSE)</f>
        <v>кг</v>
      </c>
      <c r="M55" s="359">
        <f>VLOOKUP(K55,материалы!$A$5:$G$31,7, FALSE)</f>
        <v>80</v>
      </c>
      <c r="N55" s="364">
        <f>0.01</f>
        <v>0.01</v>
      </c>
      <c r="O55" s="359">
        <f t="shared" si="24"/>
        <v>0.8</v>
      </c>
      <c r="P55" s="359"/>
      <c r="Q55" s="359"/>
      <c r="R55" s="369"/>
      <c r="S55" s="369"/>
      <c r="T55" s="369"/>
      <c r="U55" s="121"/>
      <c r="V55" s="122"/>
      <c r="W55" s="377"/>
      <c r="X55" s="367"/>
      <c r="Y55" s="132"/>
      <c r="Z55" s="356"/>
      <c r="AA55" s="366"/>
      <c r="AB55" s="158"/>
      <c r="AC55" s="170"/>
      <c r="AD55" s="366"/>
      <c r="AG55" s="366"/>
      <c r="AH55" s="358"/>
      <c r="AJ55" s="366"/>
      <c r="AK55" s="366"/>
      <c r="AL55" s="366"/>
      <c r="AN55" s="152"/>
      <c r="AO55" s="148"/>
      <c r="AP55" s="366"/>
      <c r="AQ55" s="241"/>
      <c r="AR55" s="366"/>
      <c r="AT55" s="241"/>
    </row>
    <row r="56" spans="1:46" s="81" customFormat="1" ht="42.75" customHeight="1" x14ac:dyDescent="0.2">
      <c r="A56" s="361" t="s">
        <v>458</v>
      </c>
      <c r="B56" s="361" t="s">
        <v>35</v>
      </c>
      <c r="C56" s="362" t="s">
        <v>171</v>
      </c>
      <c r="D56" s="373" t="s">
        <v>36</v>
      </c>
      <c r="E56" s="373" t="s">
        <v>169</v>
      </c>
      <c r="F56" s="359">
        <f>VLOOKUP(E56,'условия, ФОТ'!$A$14:$I$28,9, FALSE)</f>
        <v>326.24</v>
      </c>
      <c r="G56" s="359">
        <v>1</v>
      </c>
      <c r="H56" s="359">
        <f>ROUND(F56*G56,2)</f>
        <v>326.24</v>
      </c>
      <c r="I56" s="359">
        <f>ROUND(H56*$I$5,2)</f>
        <v>98.52</v>
      </c>
      <c r="J56" s="359">
        <f>H56+I56</f>
        <v>424.76</v>
      </c>
      <c r="K56" s="363"/>
      <c r="L56" s="359"/>
      <c r="M56" s="359"/>
      <c r="N56" s="359"/>
      <c r="O56" s="359">
        <f>O57</f>
        <v>132.99</v>
      </c>
      <c r="P56" s="359">
        <f t="shared" si="11"/>
        <v>557.75</v>
      </c>
      <c r="Q56" s="359">
        <f t="shared" si="16"/>
        <v>432.26</v>
      </c>
      <c r="R56" s="369">
        <f>ROUND(T56/1.2,2)</f>
        <v>475</v>
      </c>
      <c r="S56" s="369">
        <f>ROUND(R56*$S$5,2)</f>
        <v>95</v>
      </c>
      <c r="T56" s="369">
        <f>ROUND((P56+Q56)*(1+AC56)*1.2,0)</f>
        <v>570</v>
      </c>
      <c r="U56" s="121">
        <v>534</v>
      </c>
      <c r="V56" s="371">
        <f>T56/U56*100-100</f>
        <v>6.7415730337078656</v>
      </c>
      <c r="W56" s="377">
        <v>551</v>
      </c>
      <c r="X56" s="367">
        <f t="shared" si="0"/>
        <v>3.448275862068968</v>
      </c>
      <c r="Y56" s="132">
        <v>551</v>
      </c>
      <c r="Z56" s="356">
        <v>1.034</v>
      </c>
      <c r="AA56" s="152">
        <f>ROUND(W56*Z56,2)</f>
        <v>569.73</v>
      </c>
      <c r="AB56" s="157">
        <f>ROUND((P56+Q56)*1.2,2)</f>
        <v>1188.01</v>
      </c>
      <c r="AC56" s="170">
        <f>ROUND((AA56/AB56)*100%-100%,4)</f>
        <v>-0.52039999999999997</v>
      </c>
      <c r="AD56" s="366">
        <f t="shared" si="1"/>
        <v>-618.24040400000001</v>
      </c>
      <c r="AF56" s="81">
        <v>569.73400000000004</v>
      </c>
      <c r="AG56" s="366">
        <v>570</v>
      </c>
      <c r="AH56" s="358">
        <f t="shared" si="2"/>
        <v>0</v>
      </c>
      <c r="AJ56" s="366">
        <v>2.2700000000000001E-2</v>
      </c>
      <c r="AK56" s="366">
        <f t="shared" si="3"/>
        <v>2.2700000000000001E-2</v>
      </c>
      <c r="AL56" s="366">
        <v>0</v>
      </c>
      <c r="AN56" s="152"/>
      <c r="AO56" s="148"/>
      <c r="AP56" s="366">
        <v>1.034</v>
      </c>
      <c r="AQ56" s="241">
        <v>2.2700000000000001E-2</v>
      </c>
      <c r="AR56" s="366">
        <f t="shared" si="4"/>
        <v>0</v>
      </c>
      <c r="AT56" s="241">
        <f t="shared" si="5"/>
        <v>-0.54310000000000003</v>
      </c>
    </row>
    <row r="57" spans="1:46" s="81" customFormat="1" ht="27" customHeight="1" outlineLevel="1" x14ac:dyDescent="0.2">
      <c r="A57" s="361"/>
      <c r="B57" s="361"/>
      <c r="C57" s="362"/>
      <c r="D57" s="373"/>
      <c r="E57" s="373"/>
      <c r="F57" s="359"/>
      <c r="G57" s="359"/>
      <c r="H57" s="359"/>
      <c r="I57" s="359"/>
      <c r="J57" s="178" t="s">
        <v>385</v>
      </c>
      <c r="K57" s="184" t="s">
        <v>388</v>
      </c>
      <c r="L57" s="364" t="str">
        <f>VLOOKUP(K57,материалы!$A$5:$G$31,5, FALSE)</f>
        <v>м</v>
      </c>
      <c r="M57" s="359">
        <f>VLOOKUP(K57,материалы!$A$5:$G$31,7, FALSE)</f>
        <v>132.99</v>
      </c>
      <c r="N57" s="364">
        <v>1</v>
      </c>
      <c r="O57" s="359">
        <f t="shared" ref="O57" si="25">ROUND(M57*N57,2)</f>
        <v>132.99</v>
      </c>
      <c r="P57" s="359"/>
      <c r="Q57" s="359"/>
      <c r="R57" s="369"/>
      <c r="S57" s="369"/>
      <c r="T57" s="369"/>
      <c r="U57" s="121"/>
      <c r="V57" s="371"/>
      <c r="W57" s="377"/>
      <c r="X57" s="367"/>
      <c r="Y57" s="132"/>
      <c r="Z57" s="356"/>
      <c r="AA57" s="366"/>
      <c r="AB57" s="158"/>
      <c r="AC57" s="170"/>
      <c r="AD57" s="366"/>
      <c r="AG57" s="366"/>
      <c r="AH57" s="358"/>
      <c r="AJ57" s="366"/>
      <c r="AK57" s="366"/>
      <c r="AL57" s="366"/>
      <c r="AN57" s="152"/>
      <c r="AO57" s="148"/>
      <c r="AP57" s="366"/>
      <c r="AQ57" s="241"/>
      <c r="AR57" s="366"/>
      <c r="AT57" s="241"/>
    </row>
    <row r="58" spans="1:46" s="81" customFormat="1" ht="69.75" customHeight="1" x14ac:dyDescent="0.2">
      <c r="A58" s="361" t="s">
        <v>459</v>
      </c>
      <c r="B58" s="361" t="s">
        <v>183</v>
      </c>
      <c r="C58" s="362" t="s">
        <v>669</v>
      </c>
      <c r="D58" s="373" t="s">
        <v>20</v>
      </c>
      <c r="E58" s="359" t="s">
        <v>37</v>
      </c>
      <c r="F58" s="359">
        <f>VLOOKUP(E58,'условия, ФОТ'!$A$14:$I$28,9, FALSE)</f>
        <v>463.57</v>
      </c>
      <c r="G58" s="359">
        <v>1</v>
      </c>
      <c r="H58" s="359">
        <f>ROUND(F58*G58,2)</f>
        <v>463.57</v>
      </c>
      <c r="I58" s="359">
        <f>ROUND(H58*$I$5,2)</f>
        <v>140</v>
      </c>
      <c r="J58" s="359">
        <f>H58+I58</f>
        <v>603.56999999999994</v>
      </c>
      <c r="K58" s="363"/>
      <c r="L58" s="359"/>
      <c r="M58" s="359"/>
      <c r="N58" s="359"/>
      <c r="O58" s="359"/>
      <c r="P58" s="359">
        <f>J58+O58</f>
        <v>603.56999999999994</v>
      </c>
      <c r="Q58" s="359">
        <f>ROUND(P58*$Q$5,2)</f>
        <v>467.77</v>
      </c>
      <c r="R58" s="369">
        <f>ROUND(T58/1.2,2)</f>
        <v>433.33</v>
      </c>
      <c r="S58" s="369">
        <f t="shared" si="17"/>
        <v>86.67</v>
      </c>
      <c r="T58" s="369">
        <f>ROUND((P58+Q58)*(1+AC58)*1.2,0)</f>
        <v>520</v>
      </c>
      <c r="U58" s="121">
        <v>487</v>
      </c>
      <c r="V58" s="122">
        <f>T58/U58*100-100</f>
        <v>6.7761806981519612</v>
      </c>
      <c r="W58" s="377">
        <v>503</v>
      </c>
      <c r="X58" s="367">
        <f t="shared" si="0"/>
        <v>3.3797216699801282</v>
      </c>
      <c r="Y58" s="132">
        <v>503</v>
      </c>
      <c r="Z58" s="356">
        <v>1.034</v>
      </c>
      <c r="AA58" s="152">
        <f>ROUND(W58*Z58,2)</f>
        <v>520.1</v>
      </c>
      <c r="AB58" s="157">
        <f>ROUND((P58+Q58)*1.2,2)</f>
        <v>1285.6099999999999</v>
      </c>
      <c r="AC58" s="170">
        <f>ROUND((AA58/AB58)*100%-100%,4)</f>
        <v>-0.59540000000000004</v>
      </c>
      <c r="AD58" s="366">
        <f t="shared" si="1"/>
        <v>-765.45219399999996</v>
      </c>
      <c r="AF58" s="81">
        <v>520.10199999999998</v>
      </c>
      <c r="AG58" s="366">
        <v>520</v>
      </c>
      <c r="AH58" s="358">
        <f t="shared" si="2"/>
        <v>0</v>
      </c>
      <c r="AJ58" s="366">
        <v>0.1249</v>
      </c>
      <c r="AK58" s="366">
        <f t="shared" si="3"/>
        <v>0.1249</v>
      </c>
      <c r="AL58" s="366">
        <v>0</v>
      </c>
      <c r="AN58" s="152"/>
      <c r="AO58" s="148"/>
      <c r="AP58" s="366">
        <v>1.034</v>
      </c>
      <c r="AQ58" s="241">
        <v>0.1249</v>
      </c>
      <c r="AR58" s="366">
        <f t="shared" si="4"/>
        <v>0</v>
      </c>
      <c r="AT58" s="241">
        <f t="shared" si="5"/>
        <v>-0.72030000000000005</v>
      </c>
    </row>
    <row r="59" spans="1:46" s="81" customFormat="1" ht="69.75" customHeight="1" x14ac:dyDescent="0.2">
      <c r="A59" s="361" t="s">
        <v>460</v>
      </c>
      <c r="B59" s="361" t="s">
        <v>183</v>
      </c>
      <c r="C59" s="362" t="s">
        <v>670</v>
      </c>
      <c r="D59" s="373" t="s">
        <v>20</v>
      </c>
      <c r="E59" s="359" t="s">
        <v>37</v>
      </c>
      <c r="F59" s="359">
        <f>VLOOKUP(E59,'условия, ФОТ'!$A$14:$I$28,9, FALSE)</f>
        <v>463.57</v>
      </c>
      <c r="G59" s="359">
        <f>G58*1.5</f>
        <v>1.5</v>
      </c>
      <c r="H59" s="359">
        <f>ROUND(F59*G59,2)</f>
        <v>695.36</v>
      </c>
      <c r="I59" s="359">
        <f>ROUND(H59*$I$5,2)</f>
        <v>210</v>
      </c>
      <c r="J59" s="359">
        <f>H59+I59</f>
        <v>905.36</v>
      </c>
      <c r="K59" s="363"/>
      <c r="L59" s="359"/>
      <c r="M59" s="359"/>
      <c r="N59" s="359"/>
      <c r="O59" s="359"/>
      <c r="P59" s="359">
        <f>J59+O59</f>
        <v>905.36</v>
      </c>
      <c r="Q59" s="359">
        <f>ROUND(P59*$Q$5,2)</f>
        <v>701.65</v>
      </c>
      <c r="R59" s="369">
        <f>ROUND(T59/1.2,2)</f>
        <v>650</v>
      </c>
      <c r="S59" s="369">
        <f t="shared" si="17"/>
        <v>130</v>
      </c>
      <c r="T59" s="369">
        <f>ROUND((P59+Q59)*(1+AC59)*1.2,0)</f>
        <v>780</v>
      </c>
      <c r="U59" s="121">
        <v>731</v>
      </c>
      <c r="V59" s="122">
        <f>T59/U59*100-100</f>
        <v>6.7031463748290037</v>
      </c>
      <c r="W59" s="377">
        <v>754</v>
      </c>
      <c r="X59" s="367">
        <f t="shared" si="0"/>
        <v>3.448275862068968</v>
      </c>
      <c r="Y59" s="132">
        <v>754</v>
      </c>
      <c r="Z59" s="356">
        <v>1.034</v>
      </c>
      <c r="AA59" s="152">
        <f>ROUND(W59*Z59,2)</f>
        <v>779.64</v>
      </c>
      <c r="AB59" s="157">
        <f>ROUND((P59+Q59)*1.2,2)</f>
        <v>1928.41</v>
      </c>
      <c r="AC59" s="170">
        <f>ROUND((AA59/AB59)*100%-100%,4)</f>
        <v>-0.59570000000000001</v>
      </c>
      <c r="AD59" s="366">
        <f t="shared" si="1"/>
        <v>-1148.753837</v>
      </c>
      <c r="AF59" s="81">
        <v>779.63599999999997</v>
      </c>
      <c r="AG59" s="366">
        <v>780</v>
      </c>
      <c r="AH59" s="358">
        <f t="shared" si="2"/>
        <v>0</v>
      </c>
      <c r="AJ59" s="366">
        <v>0.1242</v>
      </c>
      <c r="AK59" s="366">
        <f t="shared" si="3"/>
        <v>0.1242</v>
      </c>
      <c r="AL59" s="366">
        <v>0</v>
      </c>
      <c r="AN59" s="152"/>
      <c r="AO59" s="148"/>
      <c r="AP59" s="366">
        <v>1.034</v>
      </c>
      <c r="AQ59" s="241">
        <v>0.1242</v>
      </c>
      <c r="AR59" s="366">
        <f t="shared" si="4"/>
        <v>0</v>
      </c>
      <c r="AT59" s="241">
        <f t="shared" si="5"/>
        <v>-0.71989999999999998</v>
      </c>
    </row>
    <row r="60" spans="1:46" s="83" customFormat="1" ht="23.25" customHeight="1" x14ac:dyDescent="0.25">
      <c r="A60" s="992" t="s">
        <v>353</v>
      </c>
      <c r="B60" s="993"/>
      <c r="C60" s="993"/>
      <c r="D60" s="993"/>
      <c r="E60" s="993"/>
      <c r="F60" s="993"/>
      <c r="G60" s="993"/>
      <c r="H60" s="993"/>
      <c r="I60" s="993"/>
      <c r="J60" s="993"/>
      <c r="K60" s="993"/>
      <c r="L60" s="993"/>
      <c r="M60" s="993"/>
      <c r="N60" s="993"/>
      <c r="O60" s="993"/>
      <c r="P60" s="993"/>
      <c r="Q60" s="993"/>
      <c r="R60" s="993"/>
      <c r="S60" s="993"/>
      <c r="T60" s="994"/>
      <c r="U60" s="119"/>
      <c r="V60" s="120"/>
      <c r="W60" s="377"/>
      <c r="X60" s="367"/>
      <c r="Y60" s="134"/>
      <c r="Z60" s="356"/>
      <c r="AA60" s="366"/>
      <c r="AB60" s="158"/>
      <c r="AC60" s="170"/>
      <c r="AD60" s="366"/>
      <c r="AG60" s="162"/>
      <c r="AH60" s="358"/>
      <c r="AJ60" s="162"/>
      <c r="AK60" s="366"/>
      <c r="AL60" s="366"/>
      <c r="AN60" s="152"/>
      <c r="AO60" s="150"/>
      <c r="AP60" s="162"/>
      <c r="AQ60" s="242"/>
      <c r="AR60" s="366"/>
      <c r="AT60" s="241"/>
    </row>
    <row r="61" spans="1:46" ht="26.25" customHeight="1" x14ac:dyDescent="0.25">
      <c r="A61" s="361" t="s">
        <v>461</v>
      </c>
      <c r="B61" s="361" t="s">
        <v>38</v>
      </c>
      <c r="C61" s="362" t="s">
        <v>370</v>
      </c>
      <c r="D61" s="373" t="s">
        <v>39</v>
      </c>
      <c r="E61" s="373" t="s">
        <v>168</v>
      </c>
      <c r="F61" s="359">
        <f>VLOOKUP(E61,'условия, ФОТ'!$A$14:$I$28,9, FALSE)</f>
        <v>282.83999999999997</v>
      </c>
      <c r="G61" s="364">
        <v>4.71</v>
      </c>
      <c r="H61" s="359">
        <f>ROUND(F61*G61,2)</f>
        <v>1332.18</v>
      </c>
      <c r="I61" s="359">
        <f>ROUND(H61*$I$5,2)</f>
        <v>402.32</v>
      </c>
      <c r="J61" s="359">
        <f>H61+I61</f>
        <v>1734.5</v>
      </c>
      <c r="K61" s="363"/>
      <c r="L61" s="359"/>
      <c r="M61" s="359"/>
      <c r="N61" s="359"/>
      <c r="O61" s="359"/>
      <c r="P61" s="359">
        <f>J61+O61</f>
        <v>1734.5</v>
      </c>
      <c r="Q61" s="359">
        <f t="shared" si="16"/>
        <v>1344.24</v>
      </c>
      <c r="R61" s="369">
        <f>ROUND(T61/1.2,2)</f>
        <v>1905.83</v>
      </c>
      <c r="S61" s="369">
        <f>ROUND(R61*$S$5,2)</f>
        <v>381.17</v>
      </c>
      <c r="T61" s="369">
        <f>ROUND((P61+Q61)*(1+AC61)*1.2,0)</f>
        <v>2287</v>
      </c>
      <c r="U61" s="121">
        <v>1750</v>
      </c>
      <c r="V61" s="127">
        <f>T61/U61*100-100</f>
        <v>30.685714285714283</v>
      </c>
      <c r="W61" s="377">
        <v>1806</v>
      </c>
      <c r="X61" s="367">
        <f t="shared" si="0"/>
        <v>26.633444075304553</v>
      </c>
      <c r="Y61" s="117">
        <v>1806</v>
      </c>
      <c r="Z61" s="368">
        <v>1.266</v>
      </c>
      <c r="AA61" s="152">
        <f>ROUND(W61*Z61,2)</f>
        <v>2286.4</v>
      </c>
      <c r="AB61" s="157">
        <f>ROUND((P61+Q61)*1.2,2)</f>
        <v>3694.49</v>
      </c>
      <c r="AC61" s="170">
        <f>ROUND((AA61/AB61)*100%-100%,4)</f>
        <v>-0.38109999999999999</v>
      </c>
      <c r="AD61" s="366">
        <f t="shared" si="1"/>
        <v>-1407.9701389999998</v>
      </c>
      <c r="AF61">
        <v>1867.404</v>
      </c>
      <c r="AG61" s="379">
        <v>1867</v>
      </c>
      <c r="AH61" s="358">
        <f t="shared" si="2"/>
        <v>420</v>
      </c>
      <c r="AJ61" s="379">
        <v>-0.14249999999999999</v>
      </c>
      <c r="AK61" s="366">
        <f t="shared" si="3"/>
        <v>1.1425000000000001</v>
      </c>
      <c r="AL61" s="366">
        <v>1.181</v>
      </c>
      <c r="AN61" s="152">
        <f t="shared" si="10"/>
        <v>2132.89</v>
      </c>
      <c r="AP61" s="379">
        <v>1.034</v>
      </c>
      <c r="AQ61" s="243">
        <v>-0.14249999999999999</v>
      </c>
      <c r="AR61" s="366">
        <f t="shared" si="4"/>
        <v>0.23199999999999998</v>
      </c>
      <c r="AT61" s="241">
        <f t="shared" si="5"/>
        <v>-0.23860000000000001</v>
      </c>
    </row>
    <row r="62" spans="1:46" ht="18.95" customHeight="1" x14ac:dyDescent="0.25">
      <c r="A62" s="361" t="s">
        <v>462</v>
      </c>
      <c r="B62" s="361" t="s">
        <v>35</v>
      </c>
      <c r="C62" s="362" t="s">
        <v>175</v>
      </c>
      <c r="D62" s="373" t="s">
        <v>39</v>
      </c>
      <c r="E62" s="373" t="s">
        <v>174</v>
      </c>
      <c r="F62" s="359">
        <f>VLOOKUP(E62,'условия, ФОТ'!$A$14:$I$28,9, FALSE)</f>
        <v>456.01</v>
      </c>
      <c r="G62" s="359">
        <v>0.5</v>
      </c>
      <c r="H62" s="359">
        <f>ROUND(F62*G62,2)</f>
        <v>228.01</v>
      </c>
      <c r="I62" s="359">
        <f>ROUND(H62*$I$5,2)</f>
        <v>68.86</v>
      </c>
      <c r="J62" s="359">
        <f>H62+I62</f>
        <v>296.87</v>
      </c>
      <c r="K62" s="363"/>
      <c r="L62" s="359"/>
      <c r="M62" s="359"/>
      <c r="N62" s="359"/>
      <c r="O62" s="359">
        <f>SUM(O63:O64)</f>
        <v>111</v>
      </c>
      <c r="P62" s="359">
        <f>J62+O62</f>
        <v>407.87</v>
      </c>
      <c r="Q62" s="359">
        <f t="shared" si="16"/>
        <v>316.10000000000002</v>
      </c>
      <c r="R62" s="369">
        <f>ROUND(T62/1.2,2)</f>
        <v>424.17</v>
      </c>
      <c r="S62" s="369">
        <f>ROUND(R62*$S$5,2)</f>
        <v>84.83</v>
      </c>
      <c r="T62" s="369">
        <f>ROUND((P62+Q62)*(1+AC62)*1.2,0)</f>
        <v>509</v>
      </c>
      <c r="U62" s="121">
        <v>477</v>
      </c>
      <c r="V62" s="127">
        <f t="shared" ref="V62:V69" si="26">T62/U62*100-100</f>
        <v>6.7085953878406741</v>
      </c>
      <c r="W62" s="377">
        <v>492</v>
      </c>
      <c r="X62" s="367">
        <f t="shared" si="0"/>
        <v>3.4552845528455407</v>
      </c>
      <c r="Y62" s="117">
        <v>492</v>
      </c>
      <c r="Z62" s="356">
        <v>1.034</v>
      </c>
      <c r="AA62" s="152">
        <f>ROUND(W62*Z62,2)</f>
        <v>508.73</v>
      </c>
      <c r="AB62" s="157">
        <f>ROUND((P62+Q62)*1.2,2)</f>
        <v>868.76</v>
      </c>
      <c r="AC62" s="170">
        <f>ROUND((AA62/AB62)*100%-100%,4)</f>
        <v>-0.41439999999999999</v>
      </c>
      <c r="AD62" s="366">
        <f t="shared" si="1"/>
        <v>-360.01414399999999</v>
      </c>
      <c r="AF62">
        <v>508.72800000000001</v>
      </c>
      <c r="AG62" s="379">
        <v>509</v>
      </c>
      <c r="AH62" s="358">
        <f t="shared" si="2"/>
        <v>0</v>
      </c>
      <c r="AJ62" s="379">
        <v>0.2429</v>
      </c>
      <c r="AK62" s="366">
        <f t="shared" si="3"/>
        <v>0.2429</v>
      </c>
      <c r="AL62" s="366">
        <v>0</v>
      </c>
      <c r="AN62" s="152"/>
      <c r="AP62" s="379">
        <v>1.034</v>
      </c>
      <c r="AQ62" s="243">
        <v>0.2429</v>
      </c>
      <c r="AR62" s="366">
        <f t="shared" si="4"/>
        <v>0</v>
      </c>
      <c r="AT62" s="241">
        <f t="shared" si="5"/>
        <v>-0.6573</v>
      </c>
    </row>
    <row r="63" spans="1:46" ht="18.95" customHeight="1" outlineLevel="1" x14ac:dyDescent="0.25">
      <c r="A63" s="361"/>
      <c r="B63" s="361"/>
      <c r="C63" s="362"/>
      <c r="D63" s="373"/>
      <c r="E63" s="373"/>
      <c r="F63" s="359"/>
      <c r="G63" s="359"/>
      <c r="H63" s="359"/>
      <c r="I63" s="359"/>
      <c r="J63" s="178" t="s">
        <v>385</v>
      </c>
      <c r="K63" s="184" t="s">
        <v>371</v>
      </c>
      <c r="L63" s="364" t="str">
        <f>VLOOKUP(K63,материалы!$A$5:$G$31,5, FALSE)</f>
        <v>шт.</v>
      </c>
      <c r="M63" s="359">
        <f>VLOOKUP(K63,материалы!$A$5:$G$31,7, FALSE)</f>
        <v>50</v>
      </c>
      <c r="N63" s="364">
        <v>2</v>
      </c>
      <c r="O63" s="359">
        <f t="shared" ref="O63:O64" si="27">ROUND(M63*N63,2)</f>
        <v>100</v>
      </c>
      <c r="P63" s="359"/>
      <c r="Q63" s="359"/>
      <c r="R63" s="369"/>
      <c r="S63" s="369"/>
      <c r="T63" s="369"/>
      <c r="U63" s="121"/>
      <c r="V63" s="127"/>
      <c r="W63" s="377"/>
      <c r="X63" s="367"/>
      <c r="Z63" s="356"/>
      <c r="AA63" s="366"/>
      <c r="AB63" s="158"/>
      <c r="AC63" s="170"/>
      <c r="AD63" s="366"/>
      <c r="AG63" s="379"/>
      <c r="AH63" s="358"/>
      <c r="AJ63" s="379"/>
      <c r="AK63" s="366"/>
      <c r="AL63" s="366"/>
      <c r="AN63" s="152"/>
      <c r="AP63" s="379"/>
      <c r="AQ63" s="243"/>
      <c r="AR63" s="366"/>
      <c r="AT63" s="241"/>
    </row>
    <row r="64" spans="1:46" ht="18.95" customHeight="1" outlineLevel="1" x14ac:dyDescent="0.25">
      <c r="A64" s="361"/>
      <c r="B64" s="361"/>
      <c r="C64" s="362"/>
      <c r="D64" s="373"/>
      <c r="E64" s="373"/>
      <c r="F64" s="359"/>
      <c r="G64" s="359"/>
      <c r="H64" s="359"/>
      <c r="I64" s="359"/>
      <c r="J64" s="359"/>
      <c r="K64" s="184" t="s">
        <v>372</v>
      </c>
      <c r="L64" s="364" t="str">
        <f>VLOOKUP(K64,материалы!$A$5:$G$31,5, FALSE)</f>
        <v>кг</v>
      </c>
      <c r="M64" s="359">
        <f>VLOOKUP(K64,материалы!$A$5:$G$31,7, FALSE)</f>
        <v>220</v>
      </c>
      <c r="N64" s="364">
        <v>0.05</v>
      </c>
      <c r="O64" s="359">
        <f t="shared" si="27"/>
        <v>11</v>
      </c>
      <c r="P64" s="359"/>
      <c r="Q64" s="359"/>
      <c r="R64" s="369"/>
      <c r="S64" s="369"/>
      <c r="T64" s="369"/>
      <c r="U64" s="121"/>
      <c r="V64" s="127"/>
      <c r="W64" s="377"/>
      <c r="X64" s="367"/>
      <c r="Z64" s="356"/>
      <c r="AA64" s="366"/>
      <c r="AB64" s="158"/>
      <c r="AC64" s="170"/>
      <c r="AD64" s="366"/>
      <c r="AG64" s="379"/>
      <c r="AH64" s="358"/>
      <c r="AJ64" s="379"/>
      <c r="AK64" s="366"/>
      <c r="AL64" s="366"/>
      <c r="AN64" s="152"/>
      <c r="AP64" s="379"/>
      <c r="AQ64" s="243"/>
      <c r="AR64" s="366"/>
      <c r="AT64" s="241"/>
    </row>
    <row r="65" spans="1:46" ht="42" customHeight="1" x14ac:dyDescent="0.25">
      <c r="A65" s="361" t="s">
        <v>463</v>
      </c>
      <c r="B65" s="361" t="s">
        <v>349</v>
      </c>
      <c r="C65" s="362" t="s">
        <v>374</v>
      </c>
      <c r="D65" s="373" t="s">
        <v>350</v>
      </c>
      <c r="E65" s="373" t="s">
        <v>169</v>
      </c>
      <c r="F65" s="359">
        <f>VLOOKUP(E65,'условия, ФОТ'!$A$14:$I$28,9, FALSE)</f>
        <v>326.24</v>
      </c>
      <c r="G65" s="364">
        <f>1.45/2</f>
        <v>0.72499999999999998</v>
      </c>
      <c r="H65" s="359">
        <f t="shared" ref="H65:H84" si="28">ROUND(F65*G65,2)</f>
        <v>236.52</v>
      </c>
      <c r="I65" s="359">
        <f t="shared" ref="I65:I84" si="29">ROUND(H65*$I$5,2)</f>
        <v>71.430000000000007</v>
      </c>
      <c r="J65" s="359">
        <f t="shared" ref="J65:J84" si="30">H65+I65</f>
        <v>307.95000000000005</v>
      </c>
      <c r="K65" s="363"/>
      <c r="L65" s="359"/>
      <c r="M65" s="359"/>
      <c r="N65" s="359"/>
      <c r="O65" s="359"/>
      <c r="P65" s="359">
        <f t="shared" ref="P65:P68" si="31">J65+O65</f>
        <v>307.95000000000005</v>
      </c>
      <c r="Q65" s="359">
        <f t="shared" ref="Q65:Q68" si="32">ROUND(P65*$Q$5,2)</f>
        <v>238.66</v>
      </c>
      <c r="R65" s="369">
        <f>ROUND(T65/1.2,2)</f>
        <v>293.33</v>
      </c>
      <c r="S65" s="369">
        <f>ROUND(R65*$S$5,2)</f>
        <v>58.67</v>
      </c>
      <c r="T65" s="369">
        <f>ROUND((P65+Q65)*(1+AC65)*1.2,0)</f>
        <v>352</v>
      </c>
      <c r="U65" s="121">
        <v>305</v>
      </c>
      <c r="V65" s="122">
        <f>T65/U65*100-100</f>
        <v>15.409836065573785</v>
      </c>
      <c r="W65" s="377">
        <v>314</v>
      </c>
      <c r="X65" s="367">
        <f t="shared" si="0"/>
        <v>12.101910828025481</v>
      </c>
      <c r="Y65" s="117">
        <v>314</v>
      </c>
      <c r="Z65" s="368">
        <v>1.1200000000000001</v>
      </c>
      <c r="AA65" s="152">
        <f>ROUND(W65*Z65,2)</f>
        <v>351.68</v>
      </c>
      <c r="AB65" s="157">
        <f>ROUND((P65+Q65)*1.2,2)</f>
        <v>655.93</v>
      </c>
      <c r="AC65" s="170">
        <f>ROUND((AA65/AB65)*100%-100%,4)</f>
        <v>-0.46379999999999999</v>
      </c>
      <c r="AD65" s="366">
        <f t="shared" si="1"/>
        <v>-304.22033399999998</v>
      </c>
      <c r="AF65">
        <v>324.67599999999999</v>
      </c>
      <c r="AG65" s="379">
        <v>325</v>
      </c>
      <c r="AH65" s="358">
        <f t="shared" si="2"/>
        <v>27</v>
      </c>
      <c r="AJ65" s="379">
        <v>-3.1399999999999997E-2</v>
      </c>
      <c r="AK65" s="366">
        <f t="shared" si="3"/>
        <v>1.0314000000000001</v>
      </c>
      <c r="AL65" s="366">
        <v>1.0660000000000001</v>
      </c>
      <c r="AN65" s="152">
        <f t="shared" si="10"/>
        <v>334.72</v>
      </c>
      <c r="AP65" s="379">
        <v>1.034</v>
      </c>
      <c r="AQ65" s="243">
        <v>-3.1399999999999997E-2</v>
      </c>
      <c r="AR65" s="366">
        <f t="shared" si="4"/>
        <v>8.6000000000000076E-2</v>
      </c>
      <c r="AT65" s="241">
        <f t="shared" si="5"/>
        <v>-0.43240000000000001</v>
      </c>
    </row>
    <row r="66" spans="1:46" ht="39.75" customHeight="1" x14ac:dyDescent="0.25">
      <c r="A66" s="361" t="s">
        <v>464</v>
      </c>
      <c r="B66" s="361" t="s">
        <v>349</v>
      </c>
      <c r="C66" s="362" t="s">
        <v>375</v>
      </c>
      <c r="D66" s="373" t="s">
        <v>350</v>
      </c>
      <c r="E66" s="373" t="s">
        <v>169</v>
      </c>
      <c r="F66" s="359">
        <f>VLOOKUP(E66,'условия, ФОТ'!$A$14:$I$28,9, FALSE)</f>
        <v>326.24</v>
      </c>
      <c r="G66" s="359">
        <v>1.45</v>
      </c>
      <c r="H66" s="359">
        <f t="shared" si="28"/>
        <v>473.05</v>
      </c>
      <c r="I66" s="359">
        <f t="shared" si="29"/>
        <v>142.86000000000001</v>
      </c>
      <c r="J66" s="359">
        <f t="shared" si="30"/>
        <v>615.91000000000008</v>
      </c>
      <c r="K66" s="363"/>
      <c r="L66" s="359"/>
      <c r="M66" s="359"/>
      <c r="N66" s="359"/>
      <c r="O66" s="359"/>
      <c r="P66" s="359">
        <f t="shared" si="31"/>
        <v>615.91000000000008</v>
      </c>
      <c r="Q66" s="359">
        <f t="shared" si="32"/>
        <v>477.33</v>
      </c>
      <c r="R66" s="369">
        <f>ROUND(T66/1.2,2)</f>
        <v>586.66999999999996</v>
      </c>
      <c r="S66" s="369">
        <f t="shared" ref="S66:S67" si="33">ROUND(R66*$S$5,2)</f>
        <v>117.33</v>
      </c>
      <c r="T66" s="369">
        <f>ROUND((P66+Q66)*(1+AC66)*1.2,0)</f>
        <v>704</v>
      </c>
      <c r="U66" s="121">
        <v>609</v>
      </c>
      <c r="V66" s="122">
        <f t="shared" ref="V66:V68" si="34">T66/U66*100-100</f>
        <v>15.599343185550069</v>
      </c>
      <c r="W66" s="377">
        <v>629</v>
      </c>
      <c r="X66" s="367">
        <f t="shared" si="0"/>
        <v>11.923688394276624</v>
      </c>
      <c r="Y66" s="117">
        <v>629</v>
      </c>
      <c r="Z66" s="368">
        <v>1.119</v>
      </c>
      <c r="AA66" s="152">
        <f>ROUND(W66*Z66,2)</f>
        <v>703.85</v>
      </c>
      <c r="AB66" s="157">
        <f>ROUND((P66+Q66)*1.2,2)</f>
        <v>1311.89</v>
      </c>
      <c r="AC66" s="170">
        <f>ROUND((AA66/AB66)*100%-100%,4)</f>
        <v>-0.46350000000000002</v>
      </c>
      <c r="AD66" s="366">
        <f t="shared" si="1"/>
        <v>-608.06101500000011</v>
      </c>
      <c r="AF66">
        <v>650.38599999999997</v>
      </c>
      <c r="AG66" s="379">
        <v>650</v>
      </c>
      <c r="AH66" s="358">
        <f t="shared" si="2"/>
        <v>54</v>
      </c>
      <c r="AJ66" s="379">
        <v>-2.98E-2</v>
      </c>
      <c r="AK66" s="366">
        <f t="shared" si="3"/>
        <v>1.0298</v>
      </c>
      <c r="AL66" s="366">
        <v>1.0649999999999999</v>
      </c>
      <c r="AN66" s="152">
        <f t="shared" si="10"/>
        <v>669.89</v>
      </c>
      <c r="AP66" s="379">
        <v>1.034</v>
      </c>
      <c r="AQ66" s="243">
        <v>-2.98E-2</v>
      </c>
      <c r="AR66" s="366">
        <f t="shared" si="4"/>
        <v>8.4999999999999964E-2</v>
      </c>
      <c r="AT66" s="241">
        <f t="shared" si="5"/>
        <v>-0.43370000000000003</v>
      </c>
    </row>
    <row r="67" spans="1:46" ht="44.25" customHeight="1" x14ac:dyDescent="0.25">
      <c r="A67" s="361" t="s">
        <v>465</v>
      </c>
      <c r="B67" s="361" t="s">
        <v>351</v>
      </c>
      <c r="C67" s="362" t="s">
        <v>376</v>
      </c>
      <c r="D67" s="373" t="s">
        <v>350</v>
      </c>
      <c r="E67" s="373" t="s">
        <v>169</v>
      </c>
      <c r="F67" s="359">
        <f>VLOOKUP(E67,'условия, ФОТ'!$A$14:$I$28,9, FALSE)</f>
        <v>326.24</v>
      </c>
      <c r="G67" s="364">
        <f>G68-G66+G65</f>
        <v>2.7749999999999999</v>
      </c>
      <c r="H67" s="359">
        <f t="shared" si="28"/>
        <v>905.32</v>
      </c>
      <c r="I67" s="359">
        <f t="shared" si="29"/>
        <v>273.41000000000003</v>
      </c>
      <c r="J67" s="359">
        <f t="shared" si="30"/>
        <v>1178.73</v>
      </c>
      <c r="K67" s="363"/>
      <c r="L67" s="359"/>
      <c r="M67" s="359"/>
      <c r="N67" s="359"/>
      <c r="O67" s="359"/>
      <c r="P67" s="359">
        <f t="shared" si="31"/>
        <v>1178.73</v>
      </c>
      <c r="Q67" s="359">
        <f t="shared" si="32"/>
        <v>913.52</v>
      </c>
      <c r="R67" s="369">
        <f>ROUND(T67/1.2,2)</f>
        <v>1121.67</v>
      </c>
      <c r="S67" s="369">
        <f t="shared" si="33"/>
        <v>224.33</v>
      </c>
      <c r="T67" s="369">
        <f>ROUND((P67+Q67)*(1+AC67)*1.2,0)</f>
        <v>1346</v>
      </c>
      <c r="U67" s="121">
        <v>1166</v>
      </c>
      <c r="V67" s="122">
        <f t="shared" si="34"/>
        <v>15.437392795883369</v>
      </c>
      <c r="W67" s="377">
        <v>1204</v>
      </c>
      <c r="X67" s="367">
        <f t="shared" si="0"/>
        <v>11.794019933554821</v>
      </c>
      <c r="Y67" s="117">
        <v>1204</v>
      </c>
      <c r="Z67" s="368">
        <v>1.1180000000000001</v>
      </c>
      <c r="AA67" s="152">
        <f>ROUND(W67*Z67,2)</f>
        <v>1346.07</v>
      </c>
      <c r="AB67" s="157">
        <f>ROUND((P67+Q67)*1.2,2)</f>
        <v>2510.6999999999998</v>
      </c>
      <c r="AC67" s="170">
        <f>ROUND((AA67/AB67)*100%-100%,4)</f>
        <v>-0.46389999999999998</v>
      </c>
      <c r="AD67" s="366">
        <f t="shared" si="1"/>
        <v>-1164.7137299999999</v>
      </c>
      <c r="AF67">
        <v>1244.9360000000001</v>
      </c>
      <c r="AG67" s="379">
        <v>1245</v>
      </c>
      <c r="AH67" s="358">
        <f t="shared" si="2"/>
        <v>101</v>
      </c>
      <c r="AJ67" s="379">
        <v>-2.9700000000000001E-2</v>
      </c>
      <c r="AK67" s="366">
        <f t="shared" si="3"/>
        <v>1.0297000000000001</v>
      </c>
      <c r="AL67" s="366">
        <v>1.0649999999999999</v>
      </c>
      <c r="AN67" s="152">
        <f t="shared" si="10"/>
        <v>1282.26</v>
      </c>
      <c r="AP67" s="379">
        <v>1.034</v>
      </c>
      <c r="AQ67" s="243">
        <v>-2.9700000000000001E-2</v>
      </c>
      <c r="AR67" s="366">
        <f t="shared" si="4"/>
        <v>8.4000000000000075E-2</v>
      </c>
      <c r="AT67" s="241">
        <f t="shared" si="5"/>
        <v>-0.43419999999999997</v>
      </c>
    </row>
    <row r="68" spans="1:46" ht="39.75" customHeight="1" x14ac:dyDescent="0.25">
      <c r="A68" s="361" t="s">
        <v>466</v>
      </c>
      <c r="B68" s="361" t="s">
        <v>351</v>
      </c>
      <c r="C68" s="362" t="s">
        <v>607</v>
      </c>
      <c r="D68" s="373" t="s">
        <v>350</v>
      </c>
      <c r="E68" s="373" t="s">
        <v>169</v>
      </c>
      <c r="F68" s="359">
        <f>VLOOKUP(E68,'условия, ФОТ'!$A$14:$I$28,9, FALSE)</f>
        <v>326.24</v>
      </c>
      <c r="G68" s="359">
        <v>3.5</v>
      </c>
      <c r="H68" s="359">
        <f t="shared" si="28"/>
        <v>1141.8399999999999</v>
      </c>
      <c r="I68" s="359">
        <f t="shared" si="29"/>
        <v>344.84</v>
      </c>
      <c r="J68" s="359">
        <f t="shared" si="30"/>
        <v>1486.6799999999998</v>
      </c>
      <c r="K68" s="363"/>
      <c r="L68" s="359"/>
      <c r="M68" s="359"/>
      <c r="N68" s="359"/>
      <c r="O68" s="359"/>
      <c r="P68" s="359">
        <f t="shared" si="31"/>
        <v>1486.6799999999998</v>
      </c>
      <c r="Q68" s="359">
        <f t="shared" si="32"/>
        <v>1152.18</v>
      </c>
      <c r="R68" s="369">
        <f>ROUND(T68/1.2,2)</f>
        <v>1415.83</v>
      </c>
      <c r="S68" s="369">
        <f>ROUND(R68*$S$5,2)</f>
        <v>283.17</v>
      </c>
      <c r="T68" s="369">
        <f>ROUND((P68+Q68)*(1+AC68)*1.2,0)</f>
        <v>1699</v>
      </c>
      <c r="U68" s="121">
        <v>1471</v>
      </c>
      <c r="V68" s="122">
        <f t="shared" si="34"/>
        <v>15.499660095173368</v>
      </c>
      <c r="W68" s="377">
        <v>1518</v>
      </c>
      <c r="X68" s="367">
        <f t="shared" si="0"/>
        <v>11.923583662714094</v>
      </c>
      <c r="Y68" s="117">
        <v>1518</v>
      </c>
      <c r="Z68" s="368">
        <v>1.119</v>
      </c>
      <c r="AA68" s="152">
        <f>ROUND(W68*Z68,2)</f>
        <v>1698.64</v>
      </c>
      <c r="AB68" s="157">
        <f>ROUND((P68+Q68)*1.2,2)</f>
        <v>3166.63</v>
      </c>
      <c r="AC68" s="170">
        <f>ROUND((AA68/AB68)*100%-100%,4)</f>
        <v>-0.46360000000000001</v>
      </c>
      <c r="AD68" s="366">
        <f t="shared" si="1"/>
        <v>-1468.0496680000001</v>
      </c>
      <c r="AF68">
        <v>1569.6120000000001</v>
      </c>
      <c r="AG68" s="379">
        <v>1570</v>
      </c>
      <c r="AH68" s="358">
        <f t="shared" si="2"/>
        <v>129</v>
      </c>
      <c r="AJ68" s="379">
        <v>-0.03</v>
      </c>
      <c r="AK68" s="366">
        <f t="shared" si="3"/>
        <v>1.03</v>
      </c>
      <c r="AL68" s="366">
        <v>1.0649999999999999</v>
      </c>
      <c r="AN68" s="152">
        <f t="shared" si="10"/>
        <v>1616.67</v>
      </c>
      <c r="AP68" s="379">
        <v>1.034</v>
      </c>
      <c r="AQ68" s="243">
        <v>-0.03</v>
      </c>
      <c r="AR68" s="366">
        <f t="shared" si="4"/>
        <v>8.4999999999999964E-2</v>
      </c>
      <c r="AT68" s="241">
        <f t="shared" si="5"/>
        <v>-0.43359999999999999</v>
      </c>
    </row>
    <row r="69" spans="1:46" ht="42.75" customHeight="1" x14ac:dyDescent="0.25">
      <c r="A69" s="361" t="s">
        <v>467</v>
      </c>
      <c r="B69" s="361" t="s">
        <v>35</v>
      </c>
      <c r="C69" s="362" t="s">
        <v>389</v>
      </c>
      <c r="D69" s="373" t="s">
        <v>350</v>
      </c>
      <c r="E69" s="373" t="s">
        <v>169</v>
      </c>
      <c r="F69" s="359">
        <f>VLOOKUP(E69,'условия, ФОТ'!$A$14:$I$28,9, FALSE)</f>
        <v>326.24</v>
      </c>
      <c r="G69" s="359">
        <v>0.5</v>
      </c>
      <c r="H69" s="359">
        <f t="shared" si="28"/>
        <v>163.12</v>
      </c>
      <c r="I69" s="359">
        <f t="shared" si="29"/>
        <v>49.26</v>
      </c>
      <c r="J69" s="359">
        <f t="shared" si="30"/>
        <v>212.38</v>
      </c>
      <c r="K69" s="363"/>
      <c r="L69" s="359"/>
      <c r="M69" s="359"/>
      <c r="N69" s="359"/>
      <c r="O69" s="359">
        <f>SUM(O70:O73)</f>
        <v>130.07999999999998</v>
      </c>
      <c r="P69" s="359">
        <f>J69+O69</f>
        <v>342.46</v>
      </c>
      <c r="Q69" s="359">
        <f t="shared" si="16"/>
        <v>265.41000000000003</v>
      </c>
      <c r="R69" s="369">
        <f>ROUND(T69/1.2,2)</f>
        <v>361.67</v>
      </c>
      <c r="S69" s="369">
        <f t="shared" si="17"/>
        <v>72.33</v>
      </c>
      <c r="T69" s="369">
        <f>ROUND((P69+Q69)*(1+AC69)*1.2,0)</f>
        <v>434</v>
      </c>
      <c r="U69" s="121">
        <v>407</v>
      </c>
      <c r="V69" s="127">
        <f t="shared" si="26"/>
        <v>6.6339066339066335</v>
      </c>
      <c r="W69" s="377">
        <v>420</v>
      </c>
      <c r="X69" s="367">
        <f t="shared" si="0"/>
        <v>3.3333333333333428</v>
      </c>
      <c r="Y69" s="117">
        <v>420</v>
      </c>
      <c r="Z69" s="356">
        <v>1.034</v>
      </c>
      <c r="AA69" s="152">
        <f>ROUND(W69*Z69,2)</f>
        <v>434.28</v>
      </c>
      <c r="AB69" s="157">
        <f>ROUND((P69+Q69)*1.2,2)</f>
        <v>729.44</v>
      </c>
      <c r="AC69" s="170">
        <f>ROUND((AA69/AB69)*100%-100%,4)</f>
        <v>-0.40460000000000002</v>
      </c>
      <c r="AD69" s="366">
        <f t="shared" si="1"/>
        <v>-295.13142400000004</v>
      </c>
      <c r="AF69">
        <v>434.28000000000003</v>
      </c>
      <c r="AG69" s="379">
        <v>434</v>
      </c>
      <c r="AH69" s="358">
        <f t="shared" si="2"/>
        <v>0</v>
      </c>
      <c r="AJ69" s="379">
        <v>8.5199999999999998E-2</v>
      </c>
      <c r="AK69" s="366">
        <f t="shared" si="3"/>
        <v>8.5199999999999998E-2</v>
      </c>
      <c r="AL69" s="366">
        <v>0</v>
      </c>
      <c r="AN69" s="152"/>
      <c r="AP69" s="379">
        <v>1.034</v>
      </c>
      <c r="AQ69" s="243">
        <v>8.5199999999999998E-2</v>
      </c>
      <c r="AR69" s="366">
        <f t="shared" si="4"/>
        <v>0</v>
      </c>
      <c r="AT69" s="241">
        <f t="shared" si="5"/>
        <v>-0.48980000000000001</v>
      </c>
    </row>
    <row r="70" spans="1:46" ht="29.25" customHeight="1" outlineLevel="1" x14ac:dyDescent="0.25">
      <c r="A70" s="361"/>
      <c r="B70" s="361"/>
      <c r="C70" s="362"/>
      <c r="D70" s="373"/>
      <c r="E70" s="359"/>
      <c r="F70" s="359"/>
      <c r="G70" s="359"/>
      <c r="H70" s="359"/>
      <c r="I70" s="359"/>
      <c r="J70" s="178" t="s">
        <v>385</v>
      </c>
      <c r="K70" s="92" t="s">
        <v>172</v>
      </c>
      <c r="L70" s="364" t="str">
        <f>VLOOKUP(K70,материалы!$A$5:$G$31,5, FALSE)</f>
        <v>шт.</v>
      </c>
      <c r="M70" s="359">
        <f>VLOOKUP(K70,материалы!$A$5:$G$31,7, FALSE)</f>
        <v>60</v>
      </c>
      <c r="N70" s="359">
        <v>1</v>
      </c>
      <c r="O70" s="359">
        <f>ROUND(M70*N70,2)</f>
        <v>60</v>
      </c>
      <c r="P70" s="359"/>
      <c r="Q70" s="359"/>
      <c r="R70" s="369"/>
      <c r="S70" s="369"/>
      <c r="T70" s="369"/>
      <c r="U70" s="121"/>
      <c r="V70" s="127"/>
      <c r="W70" s="377"/>
      <c r="X70" s="367"/>
      <c r="Z70" s="356"/>
      <c r="AA70" s="366"/>
      <c r="AB70" s="158"/>
      <c r="AC70" s="170"/>
      <c r="AD70" s="366"/>
      <c r="AG70" s="379"/>
      <c r="AH70" s="358"/>
      <c r="AJ70" s="379"/>
      <c r="AK70" s="366"/>
      <c r="AL70" s="366"/>
      <c r="AN70" s="152"/>
      <c r="AP70" s="379"/>
      <c r="AQ70" s="243"/>
      <c r="AR70" s="366"/>
      <c r="AT70" s="241"/>
    </row>
    <row r="71" spans="1:46" ht="28.5" customHeight="1" outlineLevel="1" x14ac:dyDescent="0.25">
      <c r="A71" s="361"/>
      <c r="B71" s="361"/>
      <c r="C71" s="362"/>
      <c r="D71" s="373"/>
      <c r="E71" s="359"/>
      <c r="F71" s="359"/>
      <c r="G71" s="359"/>
      <c r="H71" s="359"/>
      <c r="I71" s="359"/>
      <c r="J71" s="359"/>
      <c r="K71" s="92" t="s">
        <v>341</v>
      </c>
      <c r="L71" s="364" t="str">
        <f>VLOOKUP(K71,материалы!$A$5:$G$31,5, FALSE)</f>
        <v>кг</v>
      </c>
      <c r="M71" s="359">
        <f>VLOOKUP(K71,материалы!$A$5:$G$31,7, FALSE)</f>
        <v>950</v>
      </c>
      <c r="N71" s="359">
        <v>0.01</v>
      </c>
      <c r="O71" s="359">
        <f t="shared" ref="O71:O73" si="35">ROUND(M71*N71,2)</f>
        <v>9.5</v>
      </c>
      <c r="P71" s="359"/>
      <c r="Q71" s="359"/>
      <c r="R71" s="369"/>
      <c r="S71" s="369"/>
      <c r="T71" s="369"/>
      <c r="U71" s="121"/>
      <c r="V71" s="127"/>
      <c r="W71" s="377"/>
      <c r="X71" s="367"/>
      <c r="Z71" s="356"/>
      <c r="AA71" s="366"/>
      <c r="AB71" s="158"/>
      <c r="AC71" s="170"/>
      <c r="AD71" s="366"/>
      <c r="AG71" s="379"/>
      <c r="AH71" s="358"/>
      <c r="AJ71" s="379"/>
      <c r="AK71" s="366"/>
      <c r="AL71" s="366"/>
      <c r="AN71" s="152"/>
      <c r="AP71" s="379"/>
      <c r="AQ71" s="243"/>
      <c r="AR71" s="366"/>
      <c r="AT71" s="241"/>
    </row>
    <row r="72" spans="1:46" ht="38.25" outlineLevel="1" x14ac:dyDescent="0.25">
      <c r="A72" s="361"/>
      <c r="B72" s="361"/>
      <c r="C72" s="362"/>
      <c r="D72" s="373"/>
      <c r="E72" s="359"/>
      <c r="F72" s="359"/>
      <c r="G72" s="359"/>
      <c r="H72" s="359"/>
      <c r="I72" s="359"/>
      <c r="J72" s="359"/>
      <c r="K72" s="92" t="s">
        <v>390</v>
      </c>
      <c r="L72" s="364" t="str">
        <f>VLOOKUP(K72,материалы!$A$5:$G$31,5, FALSE)</f>
        <v>шт.</v>
      </c>
      <c r="M72" s="359">
        <f>VLOOKUP(K72,материалы!$A$5:$G$31,7, FALSE)</f>
        <v>0.57999999999999996</v>
      </c>
      <c r="N72" s="359">
        <v>1</v>
      </c>
      <c r="O72" s="359">
        <f t="shared" si="35"/>
        <v>0.57999999999999996</v>
      </c>
      <c r="P72" s="359"/>
      <c r="Q72" s="359"/>
      <c r="R72" s="369"/>
      <c r="S72" s="369"/>
      <c r="T72" s="369"/>
      <c r="U72" s="121"/>
      <c r="V72" s="127"/>
      <c r="W72" s="377"/>
      <c r="X72" s="367"/>
      <c r="Z72" s="356"/>
      <c r="AA72" s="366"/>
      <c r="AB72" s="158"/>
      <c r="AC72" s="170"/>
      <c r="AD72" s="366"/>
      <c r="AG72" s="379"/>
      <c r="AH72" s="358"/>
      <c r="AJ72" s="379"/>
      <c r="AK72" s="366"/>
      <c r="AL72" s="366"/>
      <c r="AN72" s="152"/>
      <c r="AP72" s="379"/>
      <c r="AQ72" s="243"/>
      <c r="AR72" s="366"/>
      <c r="AT72" s="241"/>
    </row>
    <row r="73" spans="1:46" ht="51" outlineLevel="1" x14ac:dyDescent="0.25">
      <c r="A73" s="361"/>
      <c r="B73" s="361"/>
      <c r="C73" s="362"/>
      <c r="D73" s="373"/>
      <c r="E73" s="359"/>
      <c r="F73" s="359"/>
      <c r="G73" s="359"/>
      <c r="H73" s="359"/>
      <c r="I73" s="359"/>
      <c r="J73" s="359"/>
      <c r="K73" s="92" t="s">
        <v>345</v>
      </c>
      <c r="L73" s="364" t="str">
        <f>VLOOKUP(K73,материалы!$A$5:$G$31,5, FALSE)</f>
        <v>шт.</v>
      </c>
      <c r="M73" s="359">
        <f>VLOOKUP(K73,материалы!$A$5:$G$31,7, FALSE)</f>
        <v>30</v>
      </c>
      <c r="N73" s="359">
        <v>2</v>
      </c>
      <c r="O73" s="359">
        <f t="shared" si="35"/>
        <v>60</v>
      </c>
      <c r="P73" s="359"/>
      <c r="Q73" s="359"/>
      <c r="R73" s="369"/>
      <c r="S73" s="369"/>
      <c r="T73" s="369"/>
      <c r="U73" s="121"/>
      <c r="V73" s="127"/>
      <c r="W73" s="377"/>
      <c r="X73" s="367"/>
      <c r="Z73" s="356"/>
      <c r="AA73" s="366"/>
      <c r="AB73" s="158"/>
      <c r="AC73" s="170"/>
      <c r="AD73" s="366"/>
      <c r="AG73" s="379"/>
      <c r="AH73" s="358"/>
      <c r="AJ73" s="379"/>
      <c r="AK73" s="366"/>
      <c r="AL73" s="366"/>
      <c r="AN73" s="152"/>
      <c r="AP73" s="379"/>
      <c r="AQ73" s="243"/>
      <c r="AR73" s="366"/>
      <c r="AT73" s="241"/>
    </row>
    <row r="74" spans="1:46" ht="19.5" customHeight="1" x14ac:dyDescent="0.25">
      <c r="A74" s="979" t="s">
        <v>468</v>
      </c>
      <c r="B74" s="979" t="s">
        <v>35</v>
      </c>
      <c r="C74" s="995" t="s">
        <v>391</v>
      </c>
      <c r="D74" s="983" t="s">
        <v>350</v>
      </c>
      <c r="E74" s="359" t="s">
        <v>169</v>
      </c>
      <c r="F74" s="359">
        <f>VLOOKUP(E74,'условия, ФОТ'!$A$14:$I$28,9, FALSE)</f>
        <v>326.24</v>
      </c>
      <c r="G74" s="359">
        <v>0.5</v>
      </c>
      <c r="H74" s="985">
        <f>ROUND((F74*G74+F75*G75),2)</f>
        <v>391.13</v>
      </c>
      <c r="I74" s="985">
        <f>ROUND(H74*$I$5,2)</f>
        <v>118.12</v>
      </c>
      <c r="J74" s="985">
        <f>H74+I74</f>
        <v>509.25</v>
      </c>
      <c r="K74" s="986"/>
      <c r="L74" s="985"/>
      <c r="M74" s="985"/>
      <c r="N74" s="985"/>
      <c r="O74" s="985">
        <f>SUM(O76:O83)</f>
        <v>263.5</v>
      </c>
      <c r="P74" s="1023">
        <f>J74+O74</f>
        <v>772.75</v>
      </c>
      <c r="Q74" s="1023">
        <f>ROUND(P74*$Q$5,2)</f>
        <v>598.88</v>
      </c>
      <c r="R74" s="1020">
        <f>ROUND(T74/1.2,2)</f>
        <v>740.83</v>
      </c>
      <c r="S74" s="1020">
        <f>ROUND(R74*$S$5,2)</f>
        <v>148.16999999999999</v>
      </c>
      <c r="T74" s="1004">
        <f>ROUND((P74+Q74)*(1+AC74)*1.2,0)</f>
        <v>889</v>
      </c>
      <c r="U74" s="794">
        <v>834</v>
      </c>
      <c r="V74" s="1022">
        <f>T74/U74*100-100</f>
        <v>6.5947242206235046</v>
      </c>
      <c r="W74" s="1001">
        <v>860</v>
      </c>
      <c r="X74" s="1002">
        <f t="shared" ref="X74:X133" si="36">T74/W74*100-100</f>
        <v>3.3720930232558004</v>
      </c>
      <c r="Y74" s="117">
        <v>860</v>
      </c>
      <c r="Z74" s="751">
        <v>1.034</v>
      </c>
      <c r="AA74" s="1003">
        <f>ROUND(W74*Z74,2)</f>
        <v>889.24</v>
      </c>
      <c r="AB74" s="1005">
        <f>ROUND((P74+Q74)*1.2,2)</f>
        <v>1645.96</v>
      </c>
      <c r="AC74" s="1006">
        <f>ROUND((AA74/AB74)*100%-100%,4)</f>
        <v>-0.4597</v>
      </c>
      <c r="AD74" s="1019">
        <f t="shared" ref="AD74:AD133" si="37">AB74*AC74</f>
        <v>-756.64781200000004</v>
      </c>
      <c r="AF74">
        <v>889.24</v>
      </c>
      <c r="AG74" s="759">
        <v>889</v>
      </c>
      <c r="AH74" s="1008">
        <f t="shared" ref="AH74:AH133" si="38">T74-AG74</f>
        <v>0</v>
      </c>
      <c r="AJ74" s="759">
        <v>0.1588</v>
      </c>
      <c r="AK74" s="751">
        <f t="shared" ref="AK74:AK133" si="39">IF(AJ74&lt;0,-AJ74+1,AJ74)</f>
        <v>0.1588</v>
      </c>
      <c r="AL74" s="751">
        <v>0</v>
      </c>
      <c r="AN74" s="879"/>
      <c r="AP74" s="759">
        <v>1.034</v>
      </c>
      <c r="AQ74" s="877">
        <v>0.1588</v>
      </c>
      <c r="AR74" s="751">
        <f t="shared" ref="AR74:AR133" si="40">Z74-AP74</f>
        <v>0</v>
      </c>
      <c r="AT74" s="747">
        <f t="shared" ref="AT74:AT133" si="41">AC74-AQ74</f>
        <v>-0.61850000000000005</v>
      </c>
    </row>
    <row r="75" spans="1:46" ht="21.75" customHeight="1" x14ac:dyDescent="0.25">
      <c r="A75" s="979"/>
      <c r="B75" s="979"/>
      <c r="C75" s="995"/>
      <c r="D75" s="983"/>
      <c r="E75" s="373" t="s">
        <v>174</v>
      </c>
      <c r="F75" s="359">
        <f>VLOOKUP(E75,'условия, ФОТ'!$A$14:$I$28,9, FALSE)</f>
        <v>456.01</v>
      </c>
      <c r="G75" s="359">
        <v>0.5</v>
      </c>
      <c r="H75" s="985">
        <f t="shared" ref="H75" si="42">ROUND(F75*G75,2)</f>
        <v>228.01</v>
      </c>
      <c r="I75" s="985">
        <f t="shared" ref="I75" si="43">ROUND(H75*$I$5,2)</f>
        <v>68.86</v>
      </c>
      <c r="J75" s="985">
        <f t="shared" ref="J75" si="44">H75+I75</f>
        <v>296.87</v>
      </c>
      <c r="K75" s="986"/>
      <c r="L75" s="985"/>
      <c r="M75" s="985"/>
      <c r="N75" s="985"/>
      <c r="O75" s="985"/>
      <c r="P75" s="1021"/>
      <c r="Q75" s="1021"/>
      <c r="R75" s="1021"/>
      <c r="S75" s="1021"/>
      <c r="T75" s="1004">
        <f>ROUND((P75+Q75)*(1+$R$5)*1.18,0)</f>
        <v>0</v>
      </c>
      <c r="U75" s="1009"/>
      <c r="V75" s="1022"/>
      <c r="W75" s="1001"/>
      <c r="X75" s="1002"/>
      <c r="Z75" s="752"/>
      <c r="AA75" s="1003"/>
      <c r="AB75" s="1005"/>
      <c r="AC75" s="1007"/>
      <c r="AD75" s="1019"/>
      <c r="AG75" s="760"/>
      <c r="AH75" s="1008"/>
      <c r="AJ75" s="760"/>
      <c r="AK75" s="752"/>
      <c r="AL75" s="752"/>
      <c r="AN75" s="880"/>
      <c r="AP75" s="760"/>
      <c r="AQ75" s="878"/>
      <c r="AR75" s="752"/>
      <c r="AT75" s="748"/>
    </row>
    <row r="76" spans="1:46" ht="25.5" outlineLevel="1" x14ac:dyDescent="0.25">
      <c r="A76" s="361"/>
      <c r="B76" s="361"/>
      <c r="C76" s="362"/>
      <c r="D76" s="373"/>
      <c r="E76" s="359"/>
      <c r="F76" s="359"/>
      <c r="G76" s="376"/>
      <c r="H76" s="359"/>
      <c r="I76" s="359"/>
      <c r="J76" s="178" t="s">
        <v>385</v>
      </c>
      <c r="K76" s="92" t="s">
        <v>172</v>
      </c>
      <c r="L76" s="364" t="str">
        <f>VLOOKUP(K76,материалы!$A$5:$G$31,5, FALSE)</f>
        <v>шт.</v>
      </c>
      <c r="M76" s="359">
        <f>VLOOKUP(K76,материалы!$A$5:$G$31,7, FALSE)</f>
        <v>60</v>
      </c>
      <c r="N76" s="359">
        <v>1</v>
      </c>
      <c r="O76" s="359">
        <f>ROUND(M76*N76,2)</f>
        <v>60</v>
      </c>
      <c r="P76" s="359"/>
      <c r="Q76" s="359"/>
      <c r="R76" s="369"/>
      <c r="S76" s="369"/>
      <c r="T76" s="369"/>
      <c r="U76" s="121"/>
      <c r="V76" s="128"/>
      <c r="W76" s="377"/>
      <c r="X76" s="367"/>
      <c r="Z76" s="356"/>
      <c r="AA76" s="366"/>
      <c r="AB76" s="158"/>
      <c r="AC76" s="170"/>
      <c r="AD76" s="366"/>
      <c r="AG76" s="379"/>
      <c r="AH76" s="358"/>
      <c r="AJ76" s="379"/>
      <c r="AK76" s="366"/>
      <c r="AL76" s="366"/>
      <c r="AN76" s="152"/>
      <c r="AP76" s="379"/>
      <c r="AQ76" s="243"/>
      <c r="AR76" s="366"/>
      <c r="AT76" s="241"/>
    </row>
    <row r="77" spans="1:46" ht="18" customHeight="1" outlineLevel="1" x14ac:dyDescent="0.25">
      <c r="A77" s="361"/>
      <c r="B77" s="361"/>
      <c r="C77" s="362"/>
      <c r="D77" s="373"/>
      <c r="E77" s="359"/>
      <c r="F77" s="359"/>
      <c r="G77" s="376"/>
      <c r="H77" s="359"/>
      <c r="I77" s="359"/>
      <c r="J77" s="359"/>
      <c r="K77" s="92" t="s">
        <v>329</v>
      </c>
      <c r="L77" s="364" t="str">
        <f>VLOOKUP(K77,материалы!$A$5:$G$31,5, FALSE)</f>
        <v>м3</v>
      </c>
      <c r="M77" s="359">
        <f>VLOOKUP(K77,материалы!$A$5:$G$31,7, FALSE)</f>
        <v>1033.33</v>
      </c>
      <c r="N77" s="364">
        <v>8.7499999999999994E-2</v>
      </c>
      <c r="O77" s="359">
        <f t="shared" ref="O77:O88" si="45">ROUND(M77*N77,2)</f>
        <v>90.42</v>
      </c>
      <c r="P77" s="359"/>
      <c r="Q77" s="359"/>
      <c r="R77" s="369"/>
      <c r="S77" s="369"/>
      <c r="T77" s="369"/>
      <c r="U77" s="121"/>
      <c r="V77" s="128"/>
      <c r="W77" s="377"/>
      <c r="X77" s="367"/>
      <c r="Z77" s="356"/>
      <c r="AA77" s="366"/>
      <c r="AB77" s="158"/>
      <c r="AC77" s="170"/>
      <c r="AD77" s="366"/>
      <c r="AG77" s="379"/>
      <c r="AH77" s="358"/>
      <c r="AJ77" s="379"/>
      <c r="AK77" s="366"/>
      <c r="AL77" s="366"/>
      <c r="AN77" s="152"/>
      <c r="AP77" s="379"/>
      <c r="AQ77" s="243"/>
      <c r="AR77" s="366"/>
      <c r="AT77" s="241"/>
    </row>
    <row r="78" spans="1:46" ht="38.25" outlineLevel="1" x14ac:dyDescent="0.25">
      <c r="A78" s="361"/>
      <c r="B78" s="361"/>
      <c r="C78" s="362"/>
      <c r="D78" s="373"/>
      <c r="E78" s="359"/>
      <c r="F78" s="359"/>
      <c r="G78" s="376"/>
      <c r="H78" s="359"/>
      <c r="I78" s="359"/>
      <c r="J78" s="359"/>
      <c r="K78" s="92" t="s">
        <v>347</v>
      </c>
      <c r="L78" s="364" t="str">
        <f>VLOOKUP(K78,материалы!$A$5:$G$31,5, FALSE)</f>
        <v>кг</v>
      </c>
      <c r="M78" s="359">
        <f>VLOOKUP(K78,материалы!$A$5:$G$31,7, FALSE)</f>
        <v>300</v>
      </c>
      <c r="N78" s="359">
        <v>0.1</v>
      </c>
      <c r="O78" s="359">
        <f t="shared" si="45"/>
        <v>30</v>
      </c>
      <c r="P78" s="359"/>
      <c r="Q78" s="359"/>
      <c r="R78" s="369"/>
      <c r="S78" s="369"/>
      <c r="T78" s="369"/>
      <c r="U78" s="121"/>
      <c r="V78" s="128"/>
      <c r="W78" s="377"/>
      <c r="X78" s="367"/>
      <c r="Z78" s="356"/>
      <c r="AA78" s="366"/>
      <c r="AB78" s="158"/>
      <c r="AC78" s="170"/>
      <c r="AD78" s="366"/>
      <c r="AG78" s="379"/>
      <c r="AH78" s="358"/>
      <c r="AJ78" s="379"/>
      <c r="AK78" s="366"/>
      <c r="AL78" s="366"/>
      <c r="AN78" s="152"/>
      <c r="AP78" s="379"/>
      <c r="AQ78" s="243"/>
      <c r="AR78" s="366"/>
      <c r="AT78" s="241"/>
    </row>
    <row r="79" spans="1:46" outlineLevel="1" x14ac:dyDescent="0.25">
      <c r="A79" s="361"/>
      <c r="B79" s="361"/>
      <c r="C79" s="362"/>
      <c r="D79" s="373"/>
      <c r="E79" s="359"/>
      <c r="F79" s="359"/>
      <c r="G79" s="376"/>
      <c r="H79" s="359"/>
      <c r="I79" s="359"/>
      <c r="J79" s="359"/>
      <c r="K79" s="92" t="s">
        <v>330</v>
      </c>
      <c r="L79" s="364" t="str">
        <f>VLOOKUP(K79,материалы!$A$5:$G$31,5, FALSE)</f>
        <v>м3</v>
      </c>
      <c r="M79" s="359">
        <f>VLOOKUP(K79,материалы!$A$5:$G$31,7, FALSE)</f>
        <v>116.67</v>
      </c>
      <c r="N79" s="359">
        <v>1.4999999999999999E-2</v>
      </c>
      <c r="O79" s="359">
        <f t="shared" si="45"/>
        <v>1.75</v>
      </c>
      <c r="P79" s="359"/>
      <c r="Q79" s="359"/>
      <c r="R79" s="369"/>
      <c r="S79" s="369"/>
      <c r="T79" s="369"/>
      <c r="U79" s="121"/>
      <c r="V79" s="128"/>
      <c r="W79" s="377"/>
      <c r="X79" s="367"/>
      <c r="Z79" s="356"/>
      <c r="AA79" s="366"/>
      <c r="AB79" s="158"/>
      <c r="AC79" s="170"/>
      <c r="AD79" s="366"/>
      <c r="AG79" s="379"/>
      <c r="AH79" s="358"/>
      <c r="AJ79" s="379"/>
      <c r="AK79" s="366"/>
      <c r="AL79" s="366"/>
      <c r="AN79" s="152"/>
      <c r="AP79" s="379"/>
      <c r="AQ79" s="243"/>
      <c r="AR79" s="366"/>
      <c r="AT79" s="241"/>
    </row>
    <row r="80" spans="1:46" ht="33.75" customHeight="1" outlineLevel="1" x14ac:dyDescent="0.25">
      <c r="A80" s="361"/>
      <c r="B80" s="361"/>
      <c r="C80" s="362"/>
      <c r="D80" s="373"/>
      <c r="E80" s="359"/>
      <c r="F80" s="359"/>
      <c r="G80" s="376"/>
      <c r="H80" s="359"/>
      <c r="I80" s="359"/>
      <c r="J80" s="359"/>
      <c r="K80" s="92" t="s">
        <v>348</v>
      </c>
      <c r="L80" s="364" t="str">
        <f>VLOOKUP(K80,материалы!$A$5:$G$31,5, FALSE)</f>
        <v>шт.</v>
      </c>
      <c r="M80" s="359">
        <f>VLOOKUP(K80,материалы!$A$5:$G$31,7, FALSE)</f>
        <v>45</v>
      </c>
      <c r="N80" s="359">
        <v>0.25</v>
      </c>
      <c r="O80" s="359">
        <f t="shared" si="45"/>
        <v>11.25</v>
      </c>
      <c r="P80" s="359"/>
      <c r="Q80" s="359"/>
      <c r="R80" s="369"/>
      <c r="S80" s="369"/>
      <c r="T80" s="369"/>
      <c r="U80" s="121"/>
      <c r="V80" s="128"/>
      <c r="W80" s="377"/>
      <c r="X80" s="367"/>
      <c r="Z80" s="356"/>
      <c r="AA80" s="366"/>
      <c r="AB80" s="158"/>
      <c r="AC80" s="170"/>
      <c r="AD80" s="366"/>
      <c r="AG80" s="379"/>
      <c r="AH80" s="358"/>
      <c r="AJ80" s="379"/>
      <c r="AK80" s="366"/>
      <c r="AL80" s="366"/>
      <c r="AN80" s="152"/>
      <c r="AP80" s="379"/>
      <c r="AQ80" s="243"/>
      <c r="AR80" s="366"/>
      <c r="AT80" s="241"/>
    </row>
    <row r="81" spans="1:46" ht="25.5" outlineLevel="1" x14ac:dyDescent="0.25">
      <c r="A81" s="361"/>
      <c r="B81" s="361"/>
      <c r="C81" s="362"/>
      <c r="D81" s="373"/>
      <c r="E81" s="359"/>
      <c r="F81" s="359"/>
      <c r="G81" s="376"/>
      <c r="H81" s="359"/>
      <c r="I81" s="359"/>
      <c r="J81" s="359"/>
      <c r="K81" s="92" t="s">
        <v>341</v>
      </c>
      <c r="L81" s="364" t="str">
        <f>VLOOKUP(K81,материалы!$A$5:$G$31,5, FALSE)</f>
        <v>кг</v>
      </c>
      <c r="M81" s="359">
        <f>VLOOKUP(K81,материалы!$A$5:$G$31,7, FALSE)</f>
        <v>950</v>
      </c>
      <c r="N81" s="359">
        <v>0.01</v>
      </c>
      <c r="O81" s="359">
        <f t="shared" si="45"/>
        <v>9.5</v>
      </c>
      <c r="P81" s="359"/>
      <c r="Q81" s="359"/>
      <c r="R81" s="369"/>
      <c r="S81" s="369"/>
      <c r="T81" s="369"/>
      <c r="U81" s="121"/>
      <c r="V81" s="128"/>
      <c r="W81" s="377"/>
      <c r="X81" s="367"/>
      <c r="Z81" s="356"/>
      <c r="AA81" s="366"/>
      <c r="AB81" s="158"/>
      <c r="AC81" s="170"/>
      <c r="AD81" s="366"/>
      <c r="AG81" s="379"/>
      <c r="AH81" s="358"/>
      <c r="AJ81" s="379"/>
      <c r="AK81" s="366"/>
      <c r="AL81" s="366"/>
      <c r="AN81" s="152"/>
      <c r="AP81" s="379"/>
      <c r="AQ81" s="243"/>
      <c r="AR81" s="366"/>
      <c r="AT81" s="241"/>
    </row>
    <row r="82" spans="1:46" ht="38.25" outlineLevel="1" x14ac:dyDescent="0.25">
      <c r="A82" s="361"/>
      <c r="B82" s="361"/>
      <c r="C82" s="362"/>
      <c r="D82" s="373"/>
      <c r="E82" s="359"/>
      <c r="F82" s="359"/>
      <c r="G82" s="376"/>
      <c r="H82" s="359"/>
      <c r="I82" s="359"/>
      <c r="J82" s="359"/>
      <c r="K82" s="92" t="s">
        <v>390</v>
      </c>
      <c r="L82" s="364" t="str">
        <f>VLOOKUP(K82,материалы!$A$5:$G$31,5, FALSE)</f>
        <v>шт.</v>
      </c>
      <c r="M82" s="359">
        <f>VLOOKUP(K82,материалы!$A$5:$G$31,7, FALSE)</f>
        <v>0.57999999999999996</v>
      </c>
      <c r="N82" s="359">
        <v>1</v>
      </c>
      <c r="O82" s="359">
        <f t="shared" si="45"/>
        <v>0.57999999999999996</v>
      </c>
      <c r="P82" s="359"/>
      <c r="Q82" s="359"/>
      <c r="R82" s="369"/>
      <c r="S82" s="369"/>
      <c r="T82" s="369"/>
      <c r="U82" s="121"/>
      <c r="V82" s="128"/>
      <c r="W82" s="377"/>
      <c r="X82" s="367"/>
      <c r="Z82" s="356"/>
      <c r="AA82" s="366"/>
      <c r="AB82" s="158"/>
      <c r="AC82" s="170"/>
      <c r="AD82" s="366"/>
      <c r="AG82" s="379"/>
      <c r="AH82" s="358"/>
      <c r="AJ82" s="379"/>
      <c r="AK82" s="366"/>
      <c r="AL82" s="366"/>
      <c r="AN82" s="152"/>
      <c r="AP82" s="379"/>
      <c r="AQ82" s="243"/>
      <c r="AR82" s="366"/>
      <c r="AT82" s="241"/>
    </row>
    <row r="83" spans="1:46" ht="51" outlineLevel="1" x14ac:dyDescent="0.25">
      <c r="A83" s="361"/>
      <c r="B83" s="361"/>
      <c r="C83" s="362"/>
      <c r="D83" s="373"/>
      <c r="E83" s="359"/>
      <c r="F83" s="359"/>
      <c r="G83" s="376"/>
      <c r="H83" s="359"/>
      <c r="I83" s="359"/>
      <c r="J83" s="359"/>
      <c r="K83" s="92" t="s">
        <v>345</v>
      </c>
      <c r="L83" s="364" t="str">
        <f>VLOOKUP(K83,материалы!$A$5:$G$31,5, FALSE)</f>
        <v>шт.</v>
      </c>
      <c r="M83" s="359">
        <f>VLOOKUP(K83,материалы!$A$5:$G$31,7, FALSE)</f>
        <v>30</v>
      </c>
      <c r="N83" s="359">
        <v>2</v>
      </c>
      <c r="O83" s="359">
        <f t="shared" si="45"/>
        <v>60</v>
      </c>
      <c r="P83" s="359"/>
      <c r="Q83" s="359"/>
      <c r="R83" s="369"/>
      <c r="S83" s="369"/>
      <c r="T83" s="369"/>
      <c r="U83" s="121"/>
      <c r="V83" s="128"/>
      <c r="W83" s="377"/>
      <c r="X83" s="367"/>
      <c r="Z83" s="356"/>
      <c r="AA83" s="366"/>
      <c r="AB83" s="158"/>
      <c r="AC83" s="170"/>
      <c r="AD83" s="366"/>
      <c r="AG83" s="379"/>
      <c r="AH83" s="358"/>
      <c r="AJ83" s="379"/>
      <c r="AK83" s="366"/>
      <c r="AL83" s="366"/>
      <c r="AN83" s="152"/>
      <c r="AP83" s="379"/>
      <c r="AQ83" s="243"/>
      <c r="AR83" s="366"/>
      <c r="AT83" s="241"/>
    </row>
    <row r="84" spans="1:46" ht="39.75" customHeight="1" x14ac:dyDescent="0.25">
      <c r="A84" s="361" t="s">
        <v>469</v>
      </c>
      <c r="B84" s="361" t="s">
        <v>35</v>
      </c>
      <c r="C84" s="362" t="s">
        <v>392</v>
      </c>
      <c r="D84" s="373" t="s">
        <v>350</v>
      </c>
      <c r="E84" s="359" t="s">
        <v>169</v>
      </c>
      <c r="F84" s="359">
        <f>VLOOKUP(E84,'условия, ФОТ'!$A$14:$I$28,9, FALSE)</f>
        <v>326.24</v>
      </c>
      <c r="G84" s="359">
        <v>0.5</v>
      </c>
      <c r="H84" s="359">
        <f t="shared" si="28"/>
        <v>163.12</v>
      </c>
      <c r="I84" s="359">
        <f t="shared" si="29"/>
        <v>49.26</v>
      </c>
      <c r="J84" s="359">
        <f t="shared" si="30"/>
        <v>212.38</v>
      </c>
      <c r="K84" s="363"/>
      <c r="L84" s="359"/>
      <c r="M84" s="359"/>
      <c r="N84" s="359"/>
      <c r="O84" s="359">
        <f>SUM(O85:O88)</f>
        <v>130.66</v>
      </c>
      <c r="P84" s="359">
        <f>J84+O84</f>
        <v>343.03999999999996</v>
      </c>
      <c r="Q84" s="359">
        <f t="shared" si="16"/>
        <v>265.86</v>
      </c>
      <c r="R84" s="369">
        <f>ROUND(T84/1.2,2)</f>
        <v>432.5</v>
      </c>
      <c r="S84" s="369">
        <f t="shared" si="17"/>
        <v>86.5</v>
      </c>
      <c r="T84" s="369">
        <f>ROUND((P84+Q84)*(1+AC84)*1.2,0)</f>
        <v>519</v>
      </c>
      <c r="U84" s="121">
        <v>487</v>
      </c>
      <c r="V84" s="1022">
        <f>T84/U84*100-100</f>
        <v>6.5708418891170481</v>
      </c>
      <c r="W84" s="377">
        <v>502</v>
      </c>
      <c r="X84" s="367">
        <f t="shared" si="36"/>
        <v>3.3864541832669346</v>
      </c>
      <c r="Y84" s="117">
        <v>502</v>
      </c>
      <c r="Z84" s="356">
        <v>1.034</v>
      </c>
      <c r="AA84" s="152">
        <f>ROUND(W84*Z84,2)</f>
        <v>519.07000000000005</v>
      </c>
      <c r="AB84" s="157">
        <f>ROUND((P84+Q84)*1.2,2)</f>
        <v>730.68</v>
      </c>
      <c r="AC84" s="170">
        <f>ROUND((AA84/AB84)*100%-100%,4)</f>
        <v>-0.28960000000000002</v>
      </c>
      <c r="AD84" s="366">
        <f t="shared" si="37"/>
        <v>-211.604928</v>
      </c>
      <c r="AF84">
        <v>519.06799999999998</v>
      </c>
      <c r="AG84" s="379">
        <v>519</v>
      </c>
      <c r="AH84" s="358">
        <f t="shared" si="38"/>
        <v>0</v>
      </c>
      <c r="AJ84" s="379">
        <v>0.10150000000000001</v>
      </c>
      <c r="AK84" s="366">
        <f t="shared" si="39"/>
        <v>0.10150000000000001</v>
      </c>
      <c r="AL84" s="366">
        <v>0</v>
      </c>
      <c r="AN84" s="152"/>
      <c r="AP84" s="379">
        <v>1.034</v>
      </c>
      <c r="AQ84" s="243">
        <v>0.10150000000000001</v>
      </c>
      <c r="AR84" s="366">
        <f t="shared" si="40"/>
        <v>0</v>
      </c>
      <c r="AT84" s="241">
        <f t="shared" si="41"/>
        <v>-0.3911</v>
      </c>
    </row>
    <row r="85" spans="1:46" ht="25.5" outlineLevel="1" x14ac:dyDescent="0.25">
      <c r="A85" s="361"/>
      <c r="B85" s="361"/>
      <c r="C85" s="362"/>
      <c r="D85" s="373"/>
      <c r="E85" s="359"/>
      <c r="F85" s="376"/>
      <c r="G85" s="376"/>
      <c r="H85" s="359"/>
      <c r="I85" s="359"/>
      <c r="J85" s="178" t="s">
        <v>385</v>
      </c>
      <c r="K85" s="92" t="s">
        <v>173</v>
      </c>
      <c r="L85" s="364" t="str">
        <f>VLOOKUP(K85,материалы!$A$5:$G$31,5, FALSE)</f>
        <v>шт.</v>
      </c>
      <c r="M85" s="359">
        <f>VLOOKUP(K85,материалы!$A$5:$G$31,7, FALSE)</f>
        <v>60</v>
      </c>
      <c r="N85" s="359">
        <v>1</v>
      </c>
      <c r="O85" s="359">
        <f t="shared" si="45"/>
        <v>60</v>
      </c>
      <c r="P85" s="359"/>
      <c r="Q85" s="359"/>
      <c r="R85" s="369"/>
      <c r="S85" s="369"/>
      <c r="T85" s="369"/>
      <c r="U85" s="121"/>
      <c r="V85" s="1022"/>
      <c r="W85" s="377"/>
      <c r="X85" s="367"/>
      <c r="Z85" s="356"/>
      <c r="AA85" s="366"/>
      <c r="AB85" s="158"/>
      <c r="AC85" s="170"/>
      <c r="AD85" s="366"/>
      <c r="AG85" s="379"/>
      <c r="AH85" s="358"/>
      <c r="AJ85" s="379"/>
      <c r="AK85" s="366"/>
      <c r="AL85" s="366"/>
      <c r="AN85" s="152"/>
      <c r="AP85" s="379"/>
      <c r="AQ85" s="243"/>
      <c r="AR85" s="366"/>
      <c r="AT85" s="241"/>
    </row>
    <row r="86" spans="1:46" ht="25.5" outlineLevel="1" x14ac:dyDescent="0.25">
      <c r="A86" s="361"/>
      <c r="B86" s="361"/>
      <c r="C86" s="362"/>
      <c r="D86" s="373"/>
      <c r="E86" s="359"/>
      <c r="F86" s="376"/>
      <c r="G86" s="376"/>
      <c r="H86" s="359"/>
      <c r="I86" s="359"/>
      <c r="J86" s="359"/>
      <c r="K86" s="92" t="s">
        <v>341</v>
      </c>
      <c r="L86" s="364" t="str">
        <f>VLOOKUP(K86,материалы!$A$5:$G$31,5, FALSE)</f>
        <v>кг</v>
      </c>
      <c r="M86" s="359">
        <f>VLOOKUP(K86,материалы!$A$5:$G$31,7, FALSE)</f>
        <v>950</v>
      </c>
      <c r="N86" s="359">
        <v>0.01</v>
      </c>
      <c r="O86" s="359">
        <f t="shared" si="45"/>
        <v>9.5</v>
      </c>
      <c r="P86" s="359"/>
      <c r="Q86" s="359"/>
      <c r="R86" s="369"/>
      <c r="S86" s="369"/>
      <c r="T86" s="369"/>
      <c r="U86" s="121"/>
      <c r="V86" s="370"/>
      <c r="W86" s="377"/>
      <c r="X86" s="367"/>
      <c r="Z86" s="356"/>
      <c r="AA86" s="366"/>
      <c r="AB86" s="158"/>
      <c r="AC86" s="170"/>
      <c r="AD86" s="366"/>
      <c r="AG86" s="379"/>
      <c r="AH86" s="358"/>
      <c r="AJ86" s="379"/>
      <c r="AK86" s="366"/>
      <c r="AL86" s="366"/>
      <c r="AN86" s="152"/>
      <c r="AP86" s="379"/>
      <c r="AQ86" s="243"/>
      <c r="AR86" s="366"/>
      <c r="AT86" s="241"/>
    </row>
    <row r="87" spans="1:46" ht="38.25" outlineLevel="1" x14ac:dyDescent="0.25">
      <c r="A87" s="361"/>
      <c r="B87" s="361"/>
      <c r="C87" s="362"/>
      <c r="D87" s="373"/>
      <c r="E87" s="359"/>
      <c r="F87" s="376"/>
      <c r="G87" s="376"/>
      <c r="H87" s="359"/>
      <c r="I87" s="359"/>
      <c r="J87" s="359"/>
      <c r="K87" s="92" t="s">
        <v>390</v>
      </c>
      <c r="L87" s="364" t="str">
        <f>VLOOKUP(K87,материалы!$A$5:$G$31,5, FALSE)</f>
        <v>шт.</v>
      </c>
      <c r="M87" s="359">
        <f>VLOOKUP(K87,материалы!$A$5:$G$31,7, FALSE)</f>
        <v>0.57999999999999996</v>
      </c>
      <c r="N87" s="359">
        <v>2</v>
      </c>
      <c r="O87" s="359">
        <f t="shared" si="45"/>
        <v>1.1599999999999999</v>
      </c>
      <c r="P87" s="359"/>
      <c r="Q87" s="359"/>
      <c r="R87" s="369"/>
      <c r="S87" s="369"/>
      <c r="T87" s="369"/>
      <c r="U87" s="121"/>
      <c r="V87" s="370"/>
      <c r="W87" s="377"/>
      <c r="X87" s="367"/>
      <c r="Z87" s="356"/>
      <c r="AA87" s="366"/>
      <c r="AB87" s="158"/>
      <c r="AC87" s="170"/>
      <c r="AD87" s="366"/>
      <c r="AG87" s="379"/>
      <c r="AH87" s="358"/>
      <c r="AJ87" s="379"/>
      <c r="AK87" s="366"/>
      <c r="AL87" s="366"/>
      <c r="AN87" s="152"/>
      <c r="AP87" s="379"/>
      <c r="AQ87" s="243"/>
      <c r="AR87" s="366"/>
      <c r="AT87" s="241"/>
    </row>
    <row r="88" spans="1:46" ht="51" outlineLevel="1" x14ac:dyDescent="0.25">
      <c r="A88" s="361"/>
      <c r="B88" s="361"/>
      <c r="C88" s="362"/>
      <c r="D88" s="373"/>
      <c r="E88" s="359"/>
      <c r="F88" s="376"/>
      <c r="G88" s="376"/>
      <c r="H88" s="359"/>
      <c r="I88" s="359"/>
      <c r="J88" s="359"/>
      <c r="K88" s="92" t="s">
        <v>345</v>
      </c>
      <c r="L88" s="364" t="str">
        <f>VLOOKUP(K88,материалы!$A$5:$G$31,5, FALSE)</f>
        <v>шт.</v>
      </c>
      <c r="M88" s="359">
        <f>VLOOKUP(K88,материалы!$A$5:$G$31,7, FALSE)</f>
        <v>30</v>
      </c>
      <c r="N88" s="359">
        <v>2</v>
      </c>
      <c r="O88" s="359">
        <f t="shared" si="45"/>
        <v>60</v>
      </c>
      <c r="P88" s="359"/>
      <c r="Q88" s="359"/>
      <c r="R88" s="369"/>
      <c r="S88" s="369"/>
      <c r="T88" s="369"/>
      <c r="U88" s="121"/>
      <c r="V88" s="370"/>
      <c r="W88" s="377"/>
      <c r="X88" s="367"/>
      <c r="Z88" s="356"/>
      <c r="AA88" s="366"/>
      <c r="AB88" s="158"/>
      <c r="AC88" s="170"/>
      <c r="AD88" s="366"/>
      <c r="AG88" s="379"/>
      <c r="AH88" s="358"/>
      <c r="AJ88" s="379"/>
      <c r="AK88" s="366"/>
      <c r="AL88" s="366"/>
      <c r="AN88" s="152"/>
      <c r="AP88" s="379"/>
      <c r="AQ88" s="243"/>
      <c r="AR88" s="366"/>
      <c r="AT88" s="241"/>
    </row>
    <row r="89" spans="1:46" x14ac:dyDescent="0.25">
      <c r="A89" s="979" t="s">
        <v>470</v>
      </c>
      <c r="B89" s="979" t="s">
        <v>35</v>
      </c>
      <c r="C89" s="995" t="s">
        <v>393</v>
      </c>
      <c r="D89" s="983" t="s">
        <v>350</v>
      </c>
      <c r="E89" s="359" t="s">
        <v>169</v>
      </c>
      <c r="F89" s="359">
        <f>VLOOKUP(E89,'условия, ФОТ'!$A$14:$I$28,9, FALSE)</f>
        <v>326.24</v>
      </c>
      <c r="G89" s="359">
        <v>0.5</v>
      </c>
      <c r="H89" s="985">
        <f>ROUND((F89*G89+F90*G90),2)</f>
        <v>391.13</v>
      </c>
      <c r="I89" s="985">
        <f>ROUND(H89*$I$5,2)</f>
        <v>118.12</v>
      </c>
      <c r="J89" s="985">
        <f>H89+I89</f>
        <v>509.25</v>
      </c>
      <c r="K89" s="986"/>
      <c r="L89" s="985"/>
      <c r="M89" s="985"/>
      <c r="N89" s="985"/>
      <c r="O89" s="985">
        <f>SUM(O91:O98)</f>
        <v>264.08000000000004</v>
      </c>
      <c r="P89" s="1023">
        <f>J89+O89</f>
        <v>773.33</v>
      </c>
      <c r="Q89" s="1023">
        <f>ROUND(P89*$Q$5,2)</f>
        <v>599.33000000000004</v>
      </c>
      <c r="R89" s="1020">
        <f>ROUND(T89/1.2,2)</f>
        <v>812.5</v>
      </c>
      <c r="S89" s="1020">
        <f>ROUND(R89*$S$5,2)</f>
        <v>162.5</v>
      </c>
      <c r="T89" s="1004">
        <f>ROUND((P89+Q89)*(1+AC89)*1.2,0)</f>
        <v>975</v>
      </c>
      <c r="U89" s="794">
        <v>913</v>
      </c>
      <c r="V89" s="1022">
        <f>T89/U89*100-100</f>
        <v>6.7907995618839152</v>
      </c>
      <c r="W89" s="1001">
        <v>943</v>
      </c>
      <c r="X89" s="1002">
        <f t="shared" si="36"/>
        <v>3.3934252386002299</v>
      </c>
      <c r="Y89" s="117">
        <v>943</v>
      </c>
      <c r="Z89" s="751">
        <v>1.034</v>
      </c>
      <c r="AA89" s="1003">
        <f>ROUND(W89*Z89,2)</f>
        <v>975.06</v>
      </c>
      <c r="AB89" s="1005">
        <f>ROUND((P89+Q89)*1.2,2)</f>
        <v>1647.19</v>
      </c>
      <c r="AC89" s="1006">
        <f>ROUND((AA89/AB89)*100%-100%,4)</f>
        <v>-0.40799999999999997</v>
      </c>
      <c r="AD89" s="1019">
        <f t="shared" si="37"/>
        <v>-672.05351999999993</v>
      </c>
      <c r="AF89">
        <v>975.06200000000001</v>
      </c>
      <c r="AG89" s="759">
        <v>975</v>
      </c>
      <c r="AH89" s="1008">
        <f t="shared" si="38"/>
        <v>0</v>
      </c>
      <c r="AJ89" s="759">
        <v>0.16289999999999999</v>
      </c>
      <c r="AK89" s="751">
        <f t="shared" si="39"/>
        <v>0.16289999999999999</v>
      </c>
      <c r="AL89" s="751">
        <v>0</v>
      </c>
      <c r="AN89" s="879"/>
      <c r="AP89" s="759">
        <v>1.034</v>
      </c>
      <c r="AQ89" s="877">
        <v>0.16289999999999999</v>
      </c>
      <c r="AR89" s="751">
        <f t="shared" si="40"/>
        <v>0</v>
      </c>
      <c r="AT89" s="747">
        <f t="shared" si="41"/>
        <v>-0.57089999999999996</v>
      </c>
    </row>
    <row r="90" spans="1:46" ht="23.25" customHeight="1" x14ac:dyDescent="0.25">
      <c r="A90" s="979"/>
      <c r="B90" s="979"/>
      <c r="C90" s="995"/>
      <c r="D90" s="983"/>
      <c r="E90" s="373" t="s">
        <v>174</v>
      </c>
      <c r="F90" s="359">
        <f>VLOOKUP(E90,'условия, ФОТ'!$A$14:$I$28,9, FALSE)</f>
        <v>456.01</v>
      </c>
      <c r="G90" s="359">
        <v>0.5</v>
      </c>
      <c r="H90" s="985">
        <f t="shared" ref="H90" si="46">ROUND(F90*G90,2)</f>
        <v>228.01</v>
      </c>
      <c r="I90" s="985">
        <f t="shared" ref="I90" si="47">ROUND(H90*$I$5,2)</f>
        <v>68.86</v>
      </c>
      <c r="J90" s="985">
        <f t="shared" ref="J90" si="48">H90+I90</f>
        <v>296.87</v>
      </c>
      <c r="K90" s="986"/>
      <c r="L90" s="985"/>
      <c r="M90" s="985"/>
      <c r="N90" s="985"/>
      <c r="O90" s="985"/>
      <c r="P90" s="1021"/>
      <c r="Q90" s="1021"/>
      <c r="R90" s="1021"/>
      <c r="S90" s="1021"/>
      <c r="T90" s="1004">
        <f>ROUND((P90+Q90)*(1+$R$5)*1.18,0)</f>
        <v>0</v>
      </c>
      <c r="U90" s="1009"/>
      <c r="V90" s="1022"/>
      <c r="W90" s="1001"/>
      <c r="X90" s="1002"/>
      <c r="Z90" s="752"/>
      <c r="AA90" s="1003"/>
      <c r="AB90" s="1005"/>
      <c r="AC90" s="1007"/>
      <c r="AD90" s="1019"/>
      <c r="AG90" s="760"/>
      <c r="AH90" s="1008"/>
      <c r="AJ90" s="760"/>
      <c r="AK90" s="752"/>
      <c r="AL90" s="752"/>
      <c r="AN90" s="880"/>
      <c r="AP90" s="760"/>
      <c r="AQ90" s="878"/>
      <c r="AR90" s="752"/>
      <c r="AT90" s="748"/>
    </row>
    <row r="91" spans="1:46" ht="25.5" outlineLevel="1" x14ac:dyDescent="0.25">
      <c r="A91" s="361"/>
      <c r="B91" s="361"/>
      <c r="C91" s="362"/>
      <c r="D91" s="373"/>
      <c r="E91" s="359"/>
      <c r="F91" s="376"/>
      <c r="G91" s="376"/>
      <c r="H91" s="359"/>
      <c r="I91" s="359"/>
      <c r="J91" s="178" t="s">
        <v>385</v>
      </c>
      <c r="K91" s="92" t="s">
        <v>173</v>
      </c>
      <c r="L91" s="364" t="str">
        <f>VLOOKUP(K91,материалы!$A$5:$G$31,5, FALSE)</f>
        <v>шт.</v>
      </c>
      <c r="M91" s="359">
        <f>VLOOKUP(K91,материалы!$A$5:$G$31,7, FALSE)</f>
        <v>60</v>
      </c>
      <c r="N91" s="359">
        <v>1</v>
      </c>
      <c r="O91" s="359">
        <f t="shared" ref="O91:O98" si="49">ROUND(M91*N91,2)</f>
        <v>60</v>
      </c>
      <c r="P91" s="359"/>
      <c r="Q91" s="359"/>
      <c r="R91" s="369"/>
      <c r="S91" s="369"/>
      <c r="T91" s="369"/>
      <c r="U91" s="121"/>
      <c r="V91" s="128"/>
      <c r="W91" s="377"/>
      <c r="X91" s="367"/>
      <c r="Z91" s="356"/>
      <c r="AA91" s="366"/>
      <c r="AB91" s="158"/>
      <c r="AC91" s="170"/>
      <c r="AD91" s="366"/>
      <c r="AG91" s="379"/>
      <c r="AH91" s="358"/>
      <c r="AJ91" s="379"/>
      <c r="AK91" s="366"/>
      <c r="AL91" s="366"/>
      <c r="AN91" s="152"/>
      <c r="AP91" s="379"/>
      <c r="AQ91" s="243"/>
      <c r="AR91" s="366"/>
      <c r="AT91" s="241"/>
    </row>
    <row r="92" spans="1:46" outlineLevel="1" x14ac:dyDescent="0.25">
      <c r="A92" s="361"/>
      <c r="B92" s="361"/>
      <c r="C92" s="362"/>
      <c r="D92" s="373"/>
      <c r="E92" s="359"/>
      <c r="F92" s="376"/>
      <c r="G92" s="376"/>
      <c r="H92" s="359"/>
      <c r="I92" s="359"/>
      <c r="J92" s="359"/>
      <c r="K92" s="92" t="s">
        <v>329</v>
      </c>
      <c r="L92" s="364" t="str">
        <f>VLOOKUP(K92,материалы!$A$5:$G$31,5, FALSE)</f>
        <v>м3</v>
      </c>
      <c r="M92" s="359">
        <f>VLOOKUP(K92,материалы!$A$5:$G$31,7, FALSE)</f>
        <v>1033.33</v>
      </c>
      <c r="N92" s="364">
        <v>8.7499999999999994E-2</v>
      </c>
      <c r="O92" s="359">
        <f t="shared" si="49"/>
        <v>90.42</v>
      </c>
      <c r="P92" s="359"/>
      <c r="Q92" s="359"/>
      <c r="R92" s="369"/>
      <c r="S92" s="369"/>
      <c r="T92" s="369"/>
      <c r="U92" s="121"/>
      <c r="V92" s="128"/>
      <c r="W92" s="377"/>
      <c r="X92" s="367"/>
      <c r="Z92" s="356"/>
      <c r="AA92" s="366"/>
      <c r="AB92" s="158"/>
      <c r="AC92" s="170"/>
      <c r="AD92" s="366"/>
      <c r="AG92" s="379"/>
      <c r="AH92" s="358"/>
      <c r="AJ92" s="379"/>
      <c r="AK92" s="366"/>
      <c r="AL92" s="366"/>
      <c r="AN92" s="152"/>
      <c r="AP92" s="379"/>
      <c r="AQ92" s="243"/>
      <c r="AR92" s="366"/>
      <c r="AT92" s="241"/>
    </row>
    <row r="93" spans="1:46" ht="38.25" outlineLevel="1" x14ac:dyDescent="0.25">
      <c r="A93" s="361"/>
      <c r="B93" s="361"/>
      <c r="C93" s="362"/>
      <c r="D93" s="373"/>
      <c r="E93" s="359"/>
      <c r="F93" s="376"/>
      <c r="G93" s="376"/>
      <c r="H93" s="359"/>
      <c r="I93" s="359"/>
      <c r="J93" s="359"/>
      <c r="K93" s="92" t="s">
        <v>347</v>
      </c>
      <c r="L93" s="364" t="str">
        <f>VLOOKUP(K93,материалы!$A$5:$G$31,5, FALSE)</f>
        <v>кг</v>
      </c>
      <c r="M93" s="359">
        <f>VLOOKUP(K93,материалы!$A$5:$G$31,7, FALSE)</f>
        <v>300</v>
      </c>
      <c r="N93" s="359">
        <v>0.1</v>
      </c>
      <c r="O93" s="359">
        <f>ROUND(M93*N93,2)</f>
        <v>30</v>
      </c>
      <c r="P93" s="359"/>
      <c r="Q93" s="359"/>
      <c r="R93" s="369"/>
      <c r="S93" s="369"/>
      <c r="T93" s="369"/>
      <c r="U93" s="121"/>
      <c r="V93" s="128"/>
      <c r="W93" s="377"/>
      <c r="X93" s="367"/>
      <c r="Z93" s="356"/>
      <c r="AA93" s="366"/>
      <c r="AB93" s="158"/>
      <c r="AC93" s="170"/>
      <c r="AD93" s="366"/>
      <c r="AG93" s="379"/>
      <c r="AH93" s="358"/>
      <c r="AJ93" s="379"/>
      <c r="AK93" s="366"/>
      <c r="AL93" s="366"/>
      <c r="AN93" s="152"/>
      <c r="AP93" s="379"/>
      <c r="AQ93" s="243"/>
      <c r="AR93" s="366"/>
      <c r="AT93" s="241"/>
    </row>
    <row r="94" spans="1:46" outlineLevel="1" x14ac:dyDescent="0.25">
      <c r="A94" s="361"/>
      <c r="B94" s="361"/>
      <c r="C94" s="362"/>
      <c r="D94" s="373"/>
      <c r="E94" s="359"/>
      <c r="F94" s="376"/>
      <c r="G94" s="376"/>
      <c r="H94" s="359"/>
      <c r="I94" s="359"/>
      <c r="J94" s="359"/>
      <c r="K94" s="92" t="s">
        <v>330</v>
      </c>
      <c r="L94" s="364" t="str">
        <f>VLOOKUP(K94,материалы!$A$5:$G$31,5, FALSE)</f>
        <v>м3</v>
      </c>
      <c r="M94" s="359">
        <f>VLOOKUP(K94,материалы!$A$5:$G$31,7, FALSE)</f>
        <v>116.67</v>
      </c>
      <c r="N94" s="359">
        <v>1.4999999999999999E-2</v>
      </c>
      <c r="O94" s="359">
        <f t="shared" si="49"/>
        <v>1.75</v>
      </c>
      <c r="P94" s="359"/>
      <c r="Q94" s="359"/>
      <c r="R94" s="369"/>
      <c r="S94" s="369"/>
      <c r="T94" s="369"/>
      <c r="U94" s="121"/>
      <c r="V94" s="128"/>
      <c r="W94" s="377"/>
      <c r="X94" s="367"/>
      <c r="Z94" s="356"/>
      <c r="AA94" s="366"/>
      <c r="AB94" s="158"/>
      <c r="AC94" s="170"/>
      <c r="AD94" s="366"/>
      <c r="AG94" s="379"/>
      <c r="AH94" s="358"/>
      <c r="AJ94" s="379"/>
      <c r="AK94" s="366"/>
      <c r="AL94" s="366"/>
      <c r="AN94" s="152"/>
      <c r="AP94" s="379"/>
      <c r="AQ94" s="243"/>
      <c r="AR94" s="366"/>
      <c r="AT94" s="241"/>
    </row>
    <row r="95" spans="1:46" ht="29.25" customHeight="1" outlineLevel="1" x14ac:dyDescent="0.25">
      <c r="A95" s="361"/>
      <c r="B95" s="361"/>
      <c r="C95" s="362"/>
      <c r="D95" s="373"/>
      <c r="E95" s="359"/>
      <c r="F95" s="376"/>
      <c r="G95" s="376"/>
      <c r="H95" s="359"/>
      <c r="I95" s="359"/>
      <c r="J95" s="359"/>
      <c r="K95" s="92" t="s">
        <v>348</v>
      </c>
      <c r="L95" s="364" t="str">
        <f>VLOOKUP(K95,материалы!$A$5:$G$31,5, FALSE)</f>
        <v>шт.</v>
      </c>
      <c r="M95" s="359">
        <f>VLOOKUP(K95,материалы!$A$5:$G$31,7, FALSE)</f>
        <v>45</v>
      </c>
      <c r="N95" s="359">
        <v>0.25</v>
      </c>
      <c r="O95" s="359">
        <f t="shared" si="49"/>
        <v>11.25</v>
      </c>
      <c r="P95" s="359"/>
      <c r="Q95" s="359"/>
      <c r="R95" s="369"/>
      <c r="S95" s="369"/>
      <c r="T95" s="369"/>
      <c r="U95" s="121"/>
      <c r="V95" s="128"/>
      <c r="W95" s="377"/>
      <c r="X95" s="367"/>
      <c r="Z95" s="356"/>
      <c r="AA95" s="366"/>
      <c r="AB95" s="158"/>
      <c r="AC95" s="170"/>
      <c r="AD95" s="366"/>
      <c r="AG95" s="379"/>
      <c r="AH95" s="358"/>
      <c r="AJ95" s="379"/>
      <c r="AK95" s="366"/>
      <c r="AL95" s="366"/>
      <c r="AN95" s="152"/>
      <c r="AP95" s="379"/>
      <c r="AQ95" s="243"/>
      <c r="AR95" s="366"/>
      <c r="AT95" s="241"/>
    </row>
    <row r="96" spans="1:46" ht="25.5" outlineLevel="1" x14ac:dyDescent="0.25">
      <c r="A96" s="361"/>
      <c r="B96" s="361"/>
      <c r="C96" s="362"/>
      <c r="D96" s="373"/>
      <c r="E96" s="359"/>
      <c r="F96" s="376"/>
      <c r="G96" s="376"/>
      <c r="H96" s="359"/>
      <c r="I96" s="359"/>
      <c r="J96" s="359"/>
      <c r="K96" s="92" t="s">
        <v>341</v>
      </c>
      <c r="L96" s="364" t="str">
        <f>VLOOKUP(K96,материалы!$A$5:$G$31,5, FALSE)</f>
        <v>кг</v>
      </c>
      <c r="M96" s="359">
        <f>VLOOKUP(K96,материалы!$A$5:$G$31,7, FALSE)</f>
        <v>950</v>
      </c>
      <c r="N96" s="359">
        <v>0.01</v>
      </c>
      <c r="O96" s="359">
        <f t="shared" si="49"/>
        <v>9.5</v>
      </c>
      <c r="P96" s="359"/>
      <c r="Q96" s="359"/>
      <c r="R96" s="369"/>
      <c r="S96" s="369"/>
      <c r="T96" s="369"/>
      <c r="U96" s="121"/>
      <c r="V96" s="128"/>
      <c r="W96" s="377"/>
      <c r="X96" s="367"/>
      <c r="Z96" s="356"/>
      <c r="AA96" s="366"/>
      <c r="AB96" s="158"/>
      <c r="AC96" s="170"/>
      <c r="AD96" s="366"/>
      <c r="AG96" s="379"/>
      <c r="AH96" s="358"/>
      <c r="AJ96" s="379"/>
      <c r="AK96" s="366"/>
      <c r="AL96" s="366"/>
      <c r="AN96" s="152"/>
      <c r="AP96" s="379"/>
      <c r="AQ96" s="243"/>
      <c r="AR96" s="366"/>
      <c r="AT96" s="241"/>
    </row>
    <row r="97" spans="1:46" ht="38.25" outlineLevel="1" x14ac:dyDescent="0.25">
      <c r="A97" s="361"/>
      <c r="B97" s="361"/>
      <c r="C97" s="362"/>
      <c r="D97" s="373"/>
      <c r="E97" s="359"/>
      <c r="F97" s="376"/>
      <c r="G97" s="376"/>
      <c r="H97" s="359"/>
      <c r="I97" s="359"/>
      <c r="J97" s="359"/>
      <c r="K97" s="92" t="s">
        <v>390</v>
      </c>
      <c r="L97" s="364" t="str">
        <f>VLOOKUP(K97,материалы!$A$5:$G$31,5, FALSE)</f>
        <v>шт.</v>
      </c>
      <c r="M97" s="359">
        <f>VLOOKUP(K97,материалы!$A$5:$G$31,7, FALSE)</f>
        <v>0.57999999999999996</v>
      </c>
      <c r="N97" s="359">
        <v>2</v>
      </c>
      <c r="O97" s="359">
        <f t="shared" si="49"/>
        <v>1.1599999999999999</v>
      </c>
      <c r="P97" s="359"/>
      <c r="Q97" s="359"/>
      <c r="R97" s="369"/>
      <c r="S97" s="369"/>
      <c r="T97" s="369"/>
      <c r="U97" s="121"/>
      <c r="V97" s="128"/>
      <c r="W97" s="377"/>
      <c r="X97" s="367"/>
      <c r="Z97" s="356"/>
      <c r="AA97" s="366"/>
      <c r="AB97" s="158"/>
      <c r="AC97" s="170"/>
      <c r="AD97" s="366"/>
      <c r="AG97" s="379"/>
      <c r="AH97" s="358"/>
      <c r="AJ97" s="379"/>
      <c r="AK97" s="366"/>
      <c r="AL97" s="366"/>
      <c r="AN97" s="152"/>
      <c r="AP97" s="379"/>
      <c r="AQ97" s="243"/>
      <c r="AR97" s="366"/>
      <c r="AT97" s="241"/>
    </row>
    <row r="98" spans="1:46" ht="51" outlineLevel="1" x14ac:dyDescent="0.25">
      <c r="A98" s="361"/>
      <c r="B98" s="361"/>
      <c r="C98" s="362"/>
      <c r="D98" s="373"/>
      <c r="E98" s="359"/>
      <c r="F98" s="376"/>
      <c r="G98" s="376"/>
      <c r="H98" s="359"/>
      <c r="I98" s="359"/>
      <c r="J98" s="359"/>
      <c r="K98" s="92" t="s">
        <v>345</v>
      </c>
      <c r="L98" s="364" t="str">
        <f>VLOOKUP(K98,материалы!$A$5:$G$31,5, FALSE)</f>
        <v>шт.</v>
      </c>
      <c r="M98" s="359">
        <f>VLOOKUP(K98,материалы!$A$5:$G$31,7, FALSE)</f>
        <v>30</v>
      </c>
      <c r="N98" s="359">
        <v>2</v>
      </c>
      <c r="O98" s="359">
        <f t="shared" si="49"/>
        <v>60</v>
      </c>
      <c r="P98" s="359"/>
      <c r="Q98" s="359"/>
      <c r="R98" s="369"/>
      <c r="S98" s="369"/>
      <c r="T98" s="369"/>
      <c r="U98" s="121"/>
      <c r="V98" s="128"/>
      <c r="W98" s="377"/>
      <c r="X98" s="367"/>
      <c r="Z98" s="356"/>
      <c r="AA98" s="366"/>
      <c r="AB98" s="158"/>
      <c r="AC98" s="170"/>
      <c r="AD98" s="366"/>
      <c r="AG98" s="379"/>
      <c r="AH98" s="358"/>
      <c r="AJ98" s="379"/>
      <c r="AK98" s="366"/>
      <c r="AL98" s="366"/>
      <c r="AN98" s="152"/>
      <c r="AP98" s="379"/>
      <c r="AQ98" s="243"/>
      <c r="AR98" s="366"/>
      <c r="AT98" s="241"/>
    </row>
    <row r="99" spans="1:46" ht="44.25" customHeight="1" x14ac:dyDescent="0.25">
      <c r="A99" s="361" t="s">
        <v>471</v>
      </c>
      <c r="B99" s="361" t="s">
        <v>354</v>
      </c>
      <c r="C99" s="362" t="s">
        <v>355</v>
      </c>
      <c r="D99" s="373" t="s">
        <v>20</v>
      </c>
      <c r="E99" s="359" t="s">
        <v>169</v>
      </c>
      <c r="F99" s="359">
        <f>VLOOKUP(E99,'условия, ФОТ'!$A$14:$I$28,9, FALSE)</f>
        <v>326.24</v>
      </c>
      <c r="G99" s="359">
        <v>1.44</v>
      </c>
      <c r="H99" s="359">
        <f t="shared" ref="H99" si="50">ROUND(F99*G99,2)</f>
        <v>469.79</v>
      </c>
      <c r="I99" s="359">
        <f t="shared" ref="I99" si="51">ROUND(H99*$I$5,2)</f>
        <v>141.88</v>
      </c>
      <c r="J99" s="359">
        <f t="shared" ref="J99" si="52">H99+I99</f>
        <v>611.67000000000007</v>
      </c>
      <c r="K99" s="363"/>
      <c r="L99" s="359"/>
      <c r="M99" s="359"/>
      <c r="N99" s="359"/>
      <c r="O99" s="359"/>
      <c r="P99" s="359">
        <f t="shared" ref="P99" si="53">J99+O99</f>
        <v>611.67000000000007</v>
      </c>
      <c r="Q99" s="359">
        <f t="shared" ref="Q99" si="54">ROUND(P99*$Q$5,2)</f>
        <v>474.04</v>
      </c>
      <c r="R99" s="369">
        <f>ROUND(T99/1.2,2)</f>
        <v>582.5</v>
      </c>
      <c r="S99" s="369">
        <f t="shared" ref="S99" si="55">ROUND(R99*$S$5,2)</f>
        <v>116.5</v>
      </c>
      <c r="T99" s="369">
        <f>ROUND((P99+Q99)*(1+AC99)*1.2,0)</f>
        <v>699</v>
      </c>
      <c r="U99" s="121">
        <v>605</v>
      </c>
      <c r="V99" s="127">
        <f t="shared" ref="V99:V101" si="56">T99/U99*100-100</f>
        <v>15.537190082644628</v>
      </c>
      <c r="W99" s="377">
        <v>625</v>
      </c>
      <c r="X99" s="367">
        <f t="shared" si="36"/>
        <v>11.840000000000003</v>
      </c>
      <c r="Y99" s="117">
        <v>625</v>
      </c>
      <c r="Z99" s="368">
        <v>1.1180000000000001</v>
      </c>
      <c r="AA99" s="152">
        <f>ROUND(W99*Z99,2)</f>
        <v>698.75</v>
      </c>
      <c r="AB99" s="157">
        <f>ROUND((P99+Q99)*1.2,2)</f>
        <v>1302.8499999999999</v>
      </c>
      <c r="AC99" s="170">
        <f>ROUND((AA99/AB99)*100%-100%,4)</f>
        <v>-0.4637</v>
      </c>
      <c r="AD99" s="366">
        <f t="shared" si="37"/>
        <v>-604.13154499999996</v>
      </c>
      <c r="AF99">
        <v>646.25</v>
      </c>
      <c r="AG99" s="379">
        <v>646</v>
      </c>
      <c r="AH99" s="358">
        <f t="shared" si="38"/>
        <v>53</v>
      </c>
      <c r="AJ99" s="379">
        <v>-2.93E-2</v>
      </c>
      <c r="AK99" s="366">
        <f t="shared" si="39"/>
        <v>1.0293000000000001</v>
      </c>
      <c r="AL99" s="366">
        <v>1.0640000000000001</v>
      </c>
      <c r="AN99" s="152">
        <f t="shared" ref="AN99:AN141" si="57">ROUND(W99*AL99,2)</f>
        <v>665</v>
      </c>
      <c r="AP99" s="379">
        <v>1.034</v>
      </c>
      <c r="AQ99" s="243">
        <v>-2.93E-2</v>
      </c>
      <c r="AR99" s="366">
        <f t="shared" si="40"/>
        <v>8.4000000000000075E-2</v>
      </c>
      <c r="AT99" s="241">
        <f t="shared" si="41"/>
        <v>-0.43440000000000001</v>
      </c>
    </row>
    <row r="100" spans="1:46" s="83" customFormat="1" ht="24" customHeight="1" x14ac:dyDescent="0.25">
      <c r="A100" s="992" t="s">
        <v>615</v>
      </c>
      <c r="B100" s="993"/>
      <c r="C100" s="993"/>
      <c r="D100" s="993"/>
      <c r="E100" s="993"/>
      <c r="F100" s="993"/>
      <c r="G100" s="993"/>
      <c r="H100" s="993"/>
      <c r="I100" s="993"/>
      <c r="J100" s="993"/>
      <c r="K100" s="993"/>
      <c r="L100" s="993"/>
      <c r="M100" s="993"/>
      <c r="N100" s="993"/>
      <c r="O100" s="993"/>
      <c r="P100" s="993"/>
      <c r="Q100" s="993"/>
      <c r="R100" s="993"/>
      <c r="S100" s="993"/>
      <c r="T100" s="994"/>
      <c r="U100" s="129"/>
      <c r="V100" s="120"/>
      <c r="W100" s="377"/>
      <c r="X100" s="367"/>
      <c r="Y100" s="134"/>
      <c r="Z100" s="356"/>
      <c r="AA100" s="366"/>
      <c r="AB100" s="158"/>
      <c r="AC100" s="170"/>
      <c r="AD100" s="366"/>
      <c r="AG100" s="162"/>
      <c r="AH100" s="358"/>
      <c r="AJ100" s="162"/>
      <c r="AK100" s="366"/>
      <c r="AL100" s="366"/>
      <c r="AN100" s="152"/>
      <c r="AO100" s="150"/>
      <c r="AP100" s="162"/>
      <c r="AQ100" s="242"/>
      <c r="AR100" s="366"/>
      <c r="AT100" s="241"/>
    </row>
    <row r="101" spans="1:46" ht="39" customHeight="1" x14ac:dyDescent="0.25">
      <c r="A101" s="361" t="s">
        <v>472</v>
      </c>
      <c r="B101" s="365" t="s">
        <v>352</v>
      </c>
      <c r="C101" s="362" t="s">
        <v>379</v>
      </c>
      <c r="D101" s="373" t="s">
        <v>176</v>
      </c>
      <c r="E101" s="373" t="s">
        <v>168</v>
      </c>
      <c r="F101" s="359">
        <f>VLOOKUP(E101,'условия, ФОТ'!$A$14:$I$28,9, FALSE)</f>
        <v>282.83999999999997</v>
      </c>
      <c r="G101" s="359">
        <v>0.4</v>
      </c>
      <c r="H101" s="359">
        <f>ROUND(F101*G101,2)</f>
        <v>113.14</v>
      </c>
      <c r="I101" s="359">
        <f>ROUND(H101*$I$5,2)</f>
        <v>34.17</v>
      </c>
      <c r="J101" s="359">
        <f>H101+I101</f>
        <v>147.31</v>
      </c>
      <c r="K101" s="181"/>
      <c r="L101" s="182"/>
      <c r="M101" s="182"/>
      <c r="N101" s="182"/>
      <c r="O101" s="182"/>
      <c r="P101" s="359">
        <f>J101+O101</f>
        <v>147.31</v>
      </c>
      <c r="Q101" s="359">
        <f>ROUND(P101*$Q$5,2)</f>
        <v>114.17</v>
      </c>
      <c r="R101" s="369">
        <f>ROUND(T101/1.2,2)</f>
        <v>161.66999999999999</v>
      </c>
      <c r="S101" s="369">
        <f>ROUND(R101*$S$5,2)</f>
        <v>32.33</v>
      </c>
      <c r="T101" s="369">
        <f>ROUND((P101+Q101)*(1+AC101)*1.2,0)</f>
        <v>194</v>
      </c>
      <c r="U101" s="121">
        <v>149</v>
      </c>
      <c r="V101" s="127">
        <f t="shared" si="56"/>
        <v>30.201342281879192</v>
      </c>
      <c r="W101" s="377">
        <v>153</v>
      </c>
      <c r="X101" s="367">
        <f t="shared" si="36"/>
        <v>26.797385620915023</v>
      </c>
      <c r="Y101" s="117">
        <v>153</v>
      </c>
      <c r="Z101" s="368">
        <v>1.2689999999999999</v>
      </c>
      <c r="AA101" s="152">
        <f>ROUND(W101*Z101,2)</f>
        <v>194.16</v>
      </c>
      <c r="AB101" s="157">
        <f>ROUND((P101+Q101)*1.2,2)</f>
        <v>313.77999999999997</v>
      </c>
      <c r="AC101" s="170">
        <f>ROUND((AA101/AB101)*100%-100%,4)</f>
        <v>-0.38119999999999998</v>
      </c>
      <c r="AD101" s="366">
        <f t="shared" si="37"/>
        <v>-119.61293599999999</v>
      </c>
      <c r="AF101">
        <v>158.202</v>
      </c>
      <c r="AG101" s="379">
        <v>158</v>
      </c>
      <c r="AH101" s="358">
        <f t="shared" si="38"/>
        <v>36</v>
      </c>
      <c r="AJ101" s="379">
        <v>-0.1447</v>
      </c>
      <c r="AK101" s="366">
        <f t="shared" si="39"/>
        <v>1.1447000000000001</v>
      </c>
      <c r="AL101" s="366">
        <v>1.1839999999999999</v>
      </c>
      <c r="AN101" s="152">
        <f t="shared" si="57"/>
        <v>181.15</v>
      </c>
      <c r="AP101" s="379">
        <v>1.034</v>
      </c>
      <c r="AQ101" s="243">
        <v>-0.1447</v>
      </c>
      <c r="AR101" s="366">
        <f t="shared" si="40"/>
        <v>0.23499999999999988</v>
      </c>
      <c r="AT101" s="241">
        <f t="shared" si="41"/>
        <v>-0.23649999999999999</v>
      </c>
    </row>
    <row r="102" spans="1:46" ht="31.7" customHeight="1" x14ac:dyDescent="0.25">
      <c r="A102" s="1024" t="s">
        <v>231</v>
      </c>
      <c r="B102" s="1025"/>
      <c r="C102" s="1025"/>
      <c r="D102" s="1025"/>
      <c r="E102" s="1025"/>
      <c r="F102" s="1025"/>
      <c r="G102" s="1025"/>
      <c r="H102" s="1025"/>
      <c r="I102" s="1025"/>
      <c r="J102" s="1025"/>
      <c r="K102" s="1025"/>
      <c r="L102" s="1025"/>
      <c r="M102" s="1025"/>
      <c r="N102" s="1025"/>
      <c r="O102" s="1025"/>
      <c r="P102" s="1025"/>
      <c r="Q102" s="1025"/>
      <c r="R102" s="183"/>
      <c r="S102" s="183"/>
      <c r="T102" s="183"/>
      <c r="U102" s="130"/>
      <c r="V102" s="128"/>
      <c r="W102" s="377"/>
      <c r="X102" s="367"/>
      <c r="Z102" s="356"/>
      <c r="AA102" s="366"/>
      <c r="AB102" s="158"/>
      <c r="AC102" s="170"/>
      <c r="AD102" s="366"/>
      <c r="AG102" s="379"/>
      <c r="AH102" s="358"/>
      <c r="AJ102" s="379"/>
      <c r="AK102" s="366"/>
      <c r="AL102" s="366"/>
      <c r="AN102" s="152"/>
      <c r="AP102" s="379"/>
      <c r="AQ102" s="243"/>
      <c r="AR102" s="366"/>
      <c r="AT102" s="241"/>
    </row>
    <row r="103" spans="1:46" ht="37.5" customHeight="1" x14ac:dyDescent="0.25">
      <c r="A103" s="361" t="s">
        <v>473</v>
      </c>
      <c r="B103" s="361" t="s">
        <v>184</v>
      </c>
      <c r="C103" s="362" t="s">
        <v>394</v>
      </c>
      <c r="D103" s="373" t="s">
        <v>40</v>
      </c>
      <c r="E103" s="373" t="s">
        <v>169</v>
      </c>
      <c r="F103" s="359">
        <f>VLOOKUP(E103,'условия, ФОТ'!$A$14:$I$28,9, FALSE)</f>
        <v>326.24</v>
      </c>
      <c r="G103" s="364">
        <v>1</v>
      </c>
      <c r="H103" s="359">
        <f>ROUND(F103*G103,2)</f>
        <v>326.24</v>
      </c>
      <c r="I103" s="359">
        <f>ROUND(H103*$I$5,2)</f>
        <v>98.52</v>
      </c>
      <c r="J103" s="359">
        <f>H103+I103</f>
        <v>424.76</v>
      </c>
      <c r="K103" s="363"/>
      <c r="L103" s="359"/>
      <c r="M103" s="359"/>
      <c r="N103" s="359"/>
      <c r="O103" s="359">
        <f>SUM(O104:O106)</f>
        <v>5.6499999999999995</v>
      </c>
      <c r="P103" s="359">
        <f>J103+O103</f>
        <v>430.40999999999997</v>
      </c>
      <c r="Q103" s="359">
        <f>ROUND(P103*$Q$5,2)</f>
        <v>333.57</v>
      </c>
      <c r="R103" s="369">
        <f>ROUND(T103/1.2,2)</f>
        <v>411.67</v>
      </c>
      <c r="S103" s="369">
        <f>ROUND(R103*$S$5,2)</f>
        <v>82.33</v>
      </c>
      <c r="T103" s="369">
        <f>ROUND((P103+Q103)*(1+AC103)*1.2,0)</f>
        <v>494</v>
      </c>
      <c r="U103" s="121">
        <v>431</v>
      </c>
      <c r="V103" s="127">
        <f>T103/U103*100-100</f>
        <v>14.617169373549885</v>
      </c>
      <c r="W103" s="377">
        <v>444</v>
      </c>
      <c r="X103" s="367">
        <f t="shared" si="36"/>
        <v>11.261261261261254</v>
      </c>
      <c r="Y103" s="117">
        <v>444</v>
      </c>
      <c r="Z103" s="368">
        <v>1.113</v>
      </c>
      <c r="AA103" s="152">
        <f>ROUND(W103*Z103,2)</f>
        <v>494.17</v>
      </c>
      <c r="AB103" s="157">
        <f>ROUND((P103+Q103)*1.2,2)</f>
        <v>916.78</v>
      </c>
      <c r="AC103" s="170">
        <f>ROUND((AA103/AB103)*100%-100%,4)</f>
        <v>-0.46100000000000002</v>
      </c>
      <c r="AD103" s="366">
        <f t="shared" si="37"/>
        <v>-422.63558</v>
      </c>
      <c r="AF103">
        <v>459.096</v>
      </c>
      <c r="AG103" s="379">
        <v>459</v>
      </c>
      <c r="AH103" s="358">
        <f t="shared" si="38"/>
        <v>35</v>
      </c>
      <c r="AJ103" s="379">
        <v>-2.5100000000000001E-2</v>
      </c>
      <c r="AK103" s="366">
        <f t="shared" si="39"/>
        <v>1.0250999999999999</v>
      </c>
      <c r="AL103" s="366">
        <v>1.06</v>
      </c>
      <c r="AN103" s="152">
        <f t="shared" si="57"/>
        <v>470.64</v>
      </c>
      <c r="AP103" s="379">
        <v>1.034</v>
      </c>
      <c r="AQ103" s="243">
        <v>-2.5100000000000001E-2</v>
      </c>
      <c r="AR103" s="366">
        <f t="shared" si="40"/>
        <v>7.8999999999999959E-2</v>
      </c>
      <c r="AT103" s="241">
        <f t="shared" si="41"/>
        <v>-0.43590000000000001</v>
      </c>
    </row>
    <row r="104" spans="1:46" ht="26.25" customHeight="1" outlineLevel="1" x14ac:dyDescent="0.25">
      <c r="A104" s="361"/>
      <c r="B104" s="361"/>
      <c r="C104" s="362"/>
      <c r="D104" s="373"/>
      <c r="E104" s="373"/>
      <c r="F104" s="359"/>
      <c r="G104" s="364"/>
      <c r="H104" s="359"/>
      <c r="I104" s="359"/>
      <c r="J104" s="178" t="s">
        <v>385</v>
      </c>
      <c r="K104" s="92" t="s">
        <v>341</v>
      </c>
      <c r="L104" s="364" t="str">
        <f>VLOOKUP(K104,материалы!$A$5:$G$31,5, FALSE)</f>
        <v>кг</v>
      </c>
      <c r="M104" s="359">
        <f>VLOOKUP(K104,материалы!$A$5:$G$31,7, FALSE)</f>
        <v>950</v>
      </c>
      <c r="N104" s="359">
        <v>5.0000000000000001E-3</v>
      </c>
      <c r="O104" s="359">
        <f>ROUND(M104*N104,2)</f>
        <v>4.75</v>
      </c>
      <c r="P104" s="359"/>
      <c r="Q104" s="359"/>
      <c r="R104" s="369"/>
      <c r="S104" s="369"/>
      <c r="T104" s="369"/>
      <c r="U104" s="121"/>
      <c r="V104" s="127"/>
      <c r="W104" s="377"/>
      <c r="X104" s="367"/>
      <c r="Z104" s="356"/>
      <c r="AA104" s="366"/>
      <c r="AB104" s="158"/>
      <c r="AC104" s="170"/>
      <c r="AD104" s="366"/>
      <c r="AG104" s="379"/>
      <c r="AH104" s="358"/>
      <c r="AJ104" s="379"/>
      <c r="AK104" s="366"/>
      <c r="AL104" s="366"/>
      <c r="AN104" s="152"/>
      <c r="AP104" s="379"/>
      <c r="AQ104" s="243"/>
      <c r="AR104" s="366"/>
      <c r="AT104" s="241"/>
    </row>
    <row r="105" spans="1:46" ht="18.95" customHeight="1" outlineLevel="1" x14ac:dyDescent="0.25">
      <c r="A105" s="361"/>
      <c r="B105" s="361"/>
      <c r="C105" s="362"/>
      <c r="D105" s="373"/>
      <c r="E105" s="373"/>
      <c r="F105" s="359"/>
      <c r="G105" s="364"/>
      <c r="H105" s="359"/>
      <c r="I105" s="359"/>
      <c r="J105" s="359"/>
      <c r="K105" s="184" t="s">
        <v>335</v>
      </c>
      <c r="L105" s="364" t="str">
        <f>VLOOKUP(K105,материалы!$A$5:$G$31,5, FALSE)</f>
        <v>кг</v>
      </c>
      <c r="M105" s="359">
        <f>VLOOKUP(K105,материалы!$A$5:$G$31,7, FALSE)</f>
        <v>95</v>
      </c>
      <c r="N105" s="185">
        <v>1E-3</v>
      </c>
      <c r="O105" s="359">
        <f>ROUND(M105*N105,2)</f>
        <v>0.1</v>
      </c>
      <c r="P105" s="359"/>
      <c r="Q105" s="359"/>
      <c r="R105" s="369"/>
      <c r="S105" s="369"/>
      <c r="T105" s="369"/>
      <c r="U105" s="121"/>
      <c r="V105" s="127"/>
      <c r="W105" s="377"/>
      <c r="X105" s="367"/>
      <c r="Z105" s="356"/>
      <c r="AA105" s="366"/>
      <c r="AB105" s="158"/>
      <c r="AC105" s="170"/>
      <c r="AD105" s="366"/>
      <c r="AG105" s="379"/>
      <c r="AH105" s="358"/>
      <c r="AJ105" s="379"/>
      <c r="AK105" s="366"/>
      <c r="AL105" s="366"/>
      <c r="AN105" s="152"/>
      <c r="AP105" s="379"/>
      <c r="AQ105" s="243"/>
      <c r="AR105" s="366"/>
      <c r="AT105" s="241"/>
    </row>
    <row r="106" spans="1:46" ht="21" customHeight="1" outlineLevel="1" x14ac:dyDescent="0.25">
      <c r="A106" s="361"/>
      <c r="B106" s="361"/>
      <c r="C106" s="362"/>
      <c r="D106" s="373"/>
      <c r="E106" s="373"/>
      <c r="F106" s="359"/>
      <c r="G106" s="364"/>
      <c r="H106" s="359"/>
      <c r="I106" s="359"/>
      <c r="J106" s="359"/>
      <c r="K106" s="184" t="s">
        <v>336</v>
      </c>
      <c r="L106" s="364" t="str">
        <f>VLOOKUP(K106,материалы!$A$5:$G$31,5, FALSE)</f>
        <v>кг</v>
      </c>
      <c r="M106" s="359">
        <f>VLOOKUP(K106,материалы!$A$5:$G$31,7, FALSE)</f>
        <v>80</v>
      </c>
      <c r="N106" s="364">
        <v>0.01</v>
      </c>
      <c r="O106" s="359">
        <f>ROUND(M106*N106,2)</f>
        <v>0.8</v>
      </c>
      <c r="P106" s="359"/>
      <c r="Q106" s="359"/>
      <c r="R106" s="369"/>
      <c r="S106" s="369"/>
      <c r="T106" s="369"/>
      <c r="U106" s="121"/>
      <c r="V106" s="127"/>
      <c r="W106" s="377"/>
      <c r="X106" s="367"/>
      <c r="Z106" s="356"/>
      <c r="AA106" s="366"/>
      <c r="AB106" s="158"/>
      <c r="AC106" s="170"/>
      <c r="AD106" s="366"/>
      <c r="AG106" s="379"/>
      <c r="AH106" s="358"/>
      <c r="AJ106" s="379"/>
      <c r="AK106" s="366"/>
      <c r="AL106" s="366"/>
      <c r="AN106" s="152"/>
      <c r="AP106" s="379"/>
      <c r="AQ106" s="243"/>
      <c r="AR106" s="366"/>
      <c r="AT106" s="241"/>
    </row>
    <row r="107" spans="1:46" ht="39.75" customHeight="1" x14ac:dyDescent="0.25">
      <c r="A107" s="361" t="s">
        <v>474</v>
      </c>
      <c r="B107" s="995" t="s">
        <v>671</v>
      </c>
      <c r="C107" s="995"/>
      <c r="D107" s="373" t="s">
        <v>40</v>
      </c>
      <c r="E107" s="376"/>
      <c r="F107" s="359"/>
      <c r="G107" s="364"/>
      <c r="H107" s="359"/>
      <c r="I107" s="359"/>
      <c r="J107" s="359"/>
      <c r="K107" s="363"/>
      <c r="L107" s="359"/>
      <c r="M107" s="359"/>
      <c r="N107" s="359"/>
      <c r="O107" s="359"/>
      <c r="P107" s="359"/>
      <c r="Q107" s="359"/>
      <c r="R107" s="369"/>
      <c r="S107" s="369"/>
      <c r="T107" s="369"/>
      <c r="U107" s="121"/>
      <c r="V107" s="127"/>
      <c r="W107" s="377"/>
      <c r="X107" s="367"/>
      <c r="Z107" s="356"/>
      <c r="AA107" s="366"/>
      <c r="AB107" s="158"/>
      <c r="AC107" s="170"/>
      <c r="AD107" s="366"/>
      <c r="AG107" s="379"/>
      <c r="AH107" s="358"/>
      <c r="AJ107" s="379"/>
      <c r="AK107" s="366"/>
      <c r="AL107" s="366"/>
      <c r="AN107" s="152"/>
      <c r="AP107" s="379"/>
      <c r="AQ107" s="243"/>
      <c r="AR107" s="366"/>
      <c r="AT107" s="241"/>
    </row>
    <row r="108" spans="1:46" ht="23.25" customHeight="1" x14ac:dyDescent="0.25">
      <c r="A108" s="979" t="s">
        <v>363</v>
      </c>
      <c r="B108" s="979" t="s">
        <v>180</v>
      </c>
      <c r="C108" s="995" t="s">
        <v>23</v>
      </c>
      <c r="D108" s="983" t="s">
        <v>24</v>
      </c>
      <c r="E108" s="373" t="s">
        <v>174</v>
      </c>
      <c r="F108" s="359">
        <f>VLOOKUP(E108,'условия, ФОТ'!$A$14:$I$28,9, FALSE)</f>
        <v>456.01</v>
      </c>
      <c r="G108" s="364">
        <v>0.68</v>
      </c>
      <c r="H108" s="985">
        <f>ROUND(F108*G108+F109*G109,2)</f>
        <v>531.92999999999995</v>
      </c>
      <c r="I108" s="985">
        <f t="shared" ref="I108:I109" si="58">ROUND(H108*$I$5,2)</f>
        <v>160.63999999999999</v>
      </c>
      <c r="J108" s="985">
        <f t="shared" ref="J108:J109" si="59">H108+I108</f>
        <v>692.56999999999994</v>
      </c>
      <c r="K108" s="986"/>
      <c r="L108" s="985"/>
      <c r="M108" s="985"/>
      <c r="N108" s="985"/>
      <c r="O108" s="985">
        <f>SUM(O110:O116)</f>
        <v>185.07000000000002</v>
      </c>
      <c r="P108" s="985">
        <f>J108+O108</f>
        <v>877.64</v>
      </c>
      <c r="Q108" s="985">
        <f t="shared" ref="Q108:Q109" si="60">ROUND(P108*$Q$5,2)</f>
        <v>680.17</v>
      </c>
      <c r="R108" s="1004">
        <f>ROUND(T108/1.2,2)</f>
        <v>806.67</v>
      </c>
      <c r="S108" s="1004">
        <f t="shared" ref="S108:S109" si="61">ROUND(R108*$S$5,2)</f>
        <v>161.33000000000001</v>
      </c>
      <c r="T108" s="1004">
        <f>ROUND((P108+Q108)*(1+AC108)*1.2,0)</f>
        <v>968</v>
      </c>
      <c r="U108" s="794">
        <v>907</v>
      </c>
      <c r="V108" s="127">
        <f t="shared" ref="V108:V258" si="62">T108/U108*100-100</f>
        <v>6.7254685777287762</v>
      </c>
      <c r="W108" s="1001">
        <v>936</v>
      </c>
      <c r="X108" s="1002">
        <f t="shared" si="36"/>
        <v>3.4188034188034351</v>
      </c>
      <c r="Y108" s="117">
        <v>936</v>
      </c>
      <c r="Z108" s="751">
        <v>1.034</v>
      </c>
      <c r="AA108" s="1003">
        <f>ROUND(W108*Z108,2)</f>
        <v>967.82</v>
      </c>
      <c r="AB108" s="1005">
        <f>ROUND((P108+Q108)*1.2,2)</f>
        <v>1869.37</v>
      </c>
      <c r="AC108" s="1006">
        <f>ROUND((AA108/AB108)*100%-100%,4)</f>
        <v>-0.48230000000000001</v>
      </c>
      <c r="AD108" s="751">
        <f t="shared" si="37"/>
        <v>-901.59715099999994</v>
      </c>
      <c r="AF108">
        <v>967.82400000000007</v>
      </c>
      <c r="AG108" s="759">
        <v>968</v>
      </c>
      <c r="AH108" s="1008">
        <f t="shared" si="38"/>
        <v>0</v>
      </c>
      <c r="AJ108" s="759">
        <v>0.1414</v>
      </c>
      <c r="AK108" s="751">
        <f t="shared" si="39"/>
        <v>0.1414</v>
      </c>
      <c r="AL108" s="751">
        <v>0</v>
      </c>
      <c r="AN108" s="152"/>
      <c r="AP108" s="759">
        <v>1.034</v>
      </c>
      <c r="AQ108" s="877">
        <v>0.1414</v>
      </c>
      <c r="AR108" s="751">
        <f t="shared" si="40"/>
        <v>0</v>
      </c>
      <c r="AT108" s="747">
        <f t="shared" si="41"/>
        <v>-0.62370000000000003</v>
      </c>
    </row>
    <row r="109" spans="1:46" ht="24" customHeight="1" x14ac:dyDescent="0.25">
      <c r="A109" s="979"/>
      <c r="B109" s="979"/>
      <c r="C109" s="995"/>
      <c r="D109" s="983"/>
      <c r="E109" s="373" t="s">
        <v>169</v>
      </c>
      <c r="F109" s="359">
        <f>VLOOKUP(E109,'условия, ФОТ'!$A$14:$I$28,9, FALSE)</f>
        <v>326.24</v>
      </c>
      <c r="G109" s="364">
        <v>0.68</v>
      </c>
      <c r="H109" s="985"/>
      <c r="I109" s="985">
        <f t="shared" si="58"/>
        <v>0</v>
      </c>
      <c r="J109" s="985">
        <f t="shared" si="59"/>
        <v>0</v>
      </c>
      <c r="K109" s="986"/>
      <c r="L109" s="985"/>
      <c r="M109" s="985"/>
      <c r="N109" s="985"/>
      <c r="O109" s="985"/>
      <c r="P109" s="985"/>
      <c r="Q109" s="985">
        <f t="shared" si="60"/>
        <v>0</v>
      </c>
      <c r="R109" s="1004">
        <f t="shared" ref="R109" si="63">ROUND(T109/1.18,2)</f>
        <v>0</v>
      </c>
      <c r="S109" s="1004">
        <f t="shared" si="61"/>
        <v>0</v>
      </c>
      <c r="T109" s="1004">
        <f>ROUND((P109+Q109)*(1+$R$5)*1.18,0)</f>
        <v>0</v>
      </c>
      <c r="U109" s="1009"/>
      <c r="V109" s="127"/>
      <c r="W109" s="1001"/>
      <c r="X109" s="1002"/>
      <c r="Y109" s="117">
        <v>0</v>
      </c>
      <c r="Z109" s="752"/>
      <c r="AA109" s="1003"/>
      <c r="AB109" s="1005"/>
      <c r="AC109" s="1007"/>
      <c r="AD109" s="752"/>
      <c r="AG109" s="760"/>
      <c r="AH109" s="1008"/>
      <c r="AJ109" s="760"/>
      <c r="AK109" s="752"/>
      <c r="AL109" s="752"/>
      <c r="AN109" s="152"/>
      <c r="AP109" s="760"/>
      <c r="AQ109" s="878"/>
      <c r="AR109" s="752"/>
      <c r="AT109" s="748"/>
    </row>
    <row r="110" spans="1:46" ht="17.25" customHeight="1" outlineLevel="1" x14ac:dyDescent="0.25">
      <c r="A110" s="979"/>
      <c r="B110" s="361"/>
      <c r="C110" s="362"/>
      <c r="D110" s="373"/>
      <c r="E110" s="373"/>
      <c r="F110" s="359"/>
      <c r="G110" s="364"/>
      <c r="H110" s="359"/>
      <c r="I110" s="359"/>
      <c r="J110" s="178" t="s">
        <v>385</v>
      </c>
      <c r="K110" s="184" t="s">
        <v>329</v>
      </c>
      <c r="L110" s="364" t="str">
        <f>VLOOKUP(K110,материалы!$A$5:$G$31,5, FALSE)</f>
        <v>м3</v>
      </c>
      <c r="M110" s="359">
        <f>VLOOKUP(K110,материалы!$A$5:$G$31,7, FALSE)</f>
        <v>1033.33</v>
      </c>
      <c r="N110" s="364">
        <v>8.7499999999999994E-2</v>
      </c>
      <c r="O110" s="359">
        <f>ROUND(M110*N110,2)</f>
        <v>90.42</v>
      </c>
      <c r="P110" s="359"/>
      <c r="Q110" s="359"/>
      <c r="R110" s="369"/>
      <c r="S110" s="369"/>
      <c r="T110" s="369"/>
      <c r="U110" s="121"/>
      <c r="V110" s="127"/>
      <c r="W110" s="377"/>
      <c r="X110" s="367"/>
      <c r="Z110" s="356"/>
      <c r="AA110" s="366"/>
      <c r="AB110" s="158"/>
      <c r="AC110" s="170"/>
      <c r="AD110" s="366"/>
      <c r="AG110" s="379"/>
      <c r="AH110" s="358"/>
      <c r="AJ110" s="379"/>
      <c r="AK110" s="366"/>
      <c r="AL110" s="366"/>
      <c r="AN110" s="152"/>
      <c r="AP110" s="379"/>
      <c r="AQ110" s="243"/>
      <c r="AR110" s="366"/>
      <c r="AT110" s="241"/>
    </row>
    <row r="111" spans="1:46" ht="17.25" customHeight="1" outlineLevel="1" x14ac:dyDescent="0.25">
      <c r="A111" s="979"/>
      <c r="B111" s="361"/>
      <c r="C111" s="362"/>
      <c r="D111" s="373"/>
      <c r="E111" s="373"/>
      <c r="F111" s="359"/>
      <c r="G111" s="364"/>
      <c r="H111" s="359"/>
      <c r="I111" s="359"/>
      <c r="J111" s="359"/>
      <c r="K111" s="184" t="s">
        <v>330</v>
      </c>
      <c r="L111" s="364" t="str">
        <f>VLOOKUP(K111,материалы!$A$5:$G$31,5, FALSE)</f>
        <v>м3</v>
      </c>
      <c r="M111" s="359">
        <f>VLOOKUP(K111,материалы!$A$5:$G$31,7, FALSE)</f>
        <v>116.67</v>
      </c>
      <c r="N111" s="359">
        <v>0.15</v>
      </c>
      <c r="O111" s="359">
        <f t="shared" ref="O111:O116" si="64">ROUND(M111*N111,2)</f>
        <v>17.5</v>
      </c>
      <c r="P111" s="359"/>
      <c r="Q111" s="359"/>
      <c r="R111" s="369"/>
      <c r="S111" s="369"/>
      <c r="T111" s="369"/>
      <c r="U111" s="121"/>
      <c r="V111" s="127"/>
      <c r="W111" s="377"/>
      <c r="X111" s="367"/>
      <c r="Z111" s="356"/>
      <c r="AA111" s="366"/>
      <c r="AB111" s="158"/>
      <c r="AC111" s="170"/>
      <c r="AD111" s="366"/>
      <c r="AG111" s="379"/>
      <c r="AH111" s="358"/>
      <c r="AJ111" s="379"/>
      <c r="AK111" s="366"/>
      <c r="AL111" s="366"/>
      <c r="AN111" s="152"/>
      <c r="AP111" s="379"/>
      <c r="AQ111" s="243"/>
      <c r="AR111" s="366"/>
      <c r="AT111" s="241"/>
    </row>
    <row r="112" spans="1:46" ht="35.25" customHeight="1" outlineLevel="1" x14ac:dyDescent="0.25">
      <c r="A112" s="979"/>
      <c r="B112" s="361"/>
      <c r="C112" s="362"/>
      <c r="D112" s="373"/>
      <c r="E112" s="373"/>
      <c r="F112" s="359"/>
      <c r="G112" s="364"/>
      <c r="H112" s="359"/>
      <c r="I112" s="359"/>
      <c r="J112" s="359"/>
      <c r="K112" s="184" t="s">
        <v>347</v>
      </c>
      <c r="L112" s="364" t="str">
        <f>VLOOKUP(K112,материалы!$A$5:$G$31,5, FALSE)</f>
        <v>кг</v>
      </c>
      <c r="M112" s="359">
        <f>VLOOKUP(K112,материалы!$A$5:$G$31,7, FALSE)</f>
        <v>300</v>
      </c>
      <c r="N112" s="359">
        <v>0.1</v>
      </c>
      <c r="O112" s="359">
        <f t="shared" si="64"/>
        <v>30</v>
      </c>
      <c r="P112" s="359"/>
      <c r="Q112" s="359"/>
      <c r="R112" s="369"/>
      <c r="S112" s="369"/>
      <c r="T112" s="369"/>
      <c r="U112" s="121"/>
      <c r="V112" s="127"/>
      <c r="W112" s="377"/>
      <c r="X112" s="367"/>
      <c r="Z112" s="356"/>
      <c r="AA112" s="366"/>
      <c r="AB112" s="158"/>
      <c r="AC112" s="170"/>
      <c r="AD112" s="366"/>
      <c r="AG112" s="379"/>
      <c r="AH112" s="358"/>
      <c r="AJ112" s="379"/>
      <c r="AK112" s="366"/>
      <c r="AL112" s="366"/>
      <c r="AN112" s="152"/>
      <c r="AP112" s="379"/>
      <c r="AQ112" s="243"/>
      <c r="AR112" s="366"/>
      <c r="AT112" s="241"/>
    </row>
    <row r="113" spans="1:46" ht="24" customHeight="1" outlineLevel="1" x14ac:dyDescent="0.25">
      <c r="A113" s="979"/>
      <c r="B113" s="361"/>
      <c r="C113" s="362"/>
      <c r="D113" s="373"/>
      <c r="E113" s="373"/>
      <c r="F113" s="359"/>
      <c r="G113" s="364"/>
      <c r="H113" s="359"/>
      <c r="I113" s="359"/>
      <c r="J113" s="359"/>
      <c r="K113" s="184" t="s">
        <v>358</v>
      </c>
      <c r="L113" s="364" t="str">
        <f>VLOOKUP(K113,материалы!$A$5:$G$31,5, FALSE)</f>
        <v>шт.</v>
      </c>
      <c r="M113" s="359">
        <f>VLOOKUP(K113,материалы!$A$5:$G$31,7, FALSE)</f>
        <v>35</v>
      </c>
      <c r="N113" s="359">
        <v>1</v>
      </c>
      <c r="O113" s="359">
        <f t="shared" si="64"/>
        <v>35</v>
      </c>
      <c r="P113" s="359"/>
      <c r="Q113" s="359"/>
      <c r="R113" s="369"/>
      <c r="S113" s="369"/>
      <c r="T113" s="369"/>
      <c r="U113" s="121"/>
      <c r="V113" s="127"/>
      <c r="W113" s="377"/>
      <c r="X113" s="367"/>
      <c r="Z113" s="356"/>
      <c r="AA113" s="366"/>
      <c r="AB113" s="158"/>
      <c r="AC113" s="170"/>
      <c r="AD113" s="366"/>
      <c r="AG113" s="379"/>
      <c r="AH113" s="358"/>
      <c r="AJ113" s="379"/>
      <c r="AK113" s="366"/>
      <c r="AL113" s="366"/>
      <c r="AN113" s="152"/>
      <c r="AP113" s="379"/>
      <c r="AQ113" s="243"/>
      <c r="AR113" s="366"/>
      <c r="AT113" s="241"/>
    </row>
    <row r="114" spans="1:46" ht="24" customHeight="1" outlineLevel="1" x14ac:dyDescent="0.25">
      <c r="A114" s="979"/>
      <c r="B114" s="361"/>
      <c r="C114" s="362"/>
      <c r="D114" s="373"/>
      <c r="E114" s="373"/>
      <c r="F114" s="359"/>
      <c r="G114" s="364"/>
      <c r="H114" s="359"/>
      <c r="I114" s="359"/>
      <c r="J114" s="359"/>
      <c r="K114" s="184" t="s">
        <v>348</v>
      </c>
      <c r="L114" s="364" t="str">
        <f>VLOOKUP(K114,материалы!$A$5:$G$31,5, FALSE)</f>
        <v>шт.</v>
      </c>
      <c r="M114" s="359">
        <f>VLOOKUP(K114,материалы!$A$5:$G$31,7, FALSE)</f>
        <v>45</v>
      </c>
      <c r="N114" s="359">
        <v>0.25</v>
      </c>
      <c r="O114" s="359">
        <f t="shared" si="64"/>
        <v>11.25</v>
      </c>
      <c r="P114" s="359"/>
      <c r="Q114" s="359"/>
      <c r="R114" s="369"/>
      <c r="S114" s="369"/>
      <c r="T114" s="369"/>
      <c r="U114" s="121"/>
      <c r="V114" s="127"/>
      <c r="W114" s="377"/>
      <c r="X114" s="367"/>
      <c r="Z114" s="356"/>
      <c r="AA114" s="366"/>
      <c r="AB114" s="158"/>
      <c r="AC114" s="170"/>
      <c r="AD114" s="366"/>
      <c r="AG114" s="379"/>
      <c r="AH114" s="358"/>
      <c r="AJ114" s="379"/>
      <c r="AK114" s="366"/>
      <c r="AL114" s="366"/>
      <c r="AN114" s="152"/>
      <c r="AP114" s="379"/>
      <c r="AQ114" s="243"/>
      <c r="AR114" s="366"/>
      <c r="AT114" s="241"/>
    </row>
    <row r="115" spans="1:46" ht="20.25" customHeight="1" outlineLevel="1" x14ac:dyDescent="0.25">
      <c r="A115" s="979"/>
      <c r="B115" s="361"/>
      <c r="C115" s="362"/>
      <c r="D115" s="373"/>
      <c r="E115" s="373"/>
      <c r="F115" s="359"/>
      <c r="G115" s="364"/>
      <c r="H115" s="359"/>
      <c r="I115" s="359"/>
      <c r="J115" s="359"/>
      <c r="K115" s="184" t="s">
        <v>336</v>
      </c>
      <c r="L115" s="364" t="str">
        <f>VLOOKUP(K115,материалы!$A$5:$G$31,5, FALSE)</f>
        <v>кг</v>
      </c>
      <c r="M115" s="359">
        <f>VLOOKUP(K115,материалы!$A$5:$G$31,7, FALSE)</f>
        <v>80</v>
      </c>
      <c r="N115" s="364">
        <f>0.01</f>
        <v>0.01</v>
      </c>
      <c r="O115" s="359">
        <f t="shared" si="64"/>
        <v>0.8</v>
      </c>
      <c r="P115" s="359"/>
      <c r="Q115" s="359"/>
      <c r="R115" s="369"/>
      <c r="S115" s="369"/>
      <c r="T115" s="369"/>
      <c r="U115" s="121"/>
      <c r="V115" s="127"/>
      <c r="W115" s="377"/>
      <c r="X115" s="367"/>
      <c r="Z115" s="356"/>
      <c r="AA115" s="366"/>
      <c r="AB115" s="158"/>
      <c r="AC115" s="170"/>
      <c r="AD115" s="366"/>
      <c r="AG115" s="379"/>
      <c r="AH115" s="358"/>
      <c r="AJ115" s="379"/>
      <c r="AK115" s="366"/>
      <c r="AL115" s="366"/>
      <c r="AN115" s="152"/>
      <c r="AP115" s="379"/>
      <c r="AQ115" s="243"/>
      <c r="AR115" s="366"/>
      <c r="AT115" s="241"/>
    </row>
    <row r="116" spans="1:46" ht="16.5" customHeight="1" outlineLevel="1" x14ac:dyDescent="0.25">
      <c r="A116" s="979"/>
      <c r="B116" s="361"/>
      <c r="C116" s="362"/>
      <c r="D116" s="373"/>
      <c r="E116" s="373"/>
      <c r="F116" s="359"/>
      <c r="G116" s="364"/>
      <c r="H116" s="359"/>
      <c r="I116" s="359"/>
      <c r="J116" s="359"/>
      <c r="K116" s="184" t="s">
        <v>335</v>
      </c>
      <c r="L116" s="364" t="str">
        <f>VLOOKUP(K116,материалы!$A$5:$G$31,5, FALSE)</f>
        <v>кг</v>
      </c>
      <c r="M116" s="359">
        <f>VLOOKUP(K116,материалы!$A$5:$G$31,7, FALSE)</f>
        <v>95</v>
      </c>
      <c r="N116" s="185">
        <f>0.001</f>
        <v>1E-3</v>
      </c>
      <c r="O116" s="359">
        <f t="shared" si="64"/>
        <v>0.1</v>
      </c>
      <c r="P116" s="359"/>
      <c r="Q116" s="359"/>
      <c r="R116" s="369"/>
      <c r="S116" s="369"/>
      <c r="T116" s="369"/>
      <c r="U116" s="121"/>
      <c r="V116" s="127"/>
      <c r="W116" s="377"/>
      <c r="X116" s="367"/>
      <c r="Z116" s="356"/>
      <c r="AA116" s="366"/>
      <c r="AB116" s="158"/>
      <c r="AC116" s="170"/>
      <c r="AD116" s="366"/>
      <c r="AG116" s="379"/>
      <c r="AH116" s="358"/>
      <c r="AJ116" s="379"/>
      <c r="AK116" s="366"/>
      <c r="AL116" s="366"/>
      <c r="AN116" s="152"/>
      <c r="AP116" s="379"/>
      <c r="AQ116" s="243"/>
      <c r="AR116" s="366"/>
      <c r="AT116" s="241"/>
    </row>
    <row r="117" spans="1:46" ht="18" customHeight="1" x14ac:dyDescent="0.25">
      <c r="A117" s="979"/>
      <c r="B117" s="979" t="s">
        <v>356</v>
      </c>
      <c r="C117" s="995" t="s">
        <v>357</v>
      </c>
      <c r="D117" s="983" t="s">
        <v>36</v>
      </c>
      <c r="E117" s="373" t="s">
        <v>174</v>
      </c>
      <c r="F117" s="359">
        <f>VLOOKUP(E117,'условия, ФОТ'!$A$14:$I$28,9, FALSE)</f>
        <v>456.01</v>
      </c>
      <c r="G117" s="364">
        <v>0.2</v>
      </c>
      <c r="H117" s="985">
        <f>ROUND(F117*G117+F118*G118,2)</f>
        <v>156.44999999999999</v>
      </c>
      <c r="I117" s="985">
        <f t="shared" ref="I117:I120" si="65">ROUND(H117*$I$5,2)</f>
        <v>47.25</v>
      </c>
      <c r="J117" s="985">
        <f t="shared" ref="J117:J120" si="66">H117+I117</f>
        <v>203.7</v>
      </c>
      <c r="K117" s="986"/>
      <c r="L117" s="985"/>
      <c r="M117" s="985"/>
      <c r="N117" s="985"/>
      <c r="O117" s="985">
        <f>O119</f>
        <v>132.99</v>
      </c>
      <c r="P117" s="985">
        <f>J117+O117</f>
        <v>336.69</v>
      </c>
      <c r="Q117" s="985">
        <f>ROUND(P117*$Q$5,2)</f>
        <v>260.93</v>
      </c>
      <c r="R117" s="1004">
        <f>ROUND(T117/1.2,2)</f>
        <v>285</v>
      </c>
      <c r="S117" s="1004">
        <f>ROUND(R117*$S$5,2)</f>
        <v>57</v>
      </c>
      <c r="T117" s="1004">
        <f>ROUND((P117+Q117)*(1+AC117)*1.2,0)</f>
        <v>342</v>
      </c>
      <c r="U117" s="794">
        <v>321</v>
      </c>
      <c r="V117" s="127">
        <f t="shared" ref="V117" si="67">T117/U117*100-100</f>
        <v>6.5420560747663501</v>
      </c>
      <c r="W117" s="1001">
        <v>331</v>
      </c>
      <c r="X117" s="1002">
        <f t="shared" si="36"/>
        <v>3.3232628398791633</v>
      </c>
      <c r="Y117" s="117">
        <v>331</v>
      </c>
      <c r="Z117" s="751">
        <v>1.034</v>
      </c>
      <c r="AA117" s="1003">
        <f>ROUND(W117*Z117,2)</f>
        <v>342.25</v>
      </c>
      <c r="AB117" s="1005">
        <f>ROUND((P117+Q117)*1.2,2)</f>
        <v>717.14</v>
      </c>
      <c r="AC117" s="1006">
        <f>ROUND((AA117/AB117)*100%-100%,4)</f>
        <v>-0.52280000000000004</v>
      </c>
      <c r="AD117" s="751">
        <f t="shared" si="37"/>
        <v>-374.92079200000001</v>
      </c>
      <c r="AF117">
        <v>342.25400000000002</v>
      </c>
      <c r="AG117" s="759">
        <v>342</v>
      </c>
      <c r="AH117" s="1008">
        <f t="shared" si="38"/>
        <v>0</v>
      </c>
      <c r="AJ117" s="759">
        <v>0.1615</v>
      </c>
      <c r="AK117" s="751">
        <f t="shared" si="39"/>
        <v>0.1615</v>
      </c>
      <c r="AL117" s="751">
        <v>0</v>
      </c>
      <c r="AN117" s="152"/>
      <c r="AP117" s="759">
        <v>1.034</v>
      </c>
      <c r="AQ117" s="877">
        <v>0.1615</v>
      </c>
      <c r="AR117" s="751">
        <f t="shared" si="40"/>
        <v>0</v>
      </c>
      <c r="AT117" s="747">
        <f t="shared" si="41"/>
        <v>-0.68430000000000002</v>
      </c>
    </row>
    <row r="118" spans="1:46" ht="27.95" customHeight="1" x14ac:dyDescent="0.25">
      <c r="A118" s="979"/>
      <c r="B118" s="979"/>
      <c r="C118" s="995"/>
      <c r="D118" s="983"/>
      <c r="E118" s="373" t="s">
        <v>169</v>
      </c>
      <c r="F118" s="359">
        <f>VLOOKUP(E118,'условия, ФОТ'!$A$14:$I$28,9, FALSE)</f>
        <v>326.24</v>
      </c>
      <c r="G118" s="364">
        <v>0.2</v>
      </c>
      <c r="H118" s="985"/>
      <c r="I118" s="985">
        <f t="shared" si="65"/>
        <v>0</v>
      </c>
      <c r="J118" s="985">
        <f t="shared" si="66"/>
        <v>0</v>
      </c>
      <c r="K118" s="986"/>
      <c r="L118" s="985"/>
      <c r="M118" s="985"/>
      <c r="N118" s="985"/>
      <c r="O118" s="985"/>
      <c r="P118" s="985">
        <f t="shared" ref="P118:P120" si="68">J118+O118</f>
        <v>0</v>
      </c>
      <c r="Q118" s="985">
        <f t="shared" ref="Q118:Q120" si="69">ROUND(P118*$Q$5,2)</f>
        <v>0</v>
      </c>
      <c r="R118" s="1004">
        <f t="shared" ref="R118" si="70">ROUND(T118/1.18,2)</f>
        <v>0</v>
      </c>
      <c r="S118" s="1004">
        <f t="shared" ref="S118" si="71">ROUND(R118*$S$5,2)</f>
        <v>0</v>
      </c>
      <c r="T118" s="1004">
        <f>ROUND((P118+Q118)*(1+$R$5)*1.18,0)</f>
        <v>0</v>
      </c>
      <c r="U118" s="1009"/>
      <c r="V118" s="127"/>
      <c r="W118" s="1001"/>
      <c r="X118" s="1002"/>
      <c r="Y118" s="117">
        <v>0</v>
      </c>
      <c r="Z118" s="752"/>
      <c r="AA118" s="1003"/>
      <c r="AB118" s="1005"/>
      <c r="AC118" s="1007"/>
      <c r="AD118" s="752"/>
      <c r="AG118" s="760"/>
      <c r="AH118" s="1008"/>
      <c r="AJ118" s="760"/>
      <c r="AK118" s="752"/>
      <c r="AL118" s="752"/>
      <c r="AN118" s="152"/>
      <c r="AP118" s="760"/>
      <c r="AQ118" s="878"/>
      <c r="AR118" s="752"/>
      <c r="AT118" s="748"/>
    </row>
    <row r="119" spans="1:46" ht="31.7" customHeight="1" outlineLevel="1" x14ac:dyDescent="0.25">
      <c r="A119" s="979"/>
      <c r="B119" s="361"/>
      <c r="C119" s="362"/>
      <c r="D119" s="373"/>
      <c r="E119" s="373"/>
      <c r="F119" s="359"/>
      <c r="G119" s="364"/>
      <c r="H119" s="359"/>
      <c r="I119" s="359"/>
      <c r="J119" s="178" t="s">
        <v>385</v>
      </c>
      <c r="K119" s="184" t="s">
        <v>388</v>
      </c>
      <c r="L119" s="364" t="str">
        <f>VLOOKUP(K119,материалы!$A$5:$G$31,5, FALSE)</f>
        <v>м</v>
      </c>
      <c r="M119" s="359">
        <f>VLOOKUP(K119,материалы!$A$5:$G$31,7, FALSE)</f>
        <v>132.99</v>
      </c>
      <c r="N119" s="364">
        <v>1</v>
      </c>
      <c r="O119" s="359">
        <f t="shared" ref="O119" si="72">ROUND(M119*N119,2)</f>
        <v>132.99</v>
      </c>
      <c r="P119" s="359"/>
      <c r="Q119" s="359"/>
      <c r="R119" s="369"/>
      <c r="S119" s="369"/>
      <c r="T119" s="369"/>
      <c r="U119" s="121"/>
      <c r="V119" s="127"/>
      <c r="W119" s="377"/>
      <c r="X119" s="367"/>
      <c r="Z119" s="356"/>
      <c r="AA119" s="366"/>
      <c r="AB119" s="158"/>
      <c r="AC119" s="170"/>
      <c r="AD119" s="366"/>
      <c r="AG119" s="379"/>
      <c r="AH119" s="358"/>
      <c r="AJ119" s="379"/>
      <c r="AK119" s="366"/>
      <c r="AL119" s="366"/>
      <c r="AN119" s="152"/>
      <c r="AP119" s="379"/>
      <c r="AQ119" s="243"/>
      <c r="AR119" s="366"/>
      <c r="AT119" s="241"/>
    </row>
    <row r="120" spans="1:46" ht="35.25" customHeight="1" x14ac:dyDescent="0.25">
      <c r="A120" s="979"/>
      <c r="B120" s="361" t="s">
        <v>184</v>
      </c>
      <c r="C120" s="347" t="s">
        <v>366</v>
      </c>
      <c r="D120" s="373" t="s">
        <v>40</v>
      </c>
      <c r="E120" s="373" t="s">
        <v>169</v>
      </c>
      <c r="F120" s="359">
        <f>VLOOKUP(E120,'условия, ФОТ'!$A$14:$I$28,9, FALSE)</f>
        <v>326.24</v>
      </c>
      <c r="G120" s="364">
        <v>1</v>
      </c>
      <c r="H120" s="359">
        <f t="shared" ref="H120" si="73">ROUND(F120*G120,2)</f>
        <v>326.24</v>
      </c>
      <c r="I120" s="359">
        <f t="shared" si="65"/>
        <v>98.52</v>
      </c>
      <c r="J120" s="359">
        <f t="shared" si="66"/>
        <v>424.76</v>
      </c>
      <c r="K120" s="363"/>
      <c r="L120" s="359"/>
      <c r="M120" s="359"/>
      <c r="N120" s="359"/>
      <c r="O120" s="359">
        <f>SUM(O121:O123)</f>
        <v>5.6499999999999995</v>
      </c>
      <c r="P120" s="359">
        <f t="shared" si="68"/>
        <v>430.40999999999997</v>
      </c>
      <c r="Q120" s="359">
        <f t="shared" si="69"/>
        <v>333.57</v>
      </c>
      <c r="R120" s="369">
        <f>ROUND(T120/1.2,2)</f>
        <v>411.67</v>
      </c>
      <c r="S120" s="369">
        <f>ROUND(R120*$S$5,2)</f>
        <v>82.33</v>
      </c>
      <c r="T120" s="369">
        <f>ROUND((P120+Q120)*(1+AC120)*1.2,0)</f>
        <v>494</v>
      </c>
      <c r="U120" s="121">
        <v>431</v>
      </c>
      <c r="V120" s="127">
        <f t="shared" ref="V120" si="74">T120/U120*100-100</f>
        <v>14.617169373549885</v>
      </c>
      <c r="W120" s="377">
        <v>444</v>
      </c>
      <c r="X120" s="367">
        <f t="shared" si="36"/>
        <v>11.261261261261254</v>
      </c>
      <c r="Y120" s="117">
        <v>444</v>
      </c>
      <c r="Z120" s="368">
        <v>1.113</v>
      </c>
      <c r="AA120" s="152">
        <f>ROUND(W120*Z120,2)</f>
        <v>494.17</v>
      </c>
      <c r="AB120" s="157">
        <f>ROUND((P120+Q120)*1.2,2)</f>
        <v>916.78</v>
      </c>
      <c r="AC120" s="170">
        <f>ROUND((AA120/AB120)*100%-100%,4)</f>
        <v>-0.46100000000000002</v>
      </c>
      <c r="AD120" s="366">
        <f t="shared" si="37"/>
        <v>-422.63558</v>
      </c>
      <c r="AF120">
        <v>459.096</v>
      </c>
      <c r="AG120" s="379">
        <v>459</v>
      </c>
      <c r="AH120" s="358">
        <f t="shared" si="38"/>
        <v>35</v>
      </c>
      <c r="AJ120" s="379">
        <v>-2.5100000000000001E-2</v>
      </c>
      <c r="AK120" s="366">
        <f t="shared" si="39"/>
        <v>1.0250999999999999</v>
      </c>
      <c r="AL120" s="366">
        <v>1.06</v>
      </c>
      <c r="AN120" s="152">
        <f t="shared" si="57"/>
        <v>470.64</v>
      </c>
      <c r="AP120" s="379">
        <v>1.034</v>
      </c>
      <c r="AQ120" s="243">
        <v>-2.5100000000000001E-2</v>
      </c>
      <c r="AR120" s="366">
        <f t="shared" si="40"/>
        <v>7.8999999999999959E-2</v>
      </c>
      <c r="AT120" s="241">
        <f t="shared" si="41"/>
        <v>-0.43590000000000001</v>
      </c>
    </row>
    <row r="121" spans="1:46" ht="24.75" customHeight="1" outlineLevel="1" x14ac:dyDescent="0.25">
      <c r="A121" s="979"/>
      <c r="B121" s="361"/>
      <c r="C121" s="347"/>
      <c r="D121" s="373"/>
      <c r="E121" s="373"/>
      <c r="F121" s="359"/>
      <c r="G121" s="364"/>
      <c r="H121" s="359"/>
      <c r="I121" s="359"/>
      <c r="J121" s="178" t="s">
        <v>385</v>
      </c>
      <c r="K121" s="92" t="s">
        <v>341</v>
      </c>
      <c r="L121" s="364" t="str">
        <f>VLOOKUP(K121,материалы!$A$5:$G$31,5, FALSE)</f>
        <v>кг</v>
      </c>
      <c r="M121" s="359">
        <f>VLOOKUP(K121,материалы!$A$5:$G$31,7, FALSE)</f>
        <v>950</v>
      </c>
      <c r="N121" s="359">
        <v>5.0000000000000001E-3</v>
      </c>
      <c r="O121" s="359">
        <f>ROUND(M121*N121,2)</f>
        <v>4.75</v>
      </c>
      <c r="P121" s="359"/>
      <c r="Q121" s="359"/>
      <c r="R121" s="369"/>
      <c r="S121" s="369"/>
      <c r="T121" s="369"/>
      <c r="U121" s="121"/>
      <c r="V121" s="127"/>
      <c r="W121" s="377"/>
      <c r="X121" s="367"/>
      <c r="Z121" s="356"/>
      <c r="AA121" s="366"/>
      <c r="AB121" s="158"/>
      <c r="AC121" s="170"/>
      <c r="AD121" s="366"/>
      <c r="AG121" s="379"/>
      <c r="AH121" s="358"/>
      <c r="AJ121" s="379"/>
      <c r="AK121" s="366"/>
      <c r="AL121" s="366"/>
      <c r="AN121" s="152"/>
      <c r="AP121" s="379"/>
      <c r="AQ121" s="243"/>
      <c r="AR121" s="366"/>
      <c r="AT121" s="241"/>
    </row>
    <row r="122" spans="1:46" ht="24.75" customHeight="1" outlineLevel="1" x14ac:dyDescent="0.25">
      <c r="A122" s="979"/>
      <c r="B122" s="361"/>
      <c r="C122" s="347"/>
      <c r="D122" s="373"/>
      <c r="E122" s="373"/>
      <c r="F122" s="359"/>
      <c r="G122" s="364"/>
      <c r="H122" s="359"/>
      <c r="I122" s="359"/>
      <c r="J122" s="359"/>
      <c r="K122" s="184" t="s">
        <v>335</v>
      </c>
      <c r="L122" s="364" t="str">
        <f>VLOOKUP(K122,материалы!$A$5:$G$31,5, FALSE)</f>
        <v>кг</v>
      </c>
      <c r="M122" s="359">
        <f>VLOOKUP(K122,материалы!$A$5:$G$31,7, FALSE)</f>
        <v>95</v>
      </c>
      <c r="N122" s="185">
        <v>1E-3</v>
      </c>
      <c r="O122" s="359">
        <f>ROUND(M122*N122,2)</f>
        <v>0.1</v>
      </c>
      <c r="P122" s="359"/>
      <c r="Q122" s="359"/>
      <c r="R122" s="369"/>
      <c r="S122" s="369"/>
      <c r="T122" s="369"/>
      <c r="U122" s="121"/>
      <c r="V122" s="127"/>
      <c r="W122" s="377"/>
      <c r="X122" s="367"/>
      <c r="Z122" s="356"/>
      <c r="AA122" s="366"/>
      <c r="AB122" s="158"/>
      <c r="AC122" s="170"/>
      <c r="AD122" s="366"/>
      <c r="AG122" s="379"/>
      <c r="AH122" s="358"/>
      <c r="AJ122" s="379"/>
      <c r="AK122" s="366"/>
      <c r="AL122" s="366"/>
      <c r="AN122" s="152"/>
      <c r="AP122" s="379"/>
      <c r="AQ122" s="243"/>
      <c r="AR122" s="366"/>
      <c r="AT122" s="241"/>
    </row>
    <row r="123" spans="1:46" ht="24.75" customHeight="1" outlineLevel="1" x14ac:dyDescent="0.25">
      <c r="A123" s="979"/>
      <c r="B123" s="361"/>
      <c r="C123" s="347"/>
      <c r="D123" s="373"/>
      <c r="E123" s="373"/>
      <c r="F123" s="359"/>
      <c r="G123" s="364"/>
      <c r="H123" s="359"/>
      <c r="I123" s="359"/>
      <c r="J123" s="359"/>
      <c r="K123" s="184" t="s">
        <v>336</v>
      </c>
      <c r="L123" s="364" t="str">
        <f>VLOOKUP(K123,материалы!$A$5:$G$31,5, FALSE)</f>
        <v>кг</v>
      </c>
      <c r="M123" s="359">
        <f>VLOOKUP(K123,материалы!$A$5:$G$31,7, FALSE)</f>
        <v>80</v>
      </c>
      <c r="N123" s="364">
        <v>0.01</v>
      </c>
      <c r="O123" s="359">
        <f>ROUND(M123*N123,2)</f>
        <v>0.8</v>
      </c>
      <c r="P123" s="359"/>
      <c r="Q123" s="359"/>
      <c r="R123" s="369"/>
      <c r="S123" s="369"/>
      <c r="T123" s="369"/>
      <c r="U123" s="121"/>
      <c r="V123" s="127"/>
      <c r="W123" s="377"/>
      <c r="X123" s="367"/>
      <c r="Z123" s="356"/>
      <c r="AA123" s="366"/>
      <c r="AB123" s="158"/>
      <c r="AC123" s="170"/>
      <c r="AD123" s="366"/>
      <c r="AG123" s="379"/>
      <c r="AH123" s="358"/>
      <c r="AJ123" s="379"/>
      <c r="AK123" s="366"/>
      <c r="AL123" s="366"/>
      <c r="AN123" s="152"/>
      <c r="AP123" s="379"/>
      <c r="AQ123" s="243"/>
      <c r="AR123" s="366"/>
      <c r="AT123" s="241"/>
    </row>
    <row r="124" spans="1:46" ht="58.7" customHeight="1" x14ac:dyDescent="0.25">
      <c r="A124" s="979"/>
      <c r="B124" s="361" t="s">
        <v>182</v>
      </c>
      <c r="C124" s="362" t="s">
        <v>589</v>
      </c>
      <c r="D124" s="373" t="s">
        <v>34</v>
      </c>
      <c r="E124" s="373" t="s">
        <v>169</v>
      </c>
      <c r="F124" s="359">
        <f>VLOOKUP(E124,'условия, ФОТ'!$A$14:$I$28,9, FALSE)</f>
        <v>326.24</v>
      </c>
      <c r="G124" s="364">
        <v>0.25</v>
      </c>
      <c r="H124" s="359">
        <f t="shared" ref="H124" si="75">ROUND(F124*G124,2)</f>
        <v>81.56</v>
      </c>
      <c r="I124" s="359">
        <f t="shared" ref="I124" si="76">ROUND(H124*$I$5,2)</f>
        <v>24.63</v>
      </c>
      <c r="J124" s="359">
        <f t="shared" ref="J124" si="77">H124+I124</f>
        <v>106.19</v>
      </c>
      <c r="K124" s="363"/>
      <c r="L124" s="359"/>
      <c r="M124" s="359"/>
      <c r="N124" s="359"/>
      <c r="O124" s="359">
        <f>SUM(O125:O127)</f>
        <v>5.6499999999999995</v>
      </c>
      <c r="P124" s="359">
        <f t="shared" ref="P124" si="78">J124+O124</f>
        <v>111.84</v>
      </c>
      <c r="Q124" s="359">
        <f t="shared" ref="Q124" si="79">ROUND(P124*$Q$5,2)</f>
        <v>86.68</v>
      </c>
      <c r="R124" s="369">
        <f>ROUND(T124/1.2,2)</f>
        <v>108.33</v>
      </c>
      <c r="S124" s="369">
        <f>ROUND(R124*$S$5,2)</f>
        <v>21.67</v>
      </c>
      <c r="T124" s="369">
        <f>ROUND((P124+Q124)*(1+AC124)*1.2,0)</f>
        <v>130</v>
      </c>
      <c r="U124" s="121">
        <v>115</v>
      </c>
      <c r="V124" s="127">
        <f t="shared" ref="V124" si="80">T124/U124*100-100</f>
        <v>13.043478260869563</v>
      </c>
      <c r="W124" s="377">
        <v>119</v>
      </c>
      <c r="X124" s="367">
        <f t="shared" si="36"/>
        <v>9.2436974789915922</v>
      </c>
      <c r="Y124" s="117">
        <v>119</v>
      </c>
      <c r="Z124" s="368">
        <v>1.095</v>
      </c>
      <c r="AA124" s="152">
        <f>ROUND(W124*Z124,2)</f>
        <v>130.31</v>
      </c>
      <c r="AB124" s="157">
        <f>ROUND((P124+Q124)*1.2,2)</f>
        <v>238.22</v>
      </c>
      <c r="AC124" s="170">
        <f>ROUND((AA124/AB124)*100%-100%,4)</f>
        <v>-0.45300000000000001</v>
      </c>
      <c r="AD124" s="366">
        <f t="shared" si="37"/>
        <v>-107.91366000000001</v>
      </c>
      <c r="AF124">
        <v>123.04600000000001</v>
      </c>
      <c r="AG124" s="379">
        <v>123</v>
      </c>
      <c r="AH124" s="358">
        <f t="shared" si="38"/>
        <v>7</v>
      </c>
      <c r="AJ124" s="379">
        <v>-9.2999999999999992E-3</v>
      </c>
      <c r="AK124" s="366">
        <f t="shared" si="39"/>
        <v>1.0093000000000001</v>
      </c>
      <c r="AL124" s="366">
        <v>1.044</v>
      </c>
      <c r="AN124" s="152">
        <f t="shared" si="57"/>
        <v>124.24</v>
      </c>
      <c r="AP124" s="379">
        <v>1.034</v>
      </c>
      <c r="AQ124" s="243">
        <v>-9.2999999999999992E-3</v>
      </c>
      <c r="AR124" s="366">
        <f t="shared" si="40"/>
        <v>6.0999999999999943E-2</v>
      </c>
      <c r="AT124" s="241">
        <f t="shared" si="41"/>
        <v>-0.44370000000000004</v>
      </c>
    </row>
    <row r="125" spans="1:46" ht="30.75" customHeight="1" x14ac:dyDescent="0.25">
      <c r="A125" s="1018" t="s">
        <v>613</v>
      </c>
      <c r="B125" s="1018"/>
      <c r="C125" s="1018"/>
      <c r="D125" s="1018"/>
      <c r="E125" s="1018"/>
      <c r="F125" s="1018"/>
      <c r="G125" s="1018"/>
      <c r="H125" s="1018"/>
      <c r="I125" s="1018"/>
      <c r="J125" s="178" t="s">
        <v>385</v>
      </c>
      <c r="K125" s="92" t="s">
        <v>341</v>
      </c>
      <c r="L125" s="364" t="str">
        <f>VLOOKUP(K125,материалы!$A$5:$G$31,5, FALSE)</f>
        <v>кг</v>
      </c>
      <c r="M125" s="359">
        <f>VLOOKUP(K125,материалы!$A$5:$G$31,7, FALSE)</f>
        <v>950</v>
      </c>
      <c r="N125" s="359">
        <v>5.0000000000000001E-3</v>
      </c>
      <c r="O125" s="359">
        <f t="shared" ref="O125:O127" si="81">ROUND(M125*N125,2)</f>
        <v>4.75</v>
      </c>
      <c r="P125" s="359"/>
      <c r="Q125" s="359"/>
      <c r="R125" s="369"/>
      <c r="S125" s="369"/>
      <c r="T125" s="369"/>
      <c r="U125" s="121"/>
      <c r="V125" s="127"/>
      <c r="W125" s="377"/>
      <c r="X125" s="367"/>
      <c r="Z125" s="356"/>
      <c r="AA125" s="366"/>
      <c r="AB125" s="158"/>
      <c r="AC125" s="170"/>
      <c r="AD125" s="366"/>
      <c r="AG125" s="379"/>
      <c r="AH125" s="358"/>
      <c r="AJ125" s="379"/>
      <c r="AK125" s="366"/>
      <c r="AL125" s="366"/>
      <c r="AN125" s="152"/>
      <c r="AP125" s="379"/>
      <c r="AQ125" s="243"/>
      <c r="AR125" s="366"/>
      <c r="AT125" s="241"/>
    </row>
    <row r="126" spans="1:46" ht="24.75" customHeight="1" x14ac:dyDescent="0.25">
      <c r="A126" s="1018"/>
      <c r="B126" s="1018"/>
      <c r="C126" s="1018"/>
      <c r="D126" s="1018"/>
      <c r="E126" s="1018"/>
      <c r="F126" s="1018"/>
      <c r="G126" s="1018"/>
      <c r="H126" s="1018"/>
      <c r="I126" s="1018"/>
      <c r="J126" s="359"/>
      <c r="K126" s="184" t="s">
        <v>335</v>
      </c>
      <c r="L126" s="364" t="str">
        <f>VLOOKUP(K126,материалы!$A$5:$G$31,5, FALSE)</f>
        <v>кг</v>
      </c>
      <c r="M126" s="359">
        <f>VLOOKUP(K126,материалы!$A$5:$G$31,7, FALSE)</f>
        <v>95</v>
      </c>
      <c r="N126" s="185">
        <f>0.001</f>
        <v>1E-3</v>
      </c>
      <c r="O126" s="359">
        <f t="shared" si="81"/>
        <v>0.1</v>
      </c>
      <c r="P126" s="359"/>
      <c r="Q126" s="359"/>
      <c r="R126" s="369"/>
      <c r="S126" s="369"/>
      <c r="T126" s="369"/>
      <c r="U126" s="121"/>
      <c r="V126" s="127"/>
      <c r="W126" s="377"/>
      <c r="X126" s="367"/>
      <c r="Z126" s="356"/>
      <c r="AA126" s="366"/>
      <c r="AB126" s="158"/>
      <c r="AC126" s="170"/>
      <c r="AD126" s="366"/>
      <c r="AG126" s="379"/>
      <c r="AH126" s="358"/>
      <c r="AJ126" s="379"/>
      <c r="AK126" s="366"/>
      <c r="AL126" s="366"/>
      <c r="AN126" s="152"/>
      <c r="AP126" s="379"/>
      <c r="AQ126" s="243"/>
      <c r="AR126" s="366"/>
      <c r="AT126" s="241"/>
    </row>
    <row r="127" spans="1:46" ht="27" customHeight="1" x14ac:dyDescent="0.25">
      <c r="A127" s="1018"/>
      <c r="B127" s="1018"/>
      <c r="C127" s="1018"/>
      <c r="D127" s="1018"/>
      <c r="E127" s="1018"/>
      <c r="F127" s="1018"/>
      <c r="G127" s="1018"/>
      <c r="H127" s="1018"/>
      <c r="I127" s="1018"/>
      <c r="J127" s="359"/>
      <c r="K127" s="184" t="s">
        <v>336</v>
      </c>
      <c r="L127" s="364" t="str">
        <f>VLOOKUP(K127,материалы!$A$5:$G$31,5, FALSE)</f>
        <v>кг</v>
      </c>
      <c r="M127" s="359">
        <f>VLOOKUP(K127,материалы!$A$5:$G$31,7, FALSE)</f>
        <v>80</v>
      </c>
      <c r="N127" s="364">
        <f>0.01</f>
        <v>0.01</v>
      </c>
      <c r="O127" s="359">
        <f t="shared" si="81"/>
        <v>0.8</v>
      </c>
      <c r="P127" s="359"/>
      <c r="Q127" s="359"/>
      <c r="R127" s="369"/>
      <c r="S127" s="369"/>
      <c r="T127" s="369"/>
      <c r="U127" s="121"/>
      <c r="V127" s="127"/>
      <c r="W127" s="377"/>
      <c r="X127" s="367"/>
      <c r="Z127" s="356"/>
      <c r="AA127" s="366"/>
      <c r="AB127" s="158"/>
      <c r="AC127" s="170"/>
      <c r="AD127" s="366"/>
      <c r="AG127" s="379"/>
      <c r="AH127" s="358"/>
      <c r="AJ127" s="379"/>
      <c r="AK127" s="366"/>
      <c r="AL127" s="366"/>
      <c r="AN127" s="152"/>
      <c r="AP127" s="379"/>
      <c r="AQ127" s="243"/>
      <c r="AR127" s="366"/>
      <c r="AT127" s="241"/>
    </row>
    <row r="128" spans="1:46" ht="44.25" customHeight="1" x14ac:dyDescent="0.25">
      <c r="A128" s="361" t="s">
        <v>475</v>
      </c>
      <c r="B128" s="995" t="s">
        <v>672</v>
      </c>
      <c r="C128" s="995"/>
      <c r="D128" s="373" t="s">
        <v>40</v>
      </c>
      <c r="E128" s="373"/>
      <c r="F128" s="359"/>
      <c r="G128" s="364"/>
      <c r="H128" s="359"/>
      <c r="I128" s="359"/>
      <c r="J128" s="359"/>
      <c r="K128" s="363"/>
      <c r="L128" s="359"/>
      <c r="M128" s="359"/>
      <c r="N128" s="359"/>
      <c r="O128" s="359"/>
      <c r="P128" s="359"/>
      <c r="Q128" s="359"/>
      <c r="R128" s="369"/>
      <c r="S128" s="369"/>
      <c r="T128" s="369"/>
      <c r="U128" s="121"/>
      <c r="V128" s="127"/>
      <c r="W128" s="377"/>
      <c r="X128" s="367"/>
      <c r="Z128" s="356"/>
      <c r="AA128" s="366"/>
      <c r="AB128" s="158"/>
      <c r="AC128" s="170"/>
      <c r="AD128" s="366"/>
      <c r="AG128" s="379"/>
      <c r="AH128" s="358"/>
      <c r="AJ128" s="379"/>
      <c r="AK128" s="366"/>
      <c r="AL128" s="366"/>
      <c r="AN128" s="152"/>
      <c r="AP128" s="379"/>
      <c r="AQ128" s="243"/>
      <c r="AR128" s="366"/>
      <c r="AT128" s="241"/>
    </row>
    <row r="129" spans="1:46" ht="29.25" customHeight="1" x14ac:dyDescent="0.25">
      <c r="A129" s="979" t="s">
        <v>363</v>
      </c>
      <c r="B129" s="361" t="s">
        <v>368</v>
      </c>
      <c r="C129" s="347" t="s">
        <v>367</v>
      </c>
      <c r="D129" s="373" t="s">
        <v>369</v>
      </c>
      <c r="E129" s="359" t="s">
        <v>168</v>
      </c>
      <c r="F129" s="359">
        <f>VLOOKUP(E129,'условия, ФОТ'!$A$14:$I$28,9, FALSE)</f>
        <v>282.83999999999997</v>
      </c>
      <c r="G129" s="364">
        <v>0.5</v>
      </c>
      <c r="H129" s="359">
        <f t="shared" ref="H129" si="82">ROUND(F129*G129,2)</f>
        <v>141.41999999999999</v>
      </c>
      <c r="I129" s="359">
        <f t="shared" ref="I129:I141" si="83">ROUND(H129*$I$5,2)</f>
        <v>42.71</v>
      </c>
      <c r="J129" s="359">
        <f t="shared" ref="J129:J141" si="84">H129+I129</f>
        <v>184.13</v>
      </c>
      <c r="K129" s="363"/>
      <c r="L129" s="359"/>
      <c r="M129" s="359"/>
      <c r="N129" s="359"/>
      <c r="O129" s="359"/>
      <c r="P129" s="359">
        <f t="shared" ref="P129" si="85">J129+O129</f>
        <v>184.13</v>
      </c>
      <c r="Q129" s="359">
        <f t="shared" ref="Q129:Q141" si="86">ROUND(P129*$Q$5,2)</f>
        <v>142.69999999999999</v>
      </c>
      <c r="R129" s="369">
        <f>ROUND(T129/1.2,2)</f>
        <v>202.5</v>
      </c>
      <c r="S129" s="369">
        <f>ROUND(R129*$S$5,2)</f>
        <v>40.5</v>
      </c>
      <c r="T129" s="369">
        <f>ROUND((P129+Q129)*(1+AC129)*1.2,0)</f>
        <v>243</v>
      </c>
      <c r="U129" s="121">
        <v>186</v>
      </c>
      <c r="V129" s="127">
        <f t="shared" ref="V129:V130" si="87">T129/U129*100-100</f>
        <v>30.645161290322562</v>
      </c>
      <c r="W129" s="377">
        <v>192</v>
      </c>
      <c r="X129" s="367">
        <f t="shared" si="36"/>
        <v>26.5625</v>
      </c>
      <c r="Y129" s="117">
        <v>192</v>
      </c>
      <c r="Z129" s="368">
        <v>1.264</v>
      </c>
      <c r="AA129" s="152">
        <f>ROUND(W129*Z129,2)</f>
        <v>242.69</v>
      </c>
      <c r="AB129" s="157">
        <f>ROUND((P129+Q129)*1.2,2)</f>
        <v>392.2</v>
      </c>
      <c r="AC129" s="170">
        <f>ROUND((AA129/AB129)*100%-100%,4)</f>
        <v>-0.38119999999999998</v>
      </c>
      <c r="AD129" s="366">
        <f t="shared" si="37"/>
        <v>-149.50663999999998</v>
      </c>
      <c r="AF129">
        <v>198.52800000000002</v>
      </c>
      <c r="AG129" s="379">
        <v>199</v>
      </c>
      <c r="AH129" s="358">
        <f t="shared" si="38"/>
        <v>44</v>
      </c>
      <c r="AJ129" s="379">
        <v>-0.14119999999999999</v>
      </c>
      <c r="AK129" s="366">
        <f t="shared" si="39"/>
        <v>1.1412</v>
      </c>
      <c r="AL129" s="366">
        <v>1.18</v>
      </c>
      <c r="AN129" s="152">
        <f t="shared" si="57"/>
        <v>226.56</v>
      </c>
      <c r="AP129" s="379">
        <v>1.034</v>
      </c>
      <c r="AQ129" s="243">
        <v>-0.14119999999999999</v>
      </c>
      <c r="AR129" s="366">
        <f t="shared" si="40"/>
        <v>0.22999999999999998</v>
      </c>
      <c r="AT129" s="241">
        <f t="shared" si="41"/>
        <v>-0.24</v>
      </c>
    </row>
    <row r="130" spans="1:46" ht="24.75" customHeight="1" x14ac:dyDescent="0.25">
      <c r="A130" s="979"/>
      <c r="B130" s="979" t="s">
        <v>356</v>
      </c>
      <c r="C130" s="995" t="s">
        <v>357</v>
      </c>
      <c r="D130" s="983" t="s">
        <v>36</v>
      </c>
      <c r="E130" s="373" t="s">
        <v>174</v>
      </c>
      <c r="F130" s="359">
        <f>VLOOKUP(E130,'условия, ФОТ'!$A$14:$I$28,9, FALSE)</f>
        <v>456.01</v>
      </c>
      <c r="G130" s="364">
        <v>0.2</v>
      </c>
      <c r="H130" s="985">
        <f>ROUND(F130*G130+F131*G131,2)</f>
        <v>156.44999999999999</v>
      </c>
      <c r="I130" s="985">
        <f t="shared" si="83"/>
        <v>47.25</v>
      </c>
      <c r="J130" s="985">
        <f t="shared" si="84"/>
        <v>203.7</v>
      </c>
      <c r="K130" s="986"/>
      <c r="L130" s="985"/>
      <c r="M130" s="985"/>
      <c r="N130" s="985"/>
      <c r="O130" s="985">
        <f>O132</f>
        <v>132.99</v>
      </c>
      <c r="P130" s="985">
        <f>J130+O130</f>
        <v>336.69</v>
      </c>
      <c r="Q130" s="985">
        <f t="shared" si="86"/>
        <v>260.93</v>
      </c>
      <c r="R130" s="1004">
        <f>ROUND(T130/1.2,2)</f>
        <v>285</v>
      </c>
      <c r="S130" s="1004">
        <f t="shared" ref="S130:S133" si="88">ROUND(R130*$S$5,2)</f>
        <v>57</v>
      </c>
      <c r="T130" s="1004">
        <f>ROUND((P130+Q130)*(1+AC130)*1.2,0)</f>
        <v>342</v>
      </c>
      <c r="U130" s="794">
        <v>321</v>
      </c>
      <c r="V130" s="127">
        <f t="shared" si="87"/>
        <v>6.5420560747663501</v>
      </c>
      <c r="W130" s="1001">
        <v>331</v>
      </c>
      <c r="X130" s="1002">
        <f t="shared" si="36"/>
        <v>3.3232628398791633</v>
      </c>
      <c r="Y130" s="117">
        <v>331</v>
      </c>
      <c r="Z130" s="751">
        <v>1.034</v>
      </c>
      <c r="AA130" s="1003">
        <f>ROUND(W130*Z130,2)</f>
        <v>342.25</v>
      </c>
      <c r="AB130" s="1005">
        <f>ROUND((P130+Q130)*1.2,2)</f>
        <v>717.14</v>
      </c>
      <c r="AC130" s="1006">
        <f>ROUND((AA130/AB130)*100%-100%,4)</f>
        <v>-0.52280000000000004</v>
      </c>
      <c r="AD130" s="751">
        <f t="shared" si="37"/>
        <v>-374.92079200000001</v>
      </c>
      <c r="AF130">
        <v>342.25400000000002</v>
      </c>
      <c r="AG130" s="759">
        <v>342</v>
      </c>
      <c r="AH130" s="1008">
        <f t="shared" si="38"/>
        <v>0</v>
      </c>
      <c r="AJ130" s="759">
        <v>0.1615</v>
      </c>
      <c r="AK130" s="751">
        <f t="shared" si="39"/>
        <v>0.1615</v>
      </c>
      <c r="AL130" s="751">
        <v>0</v>
      </c>
      <c r="AN130" s="152"/>
      <c r="AP130" s="379">
        <v>1.034</v>
      </c>
      <c r="AQ130" s="243">
        <v>0.1615</v>
      </c>
      <c r="AR130" s="366">
        <f t="shared" si="40"/>
        <v>0</v>
      </c>
      <c r="AT130" s="241">
        <f t="shared" si="41"/>
        <v>-0.68430000000000002</v>
      </c>
    </row>
    <row r="131" spans="1:46" ht="22.7" customHeight="1" x14ac:dyDescent="0.25">
      <c r="A131" s="979"/>
      <c r="B131" s="979"/>
      <c r="C131" s="995"/>
      <c r="D131" s="983"/>
      <c r="E131" s="373" t="s">
        <v>169</v>
      </c>
      <c r="F131" s="359">
        <f>VLOOKUP(E131,'условия, ФОТ'!$A$14:$I$28,9, FALSE)</f>
        <v>326.24</v>
      </c>
      <c r="G131" s="364">
        <v>0.2</v>
      </c>
      <c r="H131" s="985"/>
      <c r="I131" s="985"/>
      <c r="J131" s="985"/>
      <c r="K131" s="986"/>
      <c r="L131" s="985"/>
      <c r="M131" s="985"/>
      <c r="N131" s="985"/>
      <c r="O131" s="985"/>
      <c r="P131" s="985"/>
      <c r="Q131" s="985">
        <f t="shared" si="86"/>
        <v>0</v>
      </c>
      <c r="R131" s="1004">
        <f t="shared" ref="R131" si="89">ROUND(T131/1.18,2)</f>
        <v>0</v>
      </c>
      <c r="S131" s="1004">
        <f t="shared" si="88"/>
        <v>0</v>
      </c>
      <c r="T131" s="1004">
        <f>ROUND((P131+Q131)*(1+$R$5)*1.18,0)</f>
        <v>0</v>
      </c>
      <c r="U131" s="1009"/>
      <c r="V131" s="127"/>
      <c r="W131" s="1001"/>
      <c r="X131" s="1002"/>
      <c r="Y131" s="117">
        <v>0</v>
      </c>
      <c r="Z131" s="752"/>
      <c r="AA131" s="1003"/>
      <c r="AB131" s="1005"/>
      <c r="AC131" s="1007"/>
      <c r="AD131" s="752"/>
      <c r="AG131" s="760"/>
      <c r="AH131" s="1008"/>
      <c r="AJ131" s="760"/>
      <c r="AK131" s="752"/>
      <c r="AL131" s="752"/>
      <c r="AN131" s="152"/>
      <c r="AP131" s="379"/>
      <c r="AQ131" s="243"/>
      <c r="AR131" s="366"/>
      <c r="AT131" s="241"/>
    </row>
    <row r="132" spans="1:46" ht="27" customHeight="1" outlineLevel="1" x14ac:dyDescent="0.25">
      <c r="A132" s="979"/>
      <c r="B132" s="361"/>
      <c r="C132" s="362"/>
      <c r="D132" s="373"/>
      <c r="E132" s="373"/>
      <c r="F132" s="359"/>
      <c r="G132" s="364"/>
      <c r="H132" s="359"/>
      <c r="I132" s="359"/>
      <c r="J132" s="178" t="s">
        <v>385</v>
      </c>
      <c r="K132" s="184" t="s">
        <v>388</v>
      </c>
      <c r="L132" s="364" t="str">
        <f>VLOOKUP(K132,материалы!$A$5:$G$31,5, FALSE)</f>
        <v>м</v>
      </c>
      <c r="M132" s="359">
        <f>VLOOKUP(K132,материалы!$A$5:$G$31,7, FALSE)</f>
        <v>132.99</v>
      </c>
      <c r="N132" s="364">
        <v>1</v>
      </c>
      <c r="O132" s="359">
        <f t="shared" ref="O132" si="90">ROUND(M132*N132,2)</f>
        <v>132.99</v>
      </c>
      <c r="P132" s="359"/>
      <c r="Q132" s="359"/>
      <c r="R132" s="369"/>
      <c r="S132" s="369"/>
      <c r="T132" s="369"/>
      <c r="U132" s="121"/>
      <c r="V132" s="127"/>
      <c r="W132" s="377"/>
      <c r="X132" s="367"/>
      <c r="Z132" s="356"/>
      <c r="AA132" s="366"/>
      <c r="AB132" s="158"/>
      <c r="AC132" s="170"/>
      <c r="AD132" s="366"/>
      <c r="AG132" s="379"/>
      <c r="AH132" s="358"/>
      <c r="AJ132" s="379"/>
      <c r="AK132" s="366"/>
      <c r="AL132" s="366"/>
      <c r="AN132" s="152"/>
      <c r="AP132" s="379"/>
      <c r="AQ132" s="243"/>
      <c r="AR132" s="366"/>
      <c r="AT132" s="241"/>
    </row>
    <row r="133" spans="1:46" ht="46.5" customHeight="1" x14ac:dyDescent="0.25">
      <c r="A133" s="979"/>
      <c r="B133" s="361" t="s">
        <v>180</v>
      </c>
      <c r="C133" s="347" t="s">
        <v>384</v>
      </c>
      <c r="D133" s="373" t="s">
        <v>24</v>
      </c>
      <c r="E133" s="373" t="s">
        <v>169</v>
      </c>
      <c r="F133" s="359">
        <f>VLOOKUP(E133,'условия, ФОТ'!$A$14:$I$28,9, FALSE)</f>
        <v>326.24</v>
      </c>
      <c r="G133" s="185">
        <f>G20</f>
        <v>0.47599999999999998</v>
      </c>
      <c r="H133" s="359">
        <f t="shared" ref="H133" si="91">ROUND(F133*G133,2)</f>
        <v>155.29</v>
      </c>
      <c r="I133" s="359">
        <f t="shared" ref="I133" si="92">ROUND(H133*$I$5,2)</f>
        <v>46.9</v>
      </c>
      <c r="J133" s="359">
        <f t="shared" ref="J133" si="93">H133+I133</f>
        <v>202.19</v>
      </c>
      <c r="K133" s="363"/>
      <c r="L133" s="359"/>
      <c r="M133" s="359"/>
      <c r="N133" s="359"/>
      <c r="O133" s="359">
        <f>SUM(O134:O139)</f>
        <v>150.07000000000002</v>
      </c>
      <c r="P133" s="359">
        <f t="shared" ref="P133:P141" si="94">J133+O133</f>
        <v>352.26</v>
      </c>
      <c r="Q133" s="359">
        <f t="shared" si="86"/>
        <v>273</v>
      </c>
      <c r="R133" s="369">
        <f>ROUND(T133/1.2,2)</f>
        <v>300.83</v>
      </c>
      <c r="S133" s="369">
        <f t="shared" si="88"/>
        <v>60.17</v>
      </c>
      <c r="T133" s="369">
        <f>ROUND((P133+Q133)*(1+AC133)*1.2,0)</f>
        <v>361</v>
      </c>
      <c r="U133" s="121">
        <v>338</v>
      </c>
      <c r="V133" s="127">
        <f t="shared" ref="V133" si="95">T133/U133*100-100</f>
        <v>6.8047337278106568</v>
      </c>
      <c r="W133" s="377">
        <v>349</v>
      </c>
      <c r="X133" s="367">
        <f t="shared" si="36"/>
        <v>3.4383954154727689</v>
      </c>
      <c r="Y133" s="117">
        <v>349</v>
      </c>
      <c r="Z133" s="356">
        <v>1.034</v>
      </c>
      <c r="AA133" s="152">
        <f>ROUND(W133*Z133,2)</f>
        <v>360.87</v>
      </c>
      <c r="AB133" s="157">
        <f>ROUND((P133+Q133)*1.2,2)</f>
        <v>750.31</v>
      </c>
      <c r="AC133" s="170">
        <f>ROUND((AA133/AB133)*100%-100%,4)</f>
        <v>-0.51900000000000002</v>
      </c>
      <c r="AD133" s="366">
        <f t="shared" si="37"/>
        <v>-389.41088999999999</v>
      </c>
      <c r="AF133">
        <v>360.86599999999999</v>
      </c>
      <c r="AG133" s="379">
        <v>361</v>
      </c>
      <c r="AH133" s="358">
        <f t="shared" si="38"/>
        <v>0</v>
      </c>
      <c r="AJ133" s="379">
        <v>7.5600000000000001E-2</v>
      </c>
      <c r="AK133" s="366">
        <f t="shared" si="39"/>
        <v>7.5600000000000001E-2</v>
      </c>
      <c r="AL133" s="366">
        <v>0</v>
      </c>
      <c r="AN133" s="152"/>
      <c r="AP133" s="379">
        <v>1.034</v>
      </c>
      <c r="AQ133" s="243">
        <v>7.5600000000000001E-2</v>
      </c>
      <c r="AR133" s="366">
        <f t="shared" si="40"/>
        <v>0</v>
      </c>
      <c r="AT133" s="241">
        <f t="shared" si="41"/>
        <v>-0.59460000000000002</v>
      </c>
    </row>
    <row r="134" spans="1:46" ht="25.5" customHeight="1" outlineLevel="1" x14ac:dyDescent="0.25">
      <c r="A134" s="979"/>
      <c r="B134" s="361"/>
      <c r="C134" s="347"/>
      <c r="D134" s="373"/>
      <c r="E134" s="373"/>
      <c r="F134" s="359"/>
      <c r="G134" s="185"/>
      <c r="H134" s="359"/>
      <c r="I134" s="359"/>
      <c r="J134" s="178" t="s">
        <v>385</v>
      </c>
      <c r="K134" s="184" t="s">
        <v>329</v>
      </c>
      <c r="L134" s="364" t="str">
        <f>VLOOKUP(K134,материалы!$A$5:$G$31,5, FALSE)</f>
        <v>м3</v>
      </c>
      <c r="M134" s="359">
        <f>VLOOKUP(K134,материалы!$A$5:$G$31,7, FALSE)</f>
        <v>1033.33</v>
      </c>
      <c r="N134" s="364">
        <v>8.7499999999999994E-2</v>
      </c>
      <c r="O134" s="359">
        <f>ROUND(M134*N134,2)</f>
        <v>90.42</v>
      </c>
      <c r="P134" s="359"/>
      <c r="Q134" s="359"/>
      <c r="R134" s="369"/>
      <c r="S134" s="369"/>
      <c r="T134" s="369"/>
      <c r="U134" s="121"/>
      <c r="V134" s="127"/>
      <c r="W134" s="377"/>
      <c r="X134" s="367"/>
      <c r="Z134" s="356"/>
      <c r="AA134" s="366"/>
      <c r="AB134" s="158"/>
      <c r="AC134" s="170"/>
      <c r="AD134" s="366"/>
      <c r="AG134" s="379"/>
      <c r="AH134" s="358"/>
      <c r="AJ134" s="379"/>
      <c r="AK134" s="366"/>
      <c r="AL134" s="366"/>
      <c r="AN134" s="152"/>
      <c r="AP134" s="379"/>
      <c r="AQ134" s="243"/>
      <c r="AR134" s="366"/>
      <c r="AT134" s="241"/>
    </row>
    <row r="135" spans="1:46" ht="17.25" customHeight="1" outlineLevel="1" x14ac:dyDescent="0.25">
      <c r="A135" s="979"/>
      <c r="B135" s="361"/>
      <c r="C135" s="347"/>
      <c r="D135" s="373"/>
      <c r="E135" s="373"/>
      <c r="F135" s="359"/>
      <c r="G135" s="185"/>
      <c r="H135" s="359"/>
      <c r="I135" s="359"/>
      <c r="J135" s="359"/>
      <c r="K135" s="184" t="s">
        <v>330</v>
      </c>
      <c r="L135" s="364" t="str">
        <f>VLOOKUP(K135,материалы!$A$5:$G$31,5, FALSE)</f>
        <v>м3</v>
      </c>
      <c r="M135" s="359">
        <f>VLOOKUP(K135,материалы!$A$5:$G$31,7, FALSE)</f>
        <v>116.67</v>
      </c>
      <c r="N135" s="359">
        <v>0.15</v>
      </c>
      <c r="O135" s="359">
        <f t="shared" ref="O135:O139" si="96">ROUND(M135*N135,2)</f>
        <v>17.5</v>
      </c>
      <c r="P135" s="359"/>
      <c r="Q135" s="359"/>
      <c r="R135" s="369"/>
      <c r="S135" s="369"/>
      <c r="T135" s="369"/>
      <c r="U135" s="121"/>
      <c r="V135" s="127"/>
      <c r="W135" s="377"/>
      <c r="X135" s="367"/>
      <c r="Z135" s="356"/>
      <c r="AA135" s="366"/>
      <c r="AB135" s="158"/>
      <c r="AC135" s="170"/>
      <c r="AD135" s="366"/>
      <c r="AG135" s="379"/>
      <c r="AH135" s="358"/>
      <c r="AJ135" s="379"/>
      <c r="AK135" s="366"/>
      <c r="AL135" s="366"/>
      <c r="AN135" s="152"/>
      <c r="AP135" s="379"/>
      <c r="AQ135" s="243"/>
      <c r="AR135" s="366"/>
      <c r="AT135" s="241"/>
    </row>
    <row r="136" spans="1:46" ht="36.950000000000003" customHeight="1" outlineLevel="1" x14ac:dyDescent="0.25">
      <c r="A136" s="979"/>
      <c r="B136" s="361"/>
      <c r="C136" s="347"/>
      <c r="D136" s="373"/>
      <c r="E136" s="373"/>
      <c r="F136" s="359"/>
      <c r="G136" s="185"/>
      <c r="H136" s="359"/>
      <c r="I136" s="359"/>
      <c r="J136" s="359"/>
      <c r="K136" s="184" t="s">
        <v>347</v>
      </c>
      <c r="L136" s="364" t="str">
        <f>VLOOKUP(K136,материалы!$A$5:$G$31,5, FALSE)</f>
        <v>кг</v>
      </c>
      <c r="M136" s="359">
        <f>VLOOKUP(K136,материалы!$A$5:$G$31,7, FALSE)</f>
        <v>300</v>
      </c>
      <c r="N136" s="359">
        <v>0.1</v>
      </c>
      <c r="O136" s="359">
        <f t="shared" si="96"/>
        <v>30</v>
      </c>
      <c r="P136" s="359"/>
      <c r="Q136" s="359"/>
      <c r="R136" s="369"/>
      <c r="S136" s="369"/>
      <c r="T136" s="369"/>
      <c r="U136" s="121"/>
      <c r="V136" s="127"/>
      <c r="W136" s="377"/>
      <c r="X136" s="367"/>
      <c r="Z136" s="356"/>
      <c r="AA136" s="366"/>
      <c r="AB136" s="158"/>
      <c r="AC136" s="170"/>
      <c r="AD136" s="366"/>
      <c r="AG136" s="379"/>
      <c r="AH136" s="358"/>
      <c r="AJ136" s="379"/>
      <c r="AK136" s="366"/>
      <c r="AL136" s="366"/>
      <c r="AN136" s="152"/>
      <c r="AP136" s="379"/>
      <c r="AQ136" s="243"/>
      <c r="AR136" s="366"/>
      <c r="AT136" s="241"/>
    </row>
    <row r="137" spans="1:46" ht="28.5" customHeight="1" outlineLevel="1" x14ac:dyDescent="0.25">
      <c r="A137" s="979"/>
      <c r="B137" s="361"/>
      <c r="C137" s="347"/>
      <c r="D137" s="373"/>
      <c r="E137" s="373"/>
      <c r="F137" s="359"/>
      <c r="G137" s="185"/>
      <c r="H137" s="359"/>
      <c r="I137" s="359"/>
      <c r="J137" s="359"/>
      <c r="K137" s="184" t="s">
        <v>348</v>
      </c>
      <c r="L137" s="364" t="str">
        <f>VLOOKUP(K137,материалы!$A$5:$G$31,5, FALSE)</f>
        <v>шт.</v>
      </c>
      <c r="M137" s="359">
        <f>VLOOKUP(K137,материалы!$A$5:$G$31,7, FALSE)</f>
        <v>45</v>
      </c>
      <c r="N137" s="359">
        <v>0.25</v>
      </c>
      <c r="O137" s="359">
        <f t="shared" si="96"/>
        <v>11.25</v>
      </c>
      <c r="P137" s="359"/>
      <c r="Q137" s="359"/>
      <c r="R137" s="369"/>
      <c r="S137" s="369"/>
      <c r="T137" s="369"/>
      <c r="U137" s="121"/>
      <c r="V137" s="127"/>
      <c r="W137" s="377"/>
      <c r="X137" s="367"/>
      <c r="Z137" s="356"/>
      <c r="AA137" s="366"/>
      <c r="AB137" s="158"/>
      <c r="AC137" s="170"/>
      <c r="AD137" s="366"/>
      <c r="AG137" s="379"/>
      <c r="AH137" s="358"/>
      <c r="AJ137" s="379"/>
      <c r="AK137" s="366"/>
      <c r="AL137" s="366"/>
      <c r="AN137" s="152"/>
      <c r="AP137" s="379"/>
      <c r="AQ137" s="243"/>
      <c r="AR137" s="366"/>
      <c r="AT137" s="241"/>
    </row>
    <row r="138" spans="1:46" ht="15.75" customHeight="1" outlineLevel="1" x14ac:dyDescent="0.25">
      <c r="A138" s="979"/>
      <c r="B138" s="361"/>
      <c r="C138" s="347"/>
      <c r="D138" s="373"/>
      <c r="E138" s="373"/>
      <c r="F138" s="359"/>
      <c r="G138" s="185"/>
      <c r="H138" s="359"/>
      <c r="I138" s="359"/>
      <c r="J138" s="359"/>
      <c r="K138" s="184" t="s">
        <v>335</v>
      </c>
      <c r="L138" s="364" t="str">
        <f>VLOOKUP(K138,материалы!$A$5:$G$31,5, FALSE)</f>
        <v>кг</v>
      </c>
      <c r="M138" s="359">
        <f>VLOOKUP(K138,материалы!$A$5:$G$31,7, FALSE)</f>
        <v>95</v>
      </c>
      <c r="N138" s="185">
        <f>0.001</f>
        <v>1E-3</v>
      </c>
      <c r="O138" s="359">
        <f t="shared" si="96"/>
        <v>0.1</v>
      </c>
      <c r="P138" s="359"/>
      <c r="Q138" s="359"/>
      <c r="R138" s="369"/>
      <c r="S138" s="369"/>
      <c r="T138" s="369"/>
      <c r="U138" s="121"/>
      <c r="V138" s="127"/>
      <c r="W138" s="377"/>
      <c r="X138" s="367"/>
      <c r="Z138" s="356"/>
      <c r="AA138" s="366"/>
      <c r="AB138" s="158"/>
      <c r="AC138" s="170"/>
      <c r="AD138" s="366"/>
      <c r="AG138" s="379"/>
      <c r="AH138" s="358"/>
      <c r="AJ138" s="379"/>
      <c r="AK138" s="366"/>
      <c r="AL138" s="366"/>
      <c r="AN138" s="152"/>
      <c r="AP138" s="379"/>
      <c r="AQ138" s="243"/>
      <c r="AR138" s="366"/>
      <c r="AT138" s="241"/>
    </row>
    <row r="139" spans="1:46" ht="21" customHeight="1" outlineLevel="1" x14ac:dyDescent="0.25">
      <c r="A139" s="979"/>
      <c r="B139" s="361"/>
      <c r="C139" s="347"/>
      <c r="D139" s="373"/>
      <c r="E139" s="373"/>
      <c r="F139" s="359"/>
      <c r="G139" s="185"/>
      <c r="H139" s="359"/>
      <c r="I139" s="359"/>
      <c r="J139" s="359"/>
      <c r="K139" s="184" t="s">
        <v>336</v>
      </c>
      <c r="L139" s="364" t="str">
        <f>VLOOKUP(K139,материалы!$A$5:$G$31,5, FALSE)</f>
        <v>кг</v>
      </c>
      <c r="M139" s="359">
        <f>VLOOKUP(K139,материалы!$A$5:$G$31,7, FALSE)</f>
        <v>80</v>
      </c>
      <c r="N139" s="364">
        <f>0.01</f>
        <v>0.01</v>
      </c>
      <c r="O139" s="359">
        <f t="shared" si="96"/>
        <v>0.8</v>
      </c>
      <c r="P139" s="359"/>
      <c r="Q139" s="359"/>
      <c r="R139" s="369"/>
      <c r="S139" s="369"/>
      <c r="T139" s="369"/>
      <c r="U139" s="121"/>
      <c r="V139" s="127"/>
      <c r="W139" s="377"/>
      <c r="X139" s="367"/>
      <c r="Z139" s="356"/>
      <c r="AA139" s="366"/>
      <c r="AB139" s="158"/>
      <c r="AC139" s="170"/>
      <c r="AD139" s="366"/>
      <c r="AG139" s="379"/>
      <c r="AH139" s="358"/>
      <c r="AJ139" s="379"/>
      <c r="AK139" s="366"/>
      <c r="AL139" s="366"/>
      <c r="AN139" s="152"/>
      <c r="AP139" s="379"/>
      <c r="AQ139" s="243"/>
      <c r="AR139" s="366"/>
      <c r="AT139" s="241"/>
    </row>
    <row r="140" spans="1:46" ht="33" customHeight="1" x14ac:dyDescent="0.25">
      <c r="A140" s="979"/>
      <c r="B140" s="361" t="s">
        <v>184</v>
      </c>
      <c r="C140" s="347" t="s">
        <v>366</v>
      </c>
      <c r="D140" s="373" t="s">
        <v>40</v>
      </c>
      <c r="E140" s="373" t="s">
        <v>168</v>
      </c>
      <c r="F140" s="359">
        <f>VLOOKUP(E140,'условия, ФОТ'!$A$14:$I$28,9, FALSE)</f>
        <v>282.83999999999997</v>
      </c>
      <c r="G140" s="364">
        <v>1</v>
      </c>
      <c r="H140" s="359">
        <f t="shared" ref="H140:H141" si="97">ROUND(F140*G140,2)</f>
        <v>282.83999999999997</v>
      </c>
      <c r="I140" s="359">
        <f t="shared" ref="I140" si="98">ROUND(H140*$I$5,2)</f>
        <v>85.42</v>
      </c>
      <c r="J140" s="359">
        <f t="shared" ref="J140" si="99">H140+I140</f>
        <v>368.26</v>
      </c>
      <c r="K140" s="363"/>
      <c r="L140" s="359"/>
      <c r="M140" s="359"/>
      <c r="N140" s="359"/>
      <c r="O140" s="359"/>
      <c r="P140" s="359">
        <f t="shared" ref="P140" si="100">J140+O140</f>
        <v>368.26</v>
      </c>
      <c r="Q140" s="359">
        <f t="shared" ref="Q140" si="101">ROUND(P140*$Q$5,2)</f>
        <v>285.39999999999998</v>
      </c>
      <c r="R140" s="369">
        <f>ROUND(T140/1.2,2)</f>
        <v>404.17</v>
      </c>
      <c r="S140" s="369">
        <f t="shared" ref="S140" si="102">ROUND(R140*$S$5,2)</f>
        <v>80.83</v>
      </c>
      <c r="T140" s="369">
        <f>ROUND((P140+Q140)*(1+AC140)*1.2,0)</f>
        <v>485</v>
      </c>
      <c r="U140" s="121">
        <v>372</v>
      </c>
      <c r="V140" s="127">
        <f t="shared" ref="V140:V141" si="103">T140/U140*100-100</f>
        <v>30.376344086021504</v>
      </c>
      <c r="W140" s="377">
        <v>383</v>
      </c>
      <c r="X140" s="367">
        <f t="shared" ref="X140:X199" si="104">T140/W140*100-100</f>
        <v>26.631853785900788</v>
      </c>
      <c r="Y140" s="117">
        <v>383</v>
      </c>
      <c r="Z140" s="368">
        <v>1.2669999999999999</v>
      </c>
      <c r="AA140" s="152">
        <f>ROUND(W140*Z140,2)</f>
        <v>485.26</v>
      </c>
      <c r="AB140" s="157">
        <f>ROUND((P140+Q140)*1.2,2)</f>
        <v>784.39</v>
      </c>
      <c r="AC140" s="170">
        <f>ROUND((AA140/AB140)*100%-100%,4)</f>
        <v>-0.38140000000000002</v>
      </c>
      <c r="AD140" s="366">
        <f t="shared" ref="AD140:AD199" si="105">AB140*AC140</f>
        <v>-299.16634600000003</v>
      </c>
      <c r="AF140">
        <v>396.02199999999999</v>
      </c>
      <c r="AG140" s="379">
        <v>396</v>
      </c>
      <c r="AH140" s="358">
        <f t="shared" ref="AH140:AH199" si="106">T140-AG140</f>
        <v>89</v>
      </c>
      <c r="AJ140" s="379">
        <v>-0.1434</v>
      </c>
      <c r="AK140" s="366">
        <f t="shared" ref="AK140:AK199" si="107">IF(AJ140&lt;0,-AJ140+1,AJ140)</f>
        <v>1.1434</v>
      </c>
      <c r="AL140" s="366">
        <v>1.1819999999999999</v>
      </c>
      <c r="AN140" s="152">
        <f t="shared" si="57"/>
        <v>452.71</v>
      </c>
      <c r="AP140" s="379">
        <v>1.034</v>
      </c>
      <c r="AQ140" s="243">
        <v>-0.1434</v>
      </c>
      <c r="AR140" s="366">
        <f t="shared" ref="AR140:AR199" si="108">Z140-AP140</f>
        <v>0.23299999999999987</v>
      </c>
      <c r="AT140" s="241">
        <f t="shared" ref="AT140:AT199" si="109">AC140-AQ140</f>
        <v>-0.23800000000000002</v>
      </c>
    </row>
    <row r="141" spans="1:46" ht="55.5" customHeight="1" x14ac:dyDescent="0.25">
      <c r="A141" s="979"/>
      <c r="B141" s="361" t="s">
        <v>182</v>
      </c>
      <c r="C141" s="362" t="s">
        <v>589</v>
      </c>
      <c r="D141" s="373" t="s">
        <v>34</v>
      </c>
      <c r="E141" s="373" t="s">
        <v>169</v>
      </c>
      <c r="F141" s="359">
        <f>VLOOKUP(E141,'условия, ФОТ'!$A$14:$I$28,9, FALSE)</f>
        <v>326.24</v>
      </c>
      <c r="G141" s="364">
        <v>0.25</v>
      </c>
      <c r="H141" s="359">
        <f t="shared" si="97"/>
        <v>81.56</v>
      </c>
      <c r="I141" s="359">
        <f t="shared" si="83"/>
        <v>24.63</v>
      </c>
      <c r="J141" s="359">
        <f t="shared" si="84"/>
        <v>106.19</v>
      </c>
      <c r="K141" s="363"/>
      <c r="L141" s="359"/>
      <c r="M141" s="359"/>
      <c r="N141" s="359"/>
      <c r="O141" s="359">
        <f>SUM(O142:O144)</f>
        <v>5.6499999999999995</v>
      </c>
      <c r="P141" s="359">
        <f t="shared" si="94"/>
        <v>111.84</v>
      </c>
      <c r="Q141" s="359">
        <f t="shared" si="86"/>
        <v>86.68</v>
      </c>
      <c r="R141" s="369">
        <f>ROUND(T141/1.2,2)</f>
        <v>108.33</v>
      </c>
      <c r="S141" s="369">
        <f>ROUND(R141*$S$5,2)</f>
        <v>21.67</v>
      </c>
      <c r="T141" s="369">
        <f>ROUND((P141+Q141)*(1+AC141)*1.2,0)</f>
        <v>130</v>
      </c>
      <c r="U141" s="121">
        <v>115</v>
      </c>
      <c r="V141" s="127">
        <f t="shared" si="103"/>
        <v>13.043478260869563</v>
      </c>
      <c r="W141" s="377">
        <v>119</v>
      </c>
      <c r="X141" s="367">
        <f t="shared" si="104"/>
        <v>9.2436974789915922</v>
      </c>
      <c r="Y141" s="117">
        <v>119</v>
      </c>
      <c r="Z141" s="368">
        <v>1.095</v>
      </c>
      <c r="AA141" s="152">
        <f>ROUND(W141*Z141,2)</f>
        <v>130.31</v>
      </c>
      <c r="AB141" s="157">
        <f>ROUND((P141+Q141)*1.2,2)</f>
        <v>238.22</v>
      </c>
      <c r="AC141" s="170">
        <f>ROUND((AA141/AB141)*100%-100%,4)</f>
        <v>-0.45300000000000001</v>
      </c>
      <c r="AD141" s="366">
        <f t="shared" si="105"/>
        <v>-107.91366000000001</v>
      </c>
      <c r="AF141">
        <v>123.04600000000001</v>
      </c>
      <c r="AG141" s="379">
        <v>123</v>
      </c>
      <c r="AH141" s="358">
        <f t="shared" si="106"/>
        <v>7</v>
      </c>
      <c r="AJ141" s="379">
        <v>-9.2999999999999992E-3</v>
      </c>
      <c r="AK141" s="366">
        <f t="shared" si="107"/>
        <v>1.0093000000000001</v>
      </c>
      <c r="AL141" s="366">
        <v>1.044</v>
      </c>
      <c r="AN141" s="152">
        <f t="shared" si="57"/>
        <v>124.24</v>
      </c>
      <c r="AP141" s="379">
        <v>1.034</v>
      </c>
      <c r="AQ141" s="243">
        <v>-9.2999999999999992E-3</v>
      </c>
      <c r="AR141" s="366">
        <f t="shared" si="108"/>
        <v>6.0999999999999943E-2</v>
      </c>
      <c r="AT141" s="241">
        <f t="shared" si="109"/>
        <v>-0.44370000000000004</v>
      </c>
    </row>
    <row r="142" spans="1:46" ht="31.7" customHeight="1" x14ac:dyDescent="0.25">
      <c r="A142" s="1018" t="s">
        <v>614</v>
      </c>
      <c r="B142" s="1018"/>
      <c r="C142" s="1018"/>
      <c r="D142" s="1018"/>
      <c r="E142" s="1018"/>
      <c r="F142" s="1018"/>
      <c r="G142" s="1018"/>
      <c r="H142" s="1018"/>
      <c r="I142" s="1018"/>
      <c r="J142" s="178" t="s">
        <v>385</v>
      </c>
      <c r="K142" s="92" t="s">
        <v>341</v>
      </c>
      <c r="L142" s="364" t="str">
        <f>VLOOKUP(K142,материалы!$A$5:$G$31,5, FALSE)</f>
        <v>кг</v>
      </c>
      <c r="M142" s="359">
        <f>VLOOKUP(K142,материалы!$A$5:$G$31,7, FALSE)</f>
        <v>950</v>
      </c>
      <c r="N142" s="359">
        <v>5.0000000000000001E-3</v>
      </c>
      <c r="O142" s="359">
        <f t="shared" ref="O142:O144" si="110">ROUND(M142*N142,2)</f>
        <v>4.75</v>
      </c>
      <c r="P142" s="359"/>
      <c r="Q142" s="359"/>
      <c r="R142" s="369"/>
      <c r="S142" s="369"/>
      <c r="T142" s="369"/>
      <c r="U142" s="121"/>
      <c r="V142" s="127"/>
      <c r="W142" s="377"/>
      <c r="X142" s="367"/>
      <c r="Z142" s="356"/>
      <c r="AA142" s="366"/>
      <c r="AB142" s="158"/>
      <c r="AC142" s="170"/>
      <c r="AD142" s="366"/>
      <c r="AG142" s="379"/>
      <c r="AH142" s="358"/>
      <c r="AJ142" s="379"/>
      <c r="AK142" s="366"/>
      <c r="AL142" s="366"/>
      <c r="AN142" s="152"/>
      <c r="AP142" s="379"/>
      <c r="AQ142" s="243"/>
      <c r="AR142" s="366"/>
      <c r="AT142" s="241"/>
    </row>
    <row r="143" spans="1:46" ht="14.25" customHeight="1" x14ac:dyDescent="0.25">
      <c r="A143" s="1018"/>
      <c r="B143" s="1018"/>
      <c r="C143" s="1018"/>
      <c r="D143" s="1018"/>
      <c r="E143" s="1018"/>
      <c r="F143" s="1018"/>
      <c r="G143" s="1018"/>
      <c r="H143" s="1018"/>
      <c r="I143" s="1018"/>
      <c r="J143" s="359"/>
      <c r="K143" s="184" t="s">
        <v>335</v>
      </c>
      <c r="L143" s="364" t="str">
        <f>VLOOKUP(K143,материалы!$A$5:$G$31,5, FALSE)</f>
        <v>кг</v>
      </c>
      <c r="M143" s="359">
        <f>VLOOKUP(K143,материалы!$A$5:$G$31,7, FALSE)</f>
        <v>95</v>
      </c>
      <c r="N143" s="185">
        <f>0.001</f>
        <v>1E-3</v>
      </c>
      <c r="O143" s="359">
        <f t="shared" si="110"/>
        <v>0.1</v>
      </c>
      <c r="P143" s="359"/>
      <c r="Q143" s="359"/>
      <c r="R143" s="369"/>
      <c r="S143" s="369"/>
      <c r="T143" s="369"/>
      <c r="U143" s="121"/>
      <c r="V143" s="127"/>
      <c r="W143" s="377"/>
      <c r="X143" s="367"/>
      <c r="Z143" s="356"/>
      <c r="AA143" s="366"/>
      <c r="AB143" s="158"/>
      <c r="AC143" s="170"/>
      <c r="AD143" s="366"/>
      <c r="AG143" s="379"/>
      <c r="AH143" s="358"/>
      <c r="AJ143" s="379"/>
      <c r="AK143" s="366"/>
      <c r="AL143" s="366"/>
      <c r="AN143" s="152"/>
      <c r="AP143" s="379"/>
      <c r="AQ143" s="243"/>
      <c r="AR143" s="366"/>
      <c r="AT143" s="241"/>
    </row>
    <row r="144" spans="1:46" ht="18.95" customHeight="1" x14ac:dyDescent="0.25">
      <c r="A144" s="1018"/>
      <c r="B144" s="1018"/>
      <c r="C144" s="1018"/>
      <c r="D144" s="1018"/>
      <c r="E144" s="1018"/>
      <c r="F144" s="1018"/>
      <c r="G144" s="1018"/>
      <c r="H144" s="1018"/>
      <c r="I144" s="1018"/>
      <c r="J144" s="359"/>
      <c r="K144" s="184" t="s">
        <v>336</v>
      </c>
      <c r="L144" s="364" t="str">
        <f>VLOOKUP(K144,материалы!$A$5:$G$31,5, FALSE)</f>
        <v>кг</v>
      </c>
      <c r="M144" s="359">
        <f>VLOOKUP(K144,материалы!$A$5:$G$31,7, FALSE)</f>
        <v>80</v>
      </c>
      <c r="N144" s="364">
        <f>0.01</f>
        <v>0.01</v>
      </c>
      <c r="O144" s="359">
        <f t="shared" si="110"/>
        <v>0.8</v>
      </c>
      <c r="P144" s="359"/>
      <c r="Q144" s="359"/>
      <c r="R144" s="369"/>
      <c r="S144" s="369"/>
      <c r="T144" s="369"/>
      <c r="U144" s="121"/>
      <c r="V144" s="127"/>
      <c r="W144" s="377"/>
      <c r="X144" s="367"/>
      <c r="Z144" s="356"/>
      <c r="AA144" s="366"/>
      <c r="AB144" s="158"/>
      <c r="AC144" s="170"/>
      <c r="AD144" s="366"/>
      <c r="AG144" s="379"/>
      <c r="AH144" s="358"/>
      <c r="AJ144" s="379"/>
      <c r="AK144" s="366"/>
      <c r="AL144" s="366"/>
      <c r="AN144" s="152"/>
      <c r="AP144" s="379"/>
      <c r="AQ144" s="243"/>
      <c r="AR144" s="366"/>
      <c r="AT144" s="241"/>
    </row>
    <row r="145" spans="1:46" ht="15" customHeight="1" x14ac:dyDescent="0.25">
      <c r="A145" s="979" t="s">
        <v>476</v>
      </c>
      <c r="B145" s="361" t="s">
        <v>185</v>
      </c>
      <c r="C145" s="995" t="s">
        <v>41</v>
      </c>
      <c r="D145" s="983" t="s">
        <v>40</v>
      </c>
      <c r="E145" s="359" t="s">
        <v>169</v>
      </c>
      <c r="F145" s="359">
        <f>VLOOKUP(E145,'условия, ФОТ'!$A$14:$I$28,9, FALSE)</f>
        <v>326.24</v>
      </c>
      <c r="G145" s="364">
        <f>0.72+0.68</f>
        <v>1.4</v>
      </c>
      <c r="H145" s="985">
        <f>ROUND(F145*G145+F146*G146,2)</f>
        <v>766.82</v>
      </c>
      <c r="I145" s="985">
        <f t="shared" ref="I145:I326" si="111">ROUND(H145*$I$5,2)</f>
        <v>231.58</v>
      </c>
      <c r="J145" s="985">
        <f t="shared" ref="J145:J258" si="112">H145+I145</f>
        <v>998.40000000000009</v>
      </c>
      <c r="K145" s="986"/>
      <c r="L145" s="985"/>
      <c r="M145" s="985"/>
      <c r="N145" s="985"/>
      <c r="O145" s="985">
        <f>SUM(O147:O153)</f>
        <v>185.07000000000002</v>
      </c>
      <c r="P145" s="985">
        <f>J145+O145</f>
        <v>1183.47</v>
      </c>
      <c r="Q145" s="985">
        <f t="shared" si="16"/>
        <v>917.19</v>
      </c>
      <c r="R145" s="1004">
        <f>ROUND(T145/1.2,2)</f>
        <v>1075</v>
      </c>
      <c r="S145" s="1004">
        <f>ROUND(R145*$S$5,2)</f>
        <v>215</v>
      </c>
      <c r="T145" s="1004">
        <f>ROUND((P145+Q145)*(1+AC145)*1.2,0)</f>
        <v>1290</v>
      </c>
      <c r="U145" s="794">
        <v>1210</v>
      </c>
      <c r="V145" s="127">
        <f t="shared" si="62"/>
        <v>6.6115702479338836</v>
      </c>
      <c r="W145" s="1001">
        <v>1248</v>
      </c>
      <c r="X145" s="1002">
        <f t="shared" si="104"/>
        <v>3.3653846153846274</v>
      </c>
      <c r="Y145" s="117">
        <v>1248</v>
      </c>
      <c r="Z145" s="751">
        <v>1.034</v>
      </c>
      <c r="AA145" s="1003">
        <f>ROUND(W145*Z145,2)</f>
        <v>1290.43</v>
      </c>
      <c r="AB145" s="1005">
        <f>ROUND((P145+Q145)*1.2,2)</f>
        <v>2520.79</v>
      </c>
      <c r="AC145" s="1006">
        <f>ROUND((AA145/AB145)*100%-100%,4)</f>
        <v>-0.48809999999999998</v>
      </c>
      <c r="AD145" s="751">
        <f t="shared" si="105"/>
        <v>-1230.3975989999999</v>
      </c>
      <c r="AF145">
        <v>1290.432</v>
      </c>
      <c r="AG145" s="759">
        <v>1290</v>
      </c>
      <c r="AH145" s="1008">
        <f t="shared" si="106"/>
        <v>0</v>
      </c>
      <c r="AJ145" s="759">
        <v>9.2799999999999994E-2</v>
      </c>
      <c r="AK145" s="751">
        <f t="shared" si="107"/>
        <v>9.2799999999999994E-2</v>
      </c>
      <c r="AL145" s="751">
        <v>0</v>
      </c>
      <c r="AN145" s="152"/>
      <c r="AP145" s="759">
        <v>1.034</v>
      </c>
      <c r="AQ145" s="877">
        <v>9.2799999999999994E-2</v>
      </c>
      <c r="AR145" s="751">
        <f t="shared" si="108"/>
        <v>0</v>
      </c>
      <c r="AT145" s="747">
        <f t="shared" si="109"/>
        <v>-0.58089999999999997</v>
      </c>
    </row>
    <row r="146" spans="1:46" ht="14.25" customHeight="1" x14ac:dyDescent="0.25">
      <c r="A146" s="979"/>
      <c r="B146" s="361" t="s">
        <v>180</v>
      </c>
      <c r="C146" s="995"/>
      <c r="D146" s="983"/>
      <c r="E146" s="373" t="s">
        <v>174</v>
      </c>
      <c r="F146" s="359">
        <f>VLOOKUP(E146,'условия, ФОТ'!$A$14:$I$28,9, FALSE)</f>
        <v>456.01</v>
      </c>
      <c r="G146" s="364">
        <v>0.68</v>
      </c>
      <c r="H146" s="985"/>
      <c r="I146" s="985"/>
      <c r="J146" s="985"/>
      <c r="K146" s="986"/>
      <c r="L146" s="985"/>
      <c r="M146" s="985"/>
      <c r="N146" s="985"/>
      <c r="O146" s="985"/>
      <c r="P146" s="985"/>
      <c r="Q146" s="985"/>
      <c r="R146" s="1004"/>
      <c r="S146" s="1004"/>
      <c r="T146" s="1004">
        <f>ROUND((P146+Q146)*(1+$R$5)*1.18,0)</f>
        <v>0</v>
      </c>
      <c r="U146" s="1009"/>
      <c r="V146" s="127"/>
      <c r="W146" s="1001"/>
      <c r="X146" s="1002"/>
      <c r="Z146" s="752"/>
      <c r="AA146" s="1003"/>
      <c r="AB146" s="1005"/>
      <c r="AC146" s="1007"/>
      <c r="AD146" s="752"/>
      <c r="AG146" s="760"/>
      <c r="AH146" s="1008"/>
      <c r="AJ146" s="760"/>
      <c r="AK146" s="752"/>
      <c r="AL146" s="752"/>
      <c r="AN146" s="152"/>
      <c r="AP146" s="760"/>
      <c r="AQ146" s="878"/>
      <c r="AR146" s="752"/>
      <c r="AT146" s="748"/>
    </row>
    <row r="147" spans="1:46" ht="18.95" customHeight="1" outlineLevel="1" x14ac:dyDescent="0.25">
      <c r="A147" s="361"/>
      <c r="B147" s="361"/>
      <c r="C147" s="362"/>
      <c r="D147" s="373"/>
      <c r="E147" s="373"/>
      <c r="F147" s="359"/>
      <c r="G147" s="364"/>
      <c r="H147" s="359"/>
      <c r="I147" s="359"/>
      <c r="J147" s="178" t="s">
        <v>385</v>
      </c>
      <c r="K147" s="92" t="s">
        <v>330</v>
      </c>
      <c r="L147" s="364" t="str">
        <f>VLOOKUP(K147,материалы!$A$5:$G$31,5, FALSE)</f>
        <v>м3</v>
      </c>
      <c r="M147" s="359">
        <f>VLOOKUP(K147,материалы!$A$5:$G$31,7, FALSE)</f>
        <v>116.67</v>
      </c>
      <c r="N147" s="359">
        <v>0.15</v>
      </c>
      <c r="O147" s="359">
        <f t="shared" ref="O147:O153" si="113">ROUND(M147*N147,2)</f>
        <v>17.5</v>
      </c>
      <c r="P147" s="359"/>
      <c r="Q147" s="359"/>
      <c r="R147" s="369"/>
      <c r="S147" s="369"/>
      <c r="T147" s="369"/>
      <c r="U147" s="121"/>
      <c r="V147" s="127"/>
      <c r="W147" s="377"/>
      <c r="X147" s="367"/>
      <c r="Z147" s="356"/>
      <c r="AA147" s="366"/>
      <c r="AB147" s="158"/>
      <c r="AC147" s="170"/>
      <c r="AD147" s="366"/>
      <c r="AG147" s="379"/>
      <c r="AH147" s="358"/>
      <c r="AJ147" s="379"/>
      <c r="AK147" s="366"/>
      <c r="AL147" s="366"/>
      <c r="AN147" s="152"/>
      <c r="AP147" s="379"/>
      <c r="AQ147" s="243"/>
      <c r="AR147" s="366"/>
      <c r="AT147" s="241"/>
    </row>
    <row r="148" spans="1:46" ht="18.95" customHeight="1" outlineLevel="1" x14ac:dyDescent="0.25">
      <c r="A148" s="361"/>
      <c r="B148" s="361"/>
      <c r="C148" s="362"/>
      <c r="D148" s="373"/>
      <c r="E148" s="373"/>
      <c r="F148" s="359"/>
      <c r="G148" s="364"/>
      <c r="H148" s="359"/>
      <c r="I148" s="359"/>
      <c r="J148" s="359"/>
      <c r="K148" s="92" t="s">
        <v>329</v>
      </c>
      <c r="L148" s="364" t="str">
        <f>VLOOKUP(K148,материалы!$A$5:$G$31,5, FALSE)</f>
        <v>м3</v>
      </c>
      <c r="M148" s="359">
        <f>VLOOKUP(K148,материалы!$A$5:$G$31,7, FALSE)</f>
        <v>1033.33</v>
      </c>
      <c r="N148" s="364">
        <v>8.7499999999999994E-2</v>
      </c>
      <c r="O148" s="359">
        <f t="shared" si="113"/>
        <v>90.42</v>
      </c>
      <c r="P148" s="359"/>
      <c r="Q148" s="359"/>
      <c r="R148" s="369"/>
      <c r="S148" s="369"/>
      <c r="T148" s="369"/>
      <c r="U148" s="121"/>
      <c r="V148" s="127"/>
      <c r="W148" s="377"/>
      <c r="X148" s="367"/>
      <c r="Z148" s="356"/>
      <c r="AA148" s="366"/>
      <c r="AB148" s="158"/>
      <c r="AC148" s="170"/>
      <c r="AD148" s="366"/>
      <c r="AG148" s="379"/>
      <c r="AH148" s="358"/>
      <c r="AJ148" s="379"/>
      <c r="AK148" s="366"/>
      <c r="AL148" s="366"/>
      <c r="AN148" s="152"/>
      <c r="AP148" s="379"/>
      <c r="AQ148" s="243"/>
      <c r="AR148" s="366"/>
      <c r="AT148" s="241"/>
    </row>
    <row r="149" spans="1:46" ht="41.25" customHeight="1" outlineLevel="1" x14ac:dyDescent="0.25">
      <c r="A149" s="361"/>
      <c r="B149" s="361"/>
      <c r="C149" s="362"/>
      <c r="D149" s="373"/>
      <c r="E149" s="373"/>
      <c r="F149" s="359"/>
      <c r="G149" s="364"/>
      <c r="H149" s="359"/>
      <c r="I149" s="359"/>
      <c r="J149" s="359"/>
      <c r="K149" s="92" t="s">
        <v>347</v>
      </c>
      <c r="L149" s="364" t="str">
        <f>VLOOKUP(K149,материалы!$A$5:$G$31,5, FALSE)</f>
        <v>кг</v>
      </c>
      <c r="M149" s="359">
        <f>VLOOKUP(K149,материалы!$A$5:$G$31,7, FALSE)</f>
        <v>300</v>
      </c>
      <c r="N149" s="359">
        <v>0.1</v>
      </c>
      <c r="O149" s="359">
        <f t="shared" si="113"/>
        <v>30</v>
      </c>
      <c r="P149" s="359"/>
      <c r="Q149" s="359"/>
      <c r="R149" s="369"/>
      <c r="S149" s="369"/>
      <c r="T149" s="369"/>
      <c r="U149" s="121"/>
      <c r="V149" s="127"/>
      <c r="W149" s="377"/>
      <c r="X149" s="367"/>
      <c r="Z149" s="356"/>
      <c r="AA149" s="366"/>
      <c r="AB149" s="158"/>
      <c r="AC149" s="170"/>
      <c r="AD149" s="366"/>
      <c r="AG149" s="379"/>
      <c r="AH149" s="358"/>
      <c r="AJ149" s="379"/>
      <c r="AK149" s="366"/>
      <c r="AL149" s="366"/>
      <c r="AN149" s="152"/>
      <c r="AP149" s="379"/>
      <c r="AQ149" s="243"/>
      <c r="AR149" s="366"/>
      <c r="AT149" s="241"/>
    </row>
    <row r="150" spans="1:46" ht="29.25" customHeight="1" outlineLevel="1" x14ac:dyDescent="0.25">
      <c r="A150" s="361"/>
      <c r="B150" s="361"/>
      <c r="C150" s="362"/>
      <c r="D150" s="373"/>
      <c r="E150" s="373"/>
      <c r="F150" s="359"/>
      <c r="G150" s="364"/>
      <c r="H150" s="359"/>
      <c r="I150" s="359"/>
      <c r="J150" s="359"/>
      <c r="K150" s="92" t="s">
        <v>348</v>
      </c>
      <c r="L150" s="364" t="str">
        <f>VLOOKUP(K150,материалы!$A$5:$G$31,5, FALSE)</f>
        <v>шт.</v>
      </c>
      <c r="M150" s="359">
        <f>VLOOKUP(K150,материалы!$A$5:$G$31,7, FALSE)</f>
        <v>45</v>
      </c>
      <c r="N150" s="359">
        <v>0.25</v>
      </c>
      <c r="O150" s="359">
        <f t="shared" si="113"/>
        <v>11.25</v>
      </c>
      <c r="P150" s="359"/>
      <c r="Q150" s="359"/>
      <c r="R150" s="369"/>
      <c r="S150" s="369"/>
      <c r="T150" s="369"/>
      <c r="U150" s="121"/>
      <c r="V150" s="127"/>
      <c r="W150" s="377"/>
      <c r="X150" s="367"/>
      <c r="Z150" s="356"/>
      <c r="AA150" s="366"/>
      <c r="AB150" s="158"/>
      <c r="AC150" s="170"/>
      <c r="AD150" s="366"/>
      <c r="AG150" s="379"/>
      <c r="AH150" s="358"/>
      <c r="AJ150" s="379"/>
      <c r="AK150" s="366"/>
      <c r="AL150" s="366"/>
      <c r="AN150" s="152"/>
      <c r="AP150" s="379"/>
      <c r="AQ150" s="243"/>
      <c r="AR150" s="366"/>
      <c r="AT150" s="241"/>
    </row>
    <row r="151" spans="1:46" ht="29.25" customHeight="1" outlineLevel="1" x14ac:dyDescent="0.25">
      <c r="A151" s="361"/>
      <c r="B151" s="361"/>
      <c r="C151" s="362"/>
      <c r="D151" s="373"/>
      <c r="E151" s="373"/>
      <c r="F151" s="359"/>
      <c r="G151" s="364"/>
      <c r="H151" s="359"/>
      <c r="I151" s="359"/>
      <c r="J151" s="359"/>
      <c r="K151" s="92" t="s">
        <v>358</v>
      </c>
      <c r="L151" s="364" t="str">
        <f>VLOOKUP(K151,материалы!$A$5:$G$31,5, FALSE)</f>
        <v>шт.</v>
      </c>
      <c r="M151" s="359">
        <f>VLOOKUP(K151,материалы!$A$5:$G$31,7, FALSE)</f>
        <v>35</v>
      </c>
      <c r="N151" s="359">
        <v>1</v>
      </c>
      <c r="O151" s="359">
        <f t="shared" si="113"/>
        <v>35</v>
      </c>
      <c r="P151" s="359"/>
      <c r="Q151" s="359"/>
      <c r="R151" s="369"/>
      <c r="S151" s="369"/>
      <c r="T151" s="369"/>
      <c r="U151" s="121"/>
      <c r="V151" s="127"/>
      <c r="W151" s="377"/>
      <c r="X151" s="367"/>
      <c r="Z151" s="356"/>
      <c r="AA151" s="366"/>
      <c r="AB151" s="158"/>
      <c r="AC151" s="170"/>
      <c r="AD151" s="366"/>
      <c r="AG151" s="379"/>
      <c r="AH151" s="358"/>
      <c r="AJ151" s="379"/>
      <c r="AK151" s="366"/>
      <c r="AL151" s="366"/>
      <c r="AN151" s="152"/>
      <c r="AP151" s="379"/>
      <c r="AQ151" s="243"/>
      <c r="AR151" s="366"/>
      <c r="AT151" s="241"/>
    </row>
    <row r="152" spans="1:46" ht="21" customHeight="1" outlineLevel="1" x14ac:dyDescent="0.25">
      <c r="A152" s="361"/>
      <c r="B152" s="361"/>
      <c r="C152" s="362"/>
      <c r="D152" s="373"/>
      <c r="E152" s="373"/>
      <c r="F152" s="359"/>
      <c r="G152" s="364"/>
      <c r="H152" s="359"/>
      <c r="I152" s="359"/>
      <c r="J152" s="359"/>
      <c r="K152" s="184" t="s">
        <v>335</v>
      </c>
      <c r="L152" s="364" t="str">
        <f>VLOOKUP(K152,материалы!$A$5:$G$31,5, FALSE)</f>
        <v>кг</v>
      </c>
      <c r="M152" s="359">
        <f>VLOOKUP(K152,материалы!$A$5:$G$31,7, FALSE)</f>
        <v>95</v>
      </c>
      <c r="N152" s="359">
        <v>1E-3</v>
      </c>
      <c r="O152" s="359">
        <f t="shared" si="113"/>
        <v>0.1</v>
      </c>
      <c r="P152" s="359"/>
      <c r="Q152" s="359"/>
      <c r="R152" s="369"/>
      <c r="S152" s="369"/>
      <c r="T152" s="369"/>
      <c r="U152" s="121"/>
      <c r="V152" s="127"/>
      <c r="W152" s="377"/>
      <c r="X152" s="367"/>
      <c r="Z152" s="356"/>
      <c r="AA152" s="366"/>
      <c r="AB152" s="158"/>
      <c r="AC152" s="170"/>
      <c r="AD152" s="366"/>
      <c r="AG152" s="379"/>
      <c r="AH152" s="358"/>
      <c r="AJ152" s="379"/>
      <c r="AK152" s="366"/>
      <c r="AL152" s="366"/>
      <c r="AN152" s="152"/>
      <c r="AP152" s="379"/>
      <c r="AQ152" s="243"/>
      <c r="AR152" s="366"/>
      <c r="AT152" s="241"/>
    </row>
    <row r="153" spans="1:46" ht="20.25" customHeight="1" outlineLevel="1" x14ac:dyDescent="0.25">
      <c r="A153" s="361"/>
      <c r="B153" s="361"/>
      <c r="C153" s="362"/>
      <c r="D153" s="373"/>
      <c r="E153" s="373"/>
      <c r="F153" s="359"/>
      <c r="G153" s="364"/>
      <c r="H153" s="359"/>
      <c r="I153" s="359"/>
      <c r="J153" s="359"/>
      <c r="K153" s="184" t="s">
        <v>336</v>
      </c>
      <c r="L153" s="364" t="str">
        <f>VLOOKUP(K153,материалы!$A$5:$G$31,5, FALSE)</f>
        <v>кг</v>
      </c>
      <c r="M153" s="359">
        <f>VLOOKUP(K153,материалы!$A$5:$G$31,7, FALSE)</f>
        <v>80</v>
      </c>
      <c r="N153" s="359">
        <v>0.01</v>
      </c>
      <c r="O153" s="359">
        <f t="shared" si="113"/>
        <v>0.8</v>
      </c>
      <c r="P153" s="359"/>
      <c r="Q153" s="359"/>
      <c r="R153" s="369"/>
      <c r="S153" s="369"/>
      <c r="T153" s="369"/>
      <c r="U153" s="121"/>
      <c r="V153" s="127"/>
      <c r="W153" s="377"/>
      <c r="X153" s="367"/>
      <c r="Z153" s="356"/>
      <c r="AA153" s="366"/>
      <c r="AB153" s="158"/>
      <c r="AC153" s="170"/>
      <c r="AD153" s="366"/>
      <c r="AG153" s="379"/>
      <c r="AH153" s="358"/>
      <c r="AJ153" s="379"/>
      <c r="AK153" s="366"/>
      <c r="AL153" s="366"/>
      <c r="AN153" s="152"/>
      <c r="AP153" s="379"/>
      <c r="AQ153" s="243"/>
      <c r="AR153" s="366"/>
      <c r="AT153" s="241"/>
    </row>
    <row r="154" spans="1:46" ht="51" x14ac:dyDescent="0.25">
      <c r="A154" s="361" t="s">
        <v>477</v>
      </c>
      <c r="B154" s="361" t="s">
        <v>186</v>
      </c>
      <c r="C154" s="362" t="s">
        <v>431</v>
      </c>
      <c r="D154" s="373" t="s">
        <v>40</v>
      </c>
      <c r="E154" s="373" t="s">
        <v>168</v>
      </c>
      <c r="F154" s="359">
        <f>VLOOKUP(E154,'условия, ФОТ'!$A$14:$I$28,9, FALSE)</f>
        <v>282.83999999999997</v>
      </c>
      <c r="G154" s="364">
        <v>1.3</v>
      </c>
      <c r="H154" s="359">
        <f t="shared" ref="H154:H258" si="114">ROUND(F154*G154,2)</f>
        <v>367.69</v>
      </c>
      <c r="I154" s="359">
        <f t="shared" si="111"/>
        <v>111.04</v>
      </c>
      <c r="J154" s="359">
        <f t="shared" si="112"/>
        <v>478.73</v>
      </c>
      <c r="K154" s="363"/>
      <c r="L154" s="359"/>
      <c r="M154" s="359"/>
      <c r="N154" s="359"/>
      <c r="O154" s="359">
        <f>SUM(O155:O157)</f>
        <v>5.6499999999999995</v>
      </c>
      <c r="P154" s="359">
        <f>J154+O154</f>
        <v>484.38</v>
      </c>
      <c r="Q154" s="359">
        <f t="shared" si="16"/>
        <v>375.39</v>
      </c>
      <c r="R154" s="369">
        <f>ROUND(T154/1.2,2)</f>
        <v>533.33000000000004</v>
      </c>
      <c r="S154" s="369">
        <f t="shared" si="17"/>
        <v>106.67</v>
      </c>
      <c r="T154" s="369">
        <f>ROUND((P154+Q154)*(1+AC154)*1.2,0)</f>
        <v>640</v>
      </c>
      <c r="U154" s="121">
        <v>493</v>
      </c>
      <c r="V154" s="127">
        <f t="shared" si="62"/>
        <v>29.817444219066942</v>
      </c>
      <c r="W154" s="377">
        <v>509</v>
      </c>
      <c r="X154" s="367">
        <f t="shared" si="104"/>
        <v>25.736738703339881</v>
      </c>
      <c r="Y154" s="117">
        <v>509</v>
      </c>
      <c r="Z154" s="368">
        <v>1.2569999999999999</v>
      </c>
      <c r="AA154" s="152">
        <f>ROUND(W154*Z154,2)</f>
        <v>639.80999999999995</v>
      </c>
      <c r="AB154" s="157">
        <f>ROUND((P154+Q154)*1.2,2)</f>
        <v>1031.72</v>
      </c>
      <c r="AC154" s="170">
        <f>ROUND((AA154/AB154)*100%-100%,4)</f>
        <v>-0.37990000000000002</v>
      </c>
      <c r="AD154" s="366">
        <f t="shared" si="105"/>
        <v>-391.95042800000004</v>
      </c>
      <c r="AF154">
        <v>526.30600000000004</v>
      </c>
      <c r="AG154" s="379">
        <v>526</v>
      </c>
      <c r="AH154" s="358">
        <f t="shared" si="106"/>
        <v>114</v>
      </c>
      <c r="AJ154" s="379">
        <v>-0.13669999999999999</v>
      </c>
      <c r="AK154" s="366">
        <f t="shared" si="107"/>
        <v>1.1367</v>
      </c>
      <c r="AL154" s="366">
        <v>1.175</v>
      </c>
      <c r="AN154" s="152">
        <f t="shared" ref="AN154:AN212" si="115">ROUND(W154*AL154,2)</f>
        <v>598.08000000000004</v>
      </c>
      <c r="AP154" s="379">
        <v>1.034</v>
      </c>
      <c r="AQ154" s="243">
        <v>-0.13669999999999999</v>
      </c>
      <c r="AR154" s="366">
        <f t="shared" si="108"/>
        <v>0.22299999999999986</v>
      </c>
      <c r="AT154" s="241">
        <f t="shared" si="109"/>
        <v>-0.24320000000000003</v>
      </c>
    </row>
    <row r="155" spans="1:46" ht="25.5" outlineLevel="1" x14ac:dyDescent="0.25">
      <c r="A155" s="361"/>
      <c r="B155" s="361"/>
      <c r="C155" s="362"/>
      <c r="D155" s="373"/>
      <c r="E155" s="373"/>
      <c r="F155" s="359"/>
      <c r="G155" s="364"/>
      <c r="H155" s="359"/>
      <c r="I155" s="359"/>
      <c r="J155" s="178" t="s">
        <v>385</v>
      </c>
      <c r="K155" s="92" t="s">
        <v>341</v>
      </c>
      <c r="L155" s="364" t="str">
        <f>VLOOKUP(K155,материалы!$A$5:$G$31,5, FALSE)</f>
        <v>кг</v>
      </c>
      <c r="M155" s="359">
        <f>VLOOKUP(K155,материалы!$A$5:$G$31,7, FALSE)</f>
        <v>950</v>
      </c>
      <c r="N155" s="359">
        <v>5.0000000000000001E-3</v>
      </c>
      <c r="O155" s="359">
        <f t="shared" ref="O155:O157" si="116">ROUND(M155*N155,2)</f>
        <v>4.75</v>
      </c>
      <c r="P155" s="359"/>
      <c r="Q155" s="359"/>
      <c r="R155" s="369"/>
      <c r="S155" s="369"/>
      <c r="T155" s="369"/>
      <c r="U155" s="121"/>
      <c r="V155" s="127"/>
      <c r="W155" s="377"/>
      <c r="X155" s="367"/>
      <c r="Z155" s="356"/>
      <c r="AA155" s="366"/>
      <c r="AB155" s="158"/>
      <c r="AC155" s="170"/>
      <c r="AD155" s="366"/>
      <c r="AG155" s="379"/>
      <c r="AH155" s="358"/>
      <c r="AJ155" s="379"/>
      <c r="AK155" s="366"/>
      <c r="AL155" s="366"/>
      <c r="AN155" s="152"/>
      <c r="AP155" s="379"/>
      <c r="AQ155" s="243"/>
      <c r="AR155" s="366"/>
      <c r="AT155" s="241"/>
    </row>
    <row r="156" spans="1:46" outlineLevel="1" x14ac:dyDescent="0.25">
      <c r="A156" s="361"/>
      <c r="B156" s="361"/>
      <c r="C156" s="362"/>
      <c r="D156" s="373"/>
      <c r="E156" s="373"/>
      <c r="F156" s="359"/>
      <c r="G156" s="364"/>
      <c r="H156" s="359"/>
      <c r="I156" s="359"/>
      <c r="J156" s="359"/>
      <c r="K156" s="184" t="s">
        <v>335</v>
      </c>
      <c r="L156" s="364" t="str">
        <f>VLOOKUP(K156,материалы!$A$5:$G$31,5, FALSE)</f>
        <v>кг</v>
      </c>
      <c r="M156" s="359">
        <f>VLOOKUP(K156,материалы!$A$5:$G$31,7, FALSE)</f>
        <v>95</v>
      </c>
      <c r="N156" s="359">
        <v>1E-3</v>
      </c>
      <c r="O156" s="359">
        <f t="shared" si="116"/>
        <v>0.1</v>
      </c>
      <c r="P156" s="359"/>
      <c r="Q156" s="359"/>
      <c r="R156" s="369"/>
      <c r="S156" s="369"/>
      <c r="T156" s="369"/>
      <c r="U156" s="121"/>
      <c r="V156" s="127"/>
      <c r="W156" s="377"/>
      <c r="X156" s="367"/>
      <c r="Z156" s="356"/>
      <c r="AA156" s="366"/>
      <c r="AB156" s="158"/>
      <c r="AC156" s="170"/>
      <c r="AD156" s="366"/>
      <c r="AG156" s="379"/>
      <c r="AH156" s="358"/>
      <c r="AJ156" s="379"/>
      <c r="AK156" s="366"/>
      <c r="AL156" s="366"/>
      <c r="AN156" s="152"/>
      <c r="AP156" s="379"/>
      <c r="AQ156" s="243"/>
      <c r="AR156" s="366"/>
      <c r="AT156" s="241"/>
    </row>
    <row r="157" spans="1:46" outlineLevel="1" x14ac:dyDescent="0.25">
      <c r="A157" s="361"/>
      <c r="B157" s="361"/>
      <c r="C157" s="362"/>
      <c r="D157" s="373"/>
      <c r="E157" s="373"/>
      <c r="F157" s="359"/>
      <c r="G157" s="364"/>
      <c r="H157" s="359"/>
      <c r="I157" s="359"/>
      <c r="J157" s="359"/>
      <c r="K157" s="184" t="s">
        <v>336</v>
      </c>
      <c r="L157" s="364" t="str">
        <f>VLOOKUP(K157,материалы!$A$5:$G$31,5, FALSE)</f>
        <v>кг</v>
      </c>
      <c r="M157" s="359">
        <f>VLOOKUP(K157,материалы!$A$5:$G$31,7, FALSE)</f>
        <v>80</v>
      </c>
      <c r="N157" s="359">
        <v>0.01</v>
      </c>
      <c r="O157" s="359">
        <f t="shared" si="116"/>
        <v>0.8</v>
      </c>
      <c r="P157" s="359"/>
      <c r="Q157" s="359"/>
      <c r="R157" s="369"/>
      <c r="S157" s="369"/>
      <c r="T157" s="369"/>
      <c r="U157" s="121"/>
      <c r="V157" s="127"/>
      <c r="W157" s="377"/>
      <c r="X157" s="367"/>
      <c r="Z157" s="356"/>
      <c r="AA157" s="366"/>
      <c r="AB157" s="158"/>
      <c r="AC157" s="170"/>
      <c r="AD157" s="366"/>
      <c r="AG157" s="379"/>
      <c r="AH157" s="358"/>
      <c r="AJ157" s="379"/>
      <c r="AK157" s="366"/>
      <c r="AL157" s="366"/>
      <c r="AN157" s="152"/>
      <c r="AP157" s="379"/>
      <c r="AQ157" s="243"/>
      <c r="AR157" s="366"/>
      <c r="AT157" s="241"/>
    </row>
    <row r="158" spans="1:46" ht="45.95" customHeight="1" x14ac:dyDescent="0.25">
      <c r="A158" s="361" t="s">
        <v>478</v>
      </c>
      <c r="B158" s="361" t="s">
        <v>35</v>
      </c>
      <c r="C158" s="362" t="s">
        <v>432</v>
      </c>
      <c r="D158" s="373" t="s">
        <v>40</v>
      </c>
      <c r="E158" s="373" t="s">
        <v>168</v>
      </c>
      <c r="F158" s="359">
        <f>VLOOKUP(E158,'условия, ФОТ'!$A$14:$I$28,9, FALSE)</f>
        <v>282.83999999999997</v>
      </c>
      <c r="G158" s="364">
        <v>1.4</v>
      </c>
      <c r="H158" s="359">
        <f t="shared" si="114"/>
        <v>395.98</v>
      </c>
      <c r="I158" s="359">
        <f t="shared" si="111"/>
        <v>119.59</v>
      </c>
      <c r="J158" s="359">
        <f t="shared" si="112"/>
        <v>515.57000000000005</v>
      </c>
      <c r="K158" s="363"/>
      <c r="L158" s="359"/>
      <c r="M158" s="359"/>
      <c r="N158" s="359"/>
      <c r="O158" s="359">
        <f>SUM(O159:O161)</f>
        <v>5.6499999999999995</v>
      </c>
      <c r="P158" s="359">
        <f t="shared" ref="P158:P258" si="117">J158+O158</f>
        <v>521.22</v>
      </c>
      <c r="Q158" s="359">
        <f t="shared" si="16"/>
        <v>403.95</v>
      </c>
      <c r="R158" s="369">
        <f>ROUND(T158/1.2,2)</f>
        <v>574.16999999999996</v>
      </c>
      <c r="S158" s="369">
        <f t="shared" si="17"/>
        <v>114.83</v>
      </c>
      <c r="T158" s="369">
        <f>ROUND((P158+Q158)*(1+AC158)*1.2,0)</f>
        <v>689</v>
      </c>
      <c r="U158" s="121">
        <v>531</v>
      </c>
      <c r="V158" s="127">
        <f t="shared" si="62"/>
        <v>29.755178907721273</v>
      </c>
      <c r="W158" s="377">
        <v>547</v>
      </c>
      <c r="X158" s="367">
        <f t="shared" si="104"/>
        <v>25.959780621572207</v>
      </c>
      <c r="Y158" s="117">
        <v>547</v>
      </c>
      <c r="Z158" s="368">
        <v>1.2589999999999999</v>
      </c>
      <c r="AA158" s="152">
        <f>ROUND(W158*Z158,2)</f>
        <v>688.67</v>
      </c>
      <c r="AB158" s="157">
        <f>ROUND((P158+Q158)*1.2,2)</f>
        <v>1110.2</v>
      </c>
      <c r="AC158" s="170">
        <f>ROUND((AA158/AB158)*100%-100%,4)</f>
        <v>-0.37969999999999998</v>
      </c>
      <c r="AD158" s="366">
        <f t="shared" si="105"/>
        <v>-421.54293999999999</v>
      </c>
      <c r="AF158">
        <v>565.59800000000007</v>
      </c>
      <c r="AG158" s="379">
        <v>566</v>
      </c>
      <c r="AH158" s="358">
        <f t="shared" si="106"/>
        <v>123</v>
      </c>
      <c r="AJ158" s="379">
        <v>-0.13769999999999999</v>
      </c>
      <c r="AK158" s="366">
        <f t="shared" si="107"/>
        <v>1.1376999999999999</v>
      </c>
      <c r="AL158" s="366">
        <v>1.1759999999999999</v>
      </c>
      <c r="AN158" s="152">
        <f t="shared" si="115"/>
        <v>643.27</v>
      </c>
      <c r="AP158" s="379">
        <v>1.034</v>
      </c>
      <c r="AQ158" s="243">
        <v>-0.13769999999999999</v>
      </c>
      <c r="AR158" s="366">
        <f t="shared" si="108"/>
        <v>0.22499999999999987</v>
      </c>
      <c r="AT158" s="241">
        <f t="shared" si="109"/>
        <v>-0.24199999999999999</v>
      </c>
    </row>
    <row r="159" spans="1:46" ht="25.5" outlineLevel="1" x14ac:dyDescent="0.25">
      <c r="A159" s="361"/>
      <c r="B159" s="361"/>
      <c r="C159" s="362"/>
      <c r="D159" s="373"/>
      <c r="E159" s="373"/>
      <c r="F159" s="359"/>
      <c r="G159" s="364"/>
      <c r="H159" s="359"/>
      <c r="I159" s="359"/>
      <c r="J159" s="178" t="s">
        <v>385</v>
      </c>
      <c r="K159" s="92" t="s">
        <v>341</v>
      </c>
      <c r="L159" s="364" t="str">
        <f>VLOOKUP(K159,материалы!$A$5:$G$31,5, FALSE)</f>
        <v>кг</v>
      </c>
      <c r="M159" s="359">
        <f>VLOOKUP(K159,материалы!$A$5:$G$31,7, FALSE)</f>
        <v>950</v>
      </c>
      <c r="N159" s="359">
        <v>5.0000000000000001E-3</v>
      </c>
      <c r="O159" s="359">
        <f t="shared" ref="O159:O165" si="118">ROUND(M159*N159,2)</f>
        <v>4.75</v>
      </c>
      <c r="P159" s="359"/>
      <c r="Q159" s="359"/>
      <c r="R159" s="369"/>
      <c r="S159" s="369"/>
      <c r="T159" s="369"/>
      <c r="U159" s="121"/>
      <c r="V159" s="127"/>
      <c r="W159" s="377"/>
      <c r="X159" s="367"/>
      <c r="Z159" s="356"/>
      <c r="AA159" s="366"/>
      <c r="AB159" s="158"/>
      <c r="AC159" s="170"/>
      <c r="AD159" s="366"/>
      <c r="AG159" s="379"/>
      <c r="AH159" s="358"/>
      <c r="AJ159" s="379"/>
      <c r="AK159" s="366"/>
      <c r="AL159" s="366"/>
      <c r="AN159" s="152"/>
      <c r="AP159" s="379"/>
      <c r="AQ159" s="243"/>
      <c r="AR159" s="366"/>
      <c r="AT159" s="241"/>
    </row>
    <row r="160" spans="1:46" outlineLevel="1" x14ac:dyDescent="0.25">
      <c r="A160" s="361"/>
      <c r="B160" s="361"/>
      <c r="C160" s="362"/>
      <c r="D160" s="373"/>
      <c r="E160" s="373"/>
      <c r="F160" s="359"/>
      <c r="G160" s="364"/>
      <c r="H160" s="359"/>
      <c r="I160" s="359"/>
      <c r="J160" s="359"/>
      <c r="K160" s="184" t="s">
        <v>335</v>
      </c>
      <c r="L160" s="364" t="str">
        <f>VLOOKUP(K160,материалы!$A$5:$G$31,5, FALSE)</f>
        <v>кг</v>
      </c>
      <c r="M160" s="359">
        <f>VLOOKUP(K160,материалы!$A$5:$G$31,7, FALSE)</f>
        <v>95</v>
      </c>
      <c r="N160" s="359">
        <v>1E-3</v>
      </c>
      <c r="O160" s="359">
        <f t="shared" si="118"/>
        <v>0.1</v>
      </c>
      <c r="P160" s="359"/>
      <c r="Q160" s="359"/>
      <c r="R160" s="369"/>
      <c r="S160" s="369"/>
      <c r="T160" s="369"/>
      <c r="U160" s="121"/>
      <c r="V160" s="127"/>
      <c r="W160" s="377"/>
      <c r="X160" s="367"/>
      <c r="Z160" s="356"/>
      <c r="AA160" s="366"/>
      <c r="AB160" s="158"/>
      <c r="AC160" s="170"/>
      <c r="AD160" s="366"/>
      <c r="AG160" s="379"/>
      <c r="AH160" s="358"/>
      <c r="AJ160" s="379"/>
      <c r="AK160" s="366"/>
      <c r="AL160" s="366"/>
      <c r="AN160" s="152"/>
      <c r="AP160" s="379"/>
      <c r="AQ160" s="243"/>
      <c r="AR160" s="366"/>
      <c r="AT160" s="241"/>
    </row>
    <row r="161" spans="1:46" outlineLevel="1" x14ac:dyDescent="0.25">
      <c r="A161" s="361"/>
      <c r="B161" s="361"/>
      <c r="C161" s="362"/>
      <c r="D161" s="373"/>
      <c r="E161" s="373"/>
      <c r="F161" s="359"/>
      <c r="G161" s="364"/>
      <c r="H161" s="359"/>
      <c r="I161" s="359"/>
      <c r="J161" s="359"/>
      <c r="K161" s="184" t="s">
        <v>336</v>
      </c>
      <c r="L161" s="364" t="str">
        <f>VLOOKUP(K161,материалы!$A$5:$G$31,5, FALSE)</f>
        <v>кг</v>
      </c>
      <c r="M161" s="359">
        <f>VLOOKUP(K161,материалы!$A$5:$G$31,7, FALSE)</f>
        <v>80</v>
      </c>
      <c r="N161" s="359">
        <v>0.01</v>
      </c>
      <c r="O161" s="359">
        <f t="shared" si="118"/>
        <v>0.8</v>
      </c>
      <c r="P161" s="359"/>
      <c r="Q161" s="359"/>
      <c r="R161" s="369"/>
      <c r="S161" s="369"/>
      <c r="T161" s="369"/>
      <c r="U161" s="121"/>
      <c r="V161" s="127"/>
      <c r="W161" s="377"/>
      <c r="X161" s="367"/>
      <c r="Z161" s="356"/>
      <c r="AA161" s="366"/>
      <c r="AB161" s="158"/>
      <c r="AC161" s="170"/>
      <c r="AD161" s="366"/>
      <c r="AG161" s="379"/>
      <c r="AH161" s="358"/>
      <c r="AJ161" s="379"/>
      <c r="AK161" s="366"/>
      <c r="AL161" s="366"/>
      <c r="AN161" s="152"/>
      <c r="AP161" s="379"/>
      <c r="AQ161" s="243"/>
      <c r="AR161" s="366"/>
      <c r="AT161" s="241"/>
    </row>
    <row r="162" spans="1:46" ht="39.75" customHeight="1" x14ac:dyDescent="0.25">
      <c r="A162" s="361" t="s">
        <v>479</v>
      </c>
      <c r="B162" s="361" t="s">
        <v>35</v>
      </c>
      <c r="C162" s="362" t="s">
        <v>433</v>
      </c>
      <c r="D162" s="373" t="s">
        <v>40</v>
      </c>
      <c r="E162" s="373" t="s">
        <v>168</v>
      </c>
      <c r="F162" s="359">
        <f>VLOOKUP(E162,'условия, ФОТ'!$A$14:$I$28,9, FALSE)</f>
        <v>282.83999999999997</v>
      </c>
      <c r="G162" s="364">
        <v>0.9</v>
      </c>
      <c r="H162" s="359">
        <f t="shared" si="114"/>
        <v>254.56</v>
      </c>
      <c r="I162" s="359">
        <f t="shared" si="111"/>
        <v>76.88</v>
      </c>
      <c r="J162" s="359">
        <f t="shared" si="112"/>
        <v>331.44</v>
      </c>
      <c r="K162" s="363"/>
      <c r="L162" s="359"/>
      <c r="M162" s="359"/>
      <c r="N162" s="359"/>
      <c r="O162" s="359">
        <f>SUM(O163:O165)</f>
        <v>5.6499999999999995</v>
      </c>
      <c r="P162" s="359">
        <f>J162+O162</f>
        <v>337.09</v>
      </c>
      <c r="Q162" s="359">
        <f t="shared" si="16"/>
        <v>261.24</v>
      </c>
      <c r="R162" s="369">
        <f>ROUND(T162/1.2,2)</f>
        <v>371.67</v>
      </c>
      <c r="S162" s="369">
        <f t="shared" si="17"/>
        <v>74.33</v>
      </c>
      <c r="T162" s="369">
        <f>ROUND((P162+Q162)*(1+AC162)*1.2,0)</f>
        <v>446</v>
      </c>
      <c r="U162" s="121">
        <v>345</v>
      </c>
      <c r="V162" s="127">
        <f t="shared" si="62"/>
        <v>29.275362318840592</v>
      </c>
      <c r="W162" s="377">
        <v>356</v>
      </c>
      <c r="X162" s="367">
        <f t="shared" si="104"/>
        <v>25.280898876404507</v>
      </c>
      <c r="Y162" s="117">
        <v>356</v>
      </c>
      <c r="Z162" s="368">
        <v>1.252</v>
      </c>
      <c r="AA162" s="152">
        <f>ROUND(W162*Z162,2)</f>
        <v>445.71</v>
      </c>
      <c r="AB162" s="157">
        <f>ROUND((P162+Q162)*1.2,2)</f>
        <v>718</v>
      </c>
      <c r="AC162" s="170">
        <f>ROUND((AA162/AB162)*100%-100%,4)</f>
        <v>-0.37919999999999998</v>
      </c>
      <c r="AD162" s="366">
        <f t="shared" si="105"/>
        <v>-272.26560000000001</v>
      </c>
      <c r="AF162">
        <v>368.10399999999998</v>
      </c>
      <c r="AG162" s="379">
        <v>368</v>
      </c>
      <c r="AH162" s="358">
        <f t="shared" si="106"/>
        <v>78</v>
      </c>
      <c r="AJ162" s="379">
        <v>-0.1333</v>
      </c>
      <c r="AK162" s="366">
        <f t="shared" si="107"/>
        <v>1.1333</v>
      </c>
      <c r="AL162" s="366">
        <v>1.1719999999999999</v>
      </c>
      <c r="AN162" s="152">
        <f t="shared" si="115"/>
        <v>417.23</v>
      </c>
      <c r="AP162" s="379">
        <v>1.034</v>
      </c>
      <c r="AQ162" s="243">
        <v>-0.1333</v>
      </c>
      <c r="AR162" s="366">
        <f t="shared" si="108"/>
        <v>0.21799999999999997</v>
      </c>
      <c r="AT162" s="241">
        <f t="shared" si="109"/>
        <v>-0.24589999999999998</v>
      </c>
    </row>
    <row r="163" spans="1:46" ht="25.5" outlineLevel="1" x14ac:dyDescent="0.25">
      <c r="A163" s="361"/>
      <c r="B163" s="361"/>
      <c r="C163" s="362"/>
      <c r="D163" s="373"/>
      <c r="E163" s="373"/>
      <c r="F163" s="359"/>
      <c r="G163" s="364"/>
      <c r="H163" s="359"/>
      <c r="I163" s="359"/>
      <c r="J163" s="178" t="s">
        <v>385</v>
      </c>
      <c r="K163" s="92" t="s">
        <v>341</v>
      </c>
      <c r="L163" s="364" t="str">
        <f>VLOOKUP(K163,материалы!$A$5:$G$31,5, FALSE)</f>
        <v>кг</v>
      </c>
      <c r="M163" s="359">
        <f>VLOOKUP(K163,материалы!$A$5:$G$31,7, FALSE)</f>
        <v>950</v>
      </c>
      <c r="N163" s="359">
        <v>5.0000000000000001E-3</v>
      </c>
      <c r="O163" s="359">
        <f t="shared" si="118"/>
        <v>4.75</v>
      </c>
      <c r="P163" s="359"/>
      <c r="Q163" s="359"/>
      <c r="R163" s="369"/>
      <c r="S163" s="369"/>
      <c r="T163" s="369"/>
      <c r="U163" s="121"/>
      <c r="V163" s="127"/>
      <c r="W163" s="377"/>
      <c r="X163" s="367"/>
      <c r="Z163" s="356"/>
      <c r="AA163" s="366"/>
      <c r="AB163" s="158"/>
      <c r="AC163" s="170"/>
      <c r="AD163" s="366"/>
      <c r="AG163" s="379"/>
      <c r="AH163" s="358"/>
      <c r="AJ163" s="379"/>
      <c r="AK163" s="366"/>
      <c r="AL163" s="366"/>
      <c r="AN163" s="152"/>
      <c r="AP163" s="379"/>
      <c r="AQ163" s="243"/>
      <c r="AR163" s="366"/>
      <c r="AT163" s="241"/>
    </row>
    <row r="164" spans="1:46" outlineLevel="1" x14ac:dyDescent="0.25">
      <c r="A164" s="361"/>
      <c r="B164" s="361"/>
      <c r="C164" s="362"/>
      <c r="D164" s="373"/>
      <c r="E164" s="373"/>
      <c r="F164" s="359"/>
      <c r="G164" s="364"/>
      <c r="H164" s="359"/>
      <c r="I164" s="359"/>
      <c r="J164" s="359"/>
      <c r="K164" s="184" t="s">
        <v>335</v>
      </c>
      <c r="L164" s="364" t="str">
        <f>VLOOKUP(K164,материалы!$A$5:$G$31,5, FALSE)</f>
        <v>кг</v>
      </c>
      <c r="M164" s="359">
        <f>VLOOKUP(K164,материалы!$A$5:$G$31,7, FALSE)</f>
        <v>95</v>
      </c>
      <c r="N164" s="359">
        <v>1E-3</v>
      </c>
      <c r="O164" s="359">
        <f t="shared" si="118"/>
        <v>0.1</v>
      </c>
      <c r="P164" s="359"/>
      <c r="Q164" s="359"/>
      <c r="R164" s="369"/>
      <c r="S164" s="369"/>
      <c r="T164" s="369"/>
      <c r="U164" s="121"/>
      <c r="V164" s="127"/>
      <c r="W164" s="377"/>
      <c r="X164" s="367"/>
      <c r="Z164" s="356"/>
      <c r="AA164" s="366"/>
      <c r="AB164" s="158"/>
      <c r="AC164" s="170"/>
      <c r="AD164" s="366"/>
      <c r="AG164" s="379"/>
      <c r="AH164" s="358"/>
      <c r="AJ164" s="379"/>
      <c r="AK164" s="366"/>
      <c r="AL164" s="366"/>
      <c r="AN164" s="152"/>
      <c r="AP164" s="379"/>
      <c r="AQ164" s="243"/>
      <c r="AR164" s="366"/>
      <c r="AT164" s="241"/>
    </row>
    <row r="165" spans="1:46" outlineLevel="1" x14ac:dyDescent="0.25">
      <c r="A165" s="361"/>
      <c r="B165" s="361"/>
      <c r="C165" s="362"/>
      <c r="D165" s="373"/>
      <c r="E165" s="373"/>
      <c r="F165" s="359"/>
      <c r="G165" s="364"/>
      <c r="H165" s="359"/>
      <c r="I165" s="359"/>
      <c r="J165" s="359"/>
      <c r="K165" s="184" t="s">
        <v>336</v>
      </c>
      <c r="L165" s="364" t="str">
        <f>VLOOKUP(K165,материалы!$A$5:$G$31,5, FALSE)</f>
        <v>кг</v>
      </c>
      <c r="M165" s="359">
        <f>VLOOKUP(K165,материалы!$A$5:$G$31,7, FALSE)</f>
        <v>80</v>
      </c>
      <c r="N165" s="359">
        <v>0.01</v>
      </c>
      <c r="O165" s="359">
        <f t="shared" si="118"/>
        <v>0.8</v>
      </c>
      <c r="P165" s="359"/>
      <c r="Q165" s="359"/>
      <c r="R165" s="369"/>
      <c r="S165" s="369"/>
      <c r="T165" s="369"/>
      <c r="U165" s="121"/>
      <c r="V165" s="127"/>
      <c r="W165" s="377"/>
      <c r="X165" s="367"/>
      <c r="Z165" s="356"/>
      <c r="AA165" s="366"/>
      <c r="AB165" s="158"/>
      <c r="AC165" s="170"/>
      <c r="AD165" s="366"/>
      <c r="AG165" s="379"/>
      <c r="AH165" s="358"/>
      <c r="AJ165" s="379"/>
      <c r="AK165" s="366"/>
      <c r="AL165" s="366"/>
      <c r="AN165" s="152"/>
      <c r="AP165" s="379"/>
      <c r="AQ165" s="243"/>
      <c r="AR165" s="366"/>
      <c r="AT165" s="241"/>
    </row>
    <row r="166" spans="1:46" s="155" customFormat="1" x14ac:dyDescent="0.25">
      <c r="A166" s="361" t="s">
        <v>480</v>
      </c>
      <c r="B166" s="361" t="s">
        <v>187</v>
      </c>
      <c r="C166" s="362" t="s">
        <v>42</v>
      </c>
      <c r="D166" s="359" t="s">
        <v>188</v>
      </c>
      <c r="E166" s="373" t="s">
        <v>168</v>
      </c>
      <c r="F166" s="359">
        <f>VLOOKUP(E166,'условия, ФОТ'!$A$14:$I$28,9, FALSE)</f>
        <v>282.83999999999997</v>
      </c>
      <c r="G166" s="364">
        <v>0.28999999999999998</v>
      </c>
      <c r="H166" s="359">
        <f t="shared" si="114"/>
        <v>82.02</v>
      </c>
      <c r="I166" s="359">
        <f t="shared" si="111"/>
        <v>24.77</v>
      </c>
      <c r="J166" s="359">
        <f t="shared" si="112"/>
        <v>106.78999999999999</v>
      </c>
      <c r="K166" s="363"/>
      <c r="L166" s="359"/>
      <c r="M166" s="359"/>
      <c r="N166" s="359"/>
      <c r="O166" s="359"/>
      <c r="P166" s="359">
        <f t="shared" si="117"/>
        <v>106.78999999999999</v>
      </c>
      <c r="Q166" s="359">
        <f t="shared" si="16"/>
        <v>82.76</v>
      </c>
      <c r="R166" s="369">
        <f>ROUND(T166/1.2,2)</f>
        <v>117.5</v>
      </c>
      <c r="S166" s="369">
        <f>ROUND(R166*$S$5,2)</f>
        <v>23.5</v>
      </c>
      <c r="T166" s="369">
        <f t="shared" ref="T166:T185" si="119">ROUND((P166+Q166)*(1+AC166)*1.2,0)</f>
        <v>141</v>
      </c>
      <c r="U166" s="369">
        <v>108</v>
      </c>
      <c r="V166" s="153">
        <f t="shared" si="62"/>
        <v>30.555555555555571</v>
      </c>
      <c r="W166" s="154">
        <v>111</v>
      </c>
      <c r="X166" s="364">
        <f t="shared" si="104"/>
        <v>27.027027027027017</v>
      </c>
      <c r="Y166" s="155">
        <v>111</v>
      </c>
      <c r="Z166" s="247">
        <v>1.268</v>
      </c>
      <c r="AA166" s="156">
        <f t="shared" ref="AA166:AA185" si="120">ROUND(W166*Z166,2)</f>
        <v>140.75</v>
      </c>
      <c r="AB166" s="159">
        <f t="shared" ref="AB166:AB185" si="121">ROUND((P166+Q166)*1.2,2)</f>
        <v>227.46</v>
      </c>
      <c r="AC166" s="170">
        <f t="shared" ref="AC166:AC185" si="122">ROUND((AA166/AB166)*100%-100%,4)</f>
        <v>-0.38119999999999998</v>
      </c>
      <c r="AD166" s="165">
        <f t="shared" si="105"/>
        <v>-86.707751999999999</v>
      </c>
      <c r="AF166" s="155">
        <v>114.774</v>
      </c>
      <c r="AG166" s="163">
        <v>115</v>
      </c>
      <c r="AH166" s="358">
        <f t="shared" si="106"/>
        <v>26</v>
      </c>
      <c r="AJ166" s="163">
        <v>-0.14410000000000001</v>
      </c>
      <c r="AK166" s="366">
        <f t="shared" si="107"/>
        <v>1.1440999999999999</v>
      </c>
      <c r="AL166" s="366">
        <v>1.1830000000000001</v>
      </c>
      <c r="AN166" s="152">
        <f t="shared" si="115"/>
        <v>131.31</v>
      </c>
      <c r="AO166" s="192"/>
      <c r="AP166" s="163">
        <v>1.034</v>
      </c>
      <c r="AQ166" s="244">
        <v>-0.14410000000000001</v>
      </c>
      <c r="AR166" s="366">
        <f t="shared" si="108"/>
        <v>0.23399999999999999</v>
      </c>
      <c r="AT166" s="241">
        <f t="shared" si="109"/>
        <v>-0.23709999999999998</v>
      </c>
    </row>
    <row r="167" spans="1:46" x14ac:dyDescent="0.25">
      <c r="A167" s="361" t="s">
        <v>481</v>
      </c>
      <c r="B167" s="361" t="s">
        <v>189</v>
      </c>
      <c r="C167" s="362" t="s">
        <v>43</v>
      </c>
      <c r="D167" s="359" t="s">
        <v>190</v>
      </c>
      <c r="E167" s="373" t="s">
        <v>168</v>
      </c>
      <c r="F167" s="359">
        <f>VLOOKUP(E167,'условия, ФОТ'!$A$14:$I$28,9, FALSE)</f>
        <v>282.83999999999997</v>
      </c>
      <c r="G167" s="364">
        <v>0.28999999999999998</v>
      </c>
      <c r="H167" s="359">
        <f t="shared" si="114"/>
        <v>82.02</v>
      </c>
      <c r="I167" s="359">
        <f t="shared" si="111"/>
        <v>24.77</v>
      </c>
      <c r="J167" s="359">
        <f t="shared" si="112"/>
        <v>106.78999999999999</v>
      </c>
      <c r="K167" s="363"/>
      <c r="L167" s="359"/>
      <c r="M167" s="359"/>
      <c r="N167" s="359"/>
      <c r="O167" s="359"/>
      <c r="P167" s="359">
        <f t="shared" si="117"/>
        <v>106.78999999999999</v>
      </c>
      <c r="Q167" s="359">
        <f t="shared" si="16"/>
        <v>82.76</v>
      </c>
      <c r="R167" s="369">
        <f t="shared" ref="R167:R185" si="123">ROUND(T167/1.2,2)</f>
        <v>117.5</v>
      </c>
      <c r="S167" s="369">
        <f>ROUND(R167*$S$5,2)</f>
        <v>23.5</v>
      </c>
      <c r="T167" s="369">
        <f t="shared" si="119"/>
        <v>141</v>
      </c>
      <c r="U167" s="121">
        <v>108</v>
      </c>
      <c r="V167" s="127">
        <f t="shared" si="62"/>
        <v>30.555555555555571</v>
      </c>
      <c r="W167" s="377">
        <v>111</v>
      </c>
      <c r="X167" s="367">
        <f t="shared" si="104"/>
        <v>27.027027027027017</v>
      </c>
      <c r="Y167" s="117">
        <v>111</v>
      </c>
      <c r="Z167" s="368">
        <v>1.268</v>
      </c>
      <c r="AA167" s="152">
        <f t="shared" si="120"/>
        <v>140.75</v>
      </c>
      <c r="AB167" s="157">
        <f t="shared" si="121"/>
        <v>227.46</v>
      </c>
      <c r="AC167" s="170">
        <f t="shared" si="122"/>
        <v>-0.38119999999999998</v>
      </c>
      <c r="AD167" s="366">
        <f t="shared" si="105"/>
        <v>-86.707751999999999</v>
      </c>
      <c r="AF167">
        <v>114.774</v>
      </c>
      <c r="AG167" s="379">
        <v>115</v>
      </c>
      <c r="AH167" s="358">
        <f t="shared" si="106"/>
        <v>26</v>
      </c>
      <c r="AJ167" s="379">
        <v>-0.14410000000000001</v>
      </c>
      <c r="AK167" s="366">
        <f t="shared" si="107"/>
        <v>1.1440999999999999</v>
      </c>
      <c r="AL167" s="366">
        <v>1.1830000000000001</v>
      </c>
      <c r="AN167" s="152">
        <f t="shared" si="115"/>
        <v>131.31</v>
      </c>
      <c r="AP167" s="379">
        <v>1.034</v>
      </c>
      <c r="AQ167" s="243">
        <v>-0.14410000000000001</v>
      </c>
      <c r="AR167" s="366">
        <f t="shared" si="108"/>
        <v>0.23399999999999999</v>
      </c>
      <c r="AT167" s="241">
        <f t="shared" si="109"/>
        <v>-0.23709999999999998</v>
      </c>
    </row>
    <row r="168" spans="1:46" x14ac:dyDescent="0.25">
      <c r="A168" s="361" t="s">
        <v>482</v>
      </c>
      <c r="B168" s="361" t="s">
        <v>191</v>
      </c>
      <c r="C168" s="362" t="s">
        <v>44</v>
      </c>
      <c r="D168" s="359" t="s">
        <v>190</v>
      </c>
      <c r="E168" s="373" t="s">
        <v>168</v>
      </c>
      <c r="F168" s="359">
        <f>VLOOKUP(E168,'условия, ФОТ'!$A$14:$I$28,9, FALSE)</f>
        <v>282.83999999999997</v>
      </c>
      <c r="G168" s="364">
        <v>0.36</v>
      </c>
      <c r="H168" s="359">
        <f t="shared" si="114"/>
        <v>101.82</v>
      </c>
      <c r="I168" s="359">
        <f t="shared" si="111"/>
        <v>30.75</v>
      </c>
      <c r="J168" s="359">
        <f t="shared" si="112"/>
        <v>132.57</v>
      </c>
      <c r="K168" s="363"/>
      <c r="L168" s="359"/>
      <c r="M168" s="359"/>
      <c r="N168" s="359"/>
      <c r="O168" s="359"/>
      <c r="P168" s="359">
        <f t="shared" si="117"/>
        <v>132.57</v>
      </c>
      <c r="Q168" s="359">
        <f t="shared" si="16"/>
        <v>102.74</v>
      </c>
      <c r="R168" s="369">
        <f t="shared" si="123"/>
        <v>145.83000000000001</v>
      </c>
      <c r="S168" s="369">
        <f>ROUND(R168*$S$5,2)</f>
        <v>29.17</v>
      </c>
      <c r="T168" s="369">
        <f t="shared" si="119"/>
        <v>175</v>
      </c>
      <c r="U168" s="121">
        <v>134</v>
      </c>
      <c r="V168" s="127">
        <f t="shared" si="62"/>
        <v>30.597014925373145</v>
      </c>
      <c r="W168" s="377">
        <v>138</v>
      </c>
      <c r="X168" s="367">
        <f t="shared" si="104"/>
        <v>26.811594202898561</v>
      </c>
      <c r="Y168" s="117">
        <v>138</v>
      </c>
      <c r="Z168" s="368">
        <v>1.266</v>
      </c>
      <c r="AA168" s="152">
        <f t="shared" si="120"/>
        <v>174.71</v>
      </c>
      <c r="AB168" s="157">
        <f t="shared" si="121"/>
        <v>282.37</v>
      </c>
      <c r="AC168" s="170">
        <f t="shared" si="122"/>
        <v>-0.38129999999999997</v>
      </c>
      <c r="AD168" s="366">
        <f t="shared" si="105"/>
        <v>-107.66768099999999</v>
      </c>
      <c r="AF168">
        <v>142.69200000000001</v>
      </c>
      <c r="AG168" s="379">
        <v>143</v>
      </c>
      <c r="AH168" s="358">
        <f t="shared" si="106"/>
        <v>32</v>
      </c>
      <c r="AJ168" s="379">
        <v>-0.1426</v>
      </c>
      <c r="AK168" s="366">
        <f t="shared" si="107"/>
        <v>1.1426000000000001</v>
      </c>
      <c r="AL168" s="366">
        <v>1.181</v>
      </c>
      <c r="AN168" s="152">
        <f t="shared" si="115"/>
        <v>162.97999999999999</v>
      </c>
      <c r="AP168" s="379">
        <v>1.034</v>
      </c>
      <c r="AQ168" s="243">
        <v>-0.1426</v>
      </c>
      <c r="AR168" s="366">
        <f t="shared" si="108"/>
        <v>0.23199999999999998</v>
      </c>
      <c r="AT168" s="241">
        <f t="shared" si="109"/>
        <v>-0.23869999999999997</v>
      </c>
    </row>
    <row r="169" spans="1:46" x14ac:dyDescent="0.25">
      <c r="A169" s="361" t="s">
        <v>483</v>
      </c>
      <c r="B169" s="361" t="s">
        <v>192</v>
      </c>
      <c r="C169" s="362" t="s">
        <v>45</v>
      </c>
      <c r="D169" s="359" t="s">
        <v>193</v>
      </c>
      <c r="E169" s="373" t="s">
        <v>168</v>
      </c>
      <c r="F169" s="359">
        <f>VLOOKUP(E169,'условия, ФОТ'!$A$14:$I$28,9, FALSE)</f>
        <v>282.83999999999997</v>
      </c>
      <c r="G169" s="364">
        <v>0.15</v>
      </c>
      <c r="H169" s="359">
        <f t="shared" si="114"/>
        <v>42.43</v>
      </c>
      <c r="I169" s="359">
        <f t="shared" si="111"/>
        <v>12.81</v>
      </c>
      <c r="J169" s="359">
        <f t="shared" si="112"/>
        <v>55.24</v>
      </c>
      <c r="K169" s="363"/>
      <c r="L169" s="359"/>
      <c r="M169" s="359"/>
      <c r="N169" s="359"/>
      <c r="O169" s="359"/>
      <c r="P169" s="359">
        <f t="shared" si="117"/>
        <v>55.24</v>
      </c>
      <c r="Q169" s="359">
        <f t="shared" si="16"/>
        <v>42.81</v>
      </c>
      <c r="R169" s="369">
        <f t="shared" si="123"/>
        <v>60.83</v>
      </c>
      <c r="S169" s="369">
        <f t="shared" si="17"/>
        <v>12.17</v>
      </c>
      <c r="T169" s="369">
        <f t="shared" si="119"/>
        <v>73</v>
      </c>
      <c r="U169" s="121">
        <v>56</v>
      </c>
      <c r="V169" s="127">
        <f t="shared" si="62"/>
        <v>30.357142857142861</v>
      </c>
      <c r="W169" s="377">
        <v>58</v>
      </c>
      <c r="X169" s="367">
        <f t="shared" si="104"/>
        <v>25.862068965517238</v>
      </c>
      <c r="Y169" s="117">
        <v>58</v>
      </c>
      <c r="Z169" s="368">
        <v>1.2549999999999999</v>
      </c>
      <c r="AA169" s="152">
        <f t="shared" si="120"/>
        <v>72.790000000000006</v>
      </c>
      <c r="AB169" s="157">
        <f t="shared" si="121"/>
        <v>117.66</v>
      </c>
      <c r="AC169" s="170">
        <f t="shared" si="122"/>
        <v>-0.38140000000000002</v>
      </c>
      <c r="AD169" s="366">
        <f t="shared" si="105"/>
        <v>-44.875523999999999</v>
      </c>
      <c r="AF169">
        <v>59.972000000000001</v>
      </c>
      <c r="AG169" s="379">
        <v>60</v>
      </c>
      <c r="AH169" s="358">
        <f t="shared" si="106"/>
        <v>13</v>
      </c>
      <c r="AJ169" s="379">
        <v>-0.1351</v>
      </c>
      <c r="AK169" s="366">
        <f t="shared" si="107"/>
        <v>1.1351</v>
      </c>
      <c r="AL169" s="366">
        <v>1.1739999999999999</v>
      </c>
      <c r="AN169" s="152">
        <f t="shared" si="115"/>
        <v>68.09</v>
      </c>
      <c r="AP169" s="379">
        <v>1.034</v>
      </c>
      <c r="AQ169" s="243">
        <v>-0.1351</v>
      </c>
      <c r="AR169" s="366">
        <f t="shared" si="108"/>
        <v>0.22099999999999986</v>
      </c>
      <c r="AT169" s="241">
        <f t="shared" si="109"/>
        <v>-0.24630000000000002</v>
      </c>
    </row>
    <row r="170" spans="1:46" x14ac:dyDescent="0.25">
      <c r="A170" s="361" t="s">
        <v>484</v>
      </c>
      <c r="B170" s="361" t="s">
        <v>194</v>
      </c>
      <c r="C170" s="362" t="s">
        <v>46</v>
      </c>
      <c r="D170" s="359" t="s">
        <v>195</v>
      </c>
      <c r="E170" s="373" t="s">
        <v>168</v>
      </c>
      <c r="F170" s="359">
        <f>VLOOKUP(E170,'условия, ФОТ'!$A$14:$I$28,9, FALSE)</f>
        <v>282.83999999999997</v>
      </c>
      <c r="G170" s="364">
        <v>0.2</v>
      </c>
      <c r="H170" s="359">
        <f t="shared" si="114"/>
        <v>56.57</v>
      </c>
      <c r="I170" s="359">
        <f t="shared" si="111"/>
        <v>17.079999999999998</v>
      </c>
      <c r="J170" s="359">
        <f t="shared" si="112"/>
        <v>73.650000000000006</v>
      </c>
      <c r="K170" s="363"/>
      <c r="L170" s="359"/>
      <c r="M170" s="359"/>
      <c r="N170" s="359"/>
      <c r="O170" s="359"/>
      <c r="P170" s="359">
        <f t="shared" si="117"/>
        <v>73.650000000000006</v>
      </c>
      <c r="Q170" s="359">
        <f t="shared" si="16"/>
        <v>57.08</v>
      </c>
      <c r="R170" s="369">
        <f t="shared" si="123"/>
        <v>80.83</v>
      </c>
      <c r="S170" s="369">
        <f>ROUND(R170*$S$5,2)</f>
        <v>16.170000000000002</v>
      </c>
      <c r="T170" s="369">
        <f t="shared" si="119"/>
        <v>97</v>
      </c>
      <c r="U170" s="121">
        <v>74</v>
      </c>
      <c r="V170" s="127">
        <f t="shared" si="62"/>
        <v>31.081081081081066</v>
      </c>
      <c r="W170" s="377">
        <v>77</v>
      </c>
      <c r="X170" s="367">
        <f t="shared" si="104"/>
        <v>25.974025974025977</v>
      </c>
      <c r="Y170" s="117">
        <v>77</v>
      </c>
      <c r="Z170" s="368">
        <v>1.2609999999999999</v>
      </c>
      <c r="AA170" s="152">
        <f t="shared" si="120"/>
        <v>97.1</v>
      </c>
      <c r="AB170" s="157">
        <f t="shared" si="121"/>
        <v>156.88</v>
      </c>
      <c r="AC170" s="170">
        <f t="shared" si="122"/>
        <v>-0.38109999999999999</v>
      </c>
      <c r="AD170" s="366">
        <f t="shared" si="105"/>
        <v>-59.786967999999995</v>
      </c>
      <c r="AF170">
        <v>79.618000000000009</v>
      </c>
      <c r="AG170" s="379">
        <v>80</v>
      </c>
      <c r="AH170" s="358">
        <f t="shared" si="106"/>
        <v>17</v>
      </c>
      <c r="AJ170" s="379">
        <v>-0.1391</v>
      </c>
      <c r="AK170" s="366">
        <f t="shared" si="107"/>
        <v>1.1391</v>
      </c>
      <c r="AL170" s="366">
        <v>1.1779999999999999</v>
      </c>
      <c r="AN170" s="152">
        <f t="shared" si="115"/>
        <v>90.71</v>
      </c>
      <c r="AP170" s="379">
        <v>1.034</v>
      </c>
      <c r="AQ170" s="243">
        <v>-0.1391</v>
      </c>
      <c r="AR170" s="366">
        <f t="shared" si="108"/>
        <v>0.22699999999999987</v>
      </c>
      <c r="AT170" s="241">
        <f t="shared" si="109"/>
        <v>-0.24199999999999999</v>
      </c>
    </row>
    <row r="171" spans="1:46" ht="25.5" x14ac:dyDescent="0.25">
      <c r="A171" s="361" t="s">
        <v>485</v>
      </c>
      <c r="B171" s="361" t="s">
        <v>196</v>
      </c>
      <c r="C171" s="362" t="s">
        <v>47</v>
      </c>
      <c r="D171" s="359" t="s">
        <v>197</v>
      </c>
      <c r="E171" s="373" t="s">
        <v>168</v>
      </c>
      <c r="F171" s="359">
        <f>VLOOKUP(E171,'условия, ФОТ'!$A$14:$I$28,9, FALSE)</f>
        <v>282.83999999999997</v>
      </c>
      <c r="G171" s="364">
        <v>0.25</v>
      </c>
      <c r="H171" s="359">
        <f t="shared" si="114"/>
        <v>70.709999999999994</v>
      </c>
      <c r="I171" s="359">
        <f t="shared" si="111"/>
        <v>21.35</v>
      </c>
      <c r="J171" s="359">
        <f t="shared" si="112"/>
        <v>92.06</v>
      </c>
      <c r="K171" s="363"/>
      <c r="L171" s="359"/>
      <c r="M171" s="359"/>
      <c r="N171" s="359"/>
      <c r="O171" s="359"/>
      <c r="P171" s="359">
        <f t="shared" si="117"/>
        <v>92.06</v>
      </c>
      <c r="Q171" s="359">
        <f t="shared" si="16"/>
        <v>71.349999999999994</v>
      </c>
      <c r="R171" s="369">
        <f t="shared" si="123"/>
        <v>100.83</v>
      </c>
      <c r="S171" s="369">
        <f t="shared" si="17"/>
        <v>20.170000000000002</v>
      </c>
      <c r="T171" s="369">
        <f t="shared" si="119"/>
        <v>121</v>
      </c>
      <c r="U171" s="121">
        <v>93</v>
      </c>
      <c r="V171" s="127">
        <f t="shared" si="62"/>
        <v>30.107526881720418</v>
      </c>
      <c r="W171" s="377">
        <v>96</v>
      </c>
      <c r="X171" s="367">
        <f t="shared" si="104"/>
        <v>26.041666666666671</v>
      </c>
      <c r="Y171" s="117">
        <v>96</v>
      </c>
      <c r="Z171" s="368">
        <v>1.264</v>
      </c>
      <c r="AA171" s="152">
        <f t="shared" si="120"/>
        <v>121.34</v>
      </c>
      <c r="AB171" s="157">
        <f t="shared" si="121"/>
        <v>196.09</v>
      </c>
      <c r="AC171" s="170">
        <f t="shared" si="122"/>
        <v>-0.38119999999999998</v>
      </c>
      <c r="AD171" s="366">
        <f t="shared" si="105"/>
        <v>-74.749507999999992</v>
      </c>
      <c r="AF171">
        <v>99.26400000000001</v>
      </c>
      <c r="AG171" s="379">
        <v>99</v>
      </c>
      <c r="AH171" s="358">
        <f t="shared" si="106"/>
        <v>22</v>
      </c>
      <c r="AJ171" s="379">
        <v>-0.14130000000000001</v>
      </c>
      <c r="AK171" s="366">
        <f t="shared" si="107"/>
        <v>1.1413</v>
      </c>
      <c r="AL171" s="366">
        <v>1.18</v>
      </c>
      <c r="AN171" s="152">
        <f t="shared" si="115"/>
        <v>113.28</v>
      </c>
      <c r="AP171" s="379">
        <v>1.034</v>
      </c>
      <c r="AQ171" s="243">
        <v>-0.14130000000000001</v>
      </c>
      <c r="AR171" s="366">
        <f t="shared" si="108"/>
        <v>0.22999999999999998</v>
      </c>
      <c r="AT171" s="241">
        <f t="shared" si="109"/>
        <v>-0.23989999999999997</v>
      </c>
    </row>
    <row r="172" spans="1:46" ht="29.25" customHeight="1" x14ac:dyDescent="0.25">
      <c r="A172" s="361" t="s">
        <v>486</v>
      </c>
      <c r="B172" s="361" t="s">
        <v>198</v>
      </c>
      <c r="C172" s="362" t="s">
        <v>48</v>
      </c>
      <c r="D172" s="359" t="s">
        <v>199</v>
      </c>
      <c r="E172" s="373" t="s">
        <v>168</v>
      </c>
      <c r="F172" s="359">
        <f>VLOOKUP(E172,'условия, ФОТ'!$A$14:$I$28,9, FALSE)</f>
        <v>282.83999999999997</v>
      </c>
      <c r="G172" s="364">
        <v>0.15</v>
      </c>
      <c r="H172" s="359">
        <f t="shared" si="114"/>
        <v>42.43</v>
      </c>
      <c r="I172" s="359">
        <f t="shared" si="111"/>
        <v>12.81</v>
      </c>
      <c r="J172" s="359">
        <f t="shared" si="112"/>
        <v>55.24</v>
      </c>
      <c r="K172" s="363"/>
      <c r="L172" s="359"/>
      <c r="M172" s="359"/>
      <c r="N172" s="359"/>
      <c r="O172" s="359"/>
      <c r="P172" s="359">
        <f t="shared" si="117"/>
        <v>55.24</v>
      </c>
      <c r="Q172" s="359">
        <f t="shared" si="16"/>
        <v>42.81</v>
      </c>
      <c r="R172" s="369">
        <f t="shared" si="123"/>
        <v>60.83</v>
      </c>
      <c r="S172" s="369">
        <f t="shared" si="17"/>
        <v>12.17</v>
      </c>
      <c r="T172" s="369">
        <f t="shared" si="119"/>
        <v>73</v>
      </c>
      <c r="U172" s="121">
        <v>56</v>
      </c>
      <c r="V172" s="127">
        <f t="shared" si="62"/>
        <v>30.357142857142861</v>
      </c>
      <c r="W172" s="377">
        <v>58</v>
      </c>
      <c r="X172" s="367">
        <f t="shared" si="104"/>
        <v>25.862068965517238</v>
      </c>
      <c r="Y172" s="117">
        <v>58</v>
      </c>
      <c r="Z172" s="368">
        <v>1.2549999999999999</v>
      </c>
      <c r="AA172" s="152">
        <f t="shared" si="120"/>
        <v>72.790000000000006</v>
      </c>
      <c r="AB172" s="157">
        <f t="shared" si="121"/>
        <v>117.66</v>
      </c>
      <c r="AC172" s="170">
        <f t="shared" si="122"/>
        <v>-0.38140000000000002</v>
      </c>
      <c r="AD172" s="366">
        <f t="shared" si="105"/>
        <v>-44.875523999999999</v>
      </c>
      <c r="AF172">
        <v>59.972000000000001</v>
      </c>
      <c r="AG172" s="379">
        <v>60</v>
      </c>
      <c r="AH172" s="358">
        <f t="shared" si="106"/>
        <v>13</v>
      </c>
      <c r="AJ172" s="379">
        <v>-0.1351</v>
      </c>
      <c r="AK172" s="366">
        <f t="shared" si="107"/>
        <v>1.1351</v>
      </c>
      <c r="AL172" s="366">
        <v>1.1739999999999999</v>
      </c>
      <c r="AN172" s="152">
        <f t="shared" si="115"/>
        <v>68.09</v>
      </c>
      <c r="AP172" s="379">
        <v>1.034</v>
      </c>
      <c r="AQ172" s="243">
        <v>-0.1351</v>
      </c>
      <c r="AR172" s="366">
        <f t="shared" si="108"/>
        <v>0.22099999999999986</v>
      </c>
      <c r="AT172" s="241">
        <f t="shared" si="109"/>
        <v>-0.24630000000000002</v>
      </c>
    </row>
    <row r="173" spans="1:46" ht="32.25" customHeight="1" x14ac:dyDescent="0.25">
      <c r="A173" s="361" t="s">
        <v>487</v>
      </c>
      <c r="B173" s="361" t="s">
        <v>200</v>
      </c>
      <c r="C173" s="362" t="s">
        <v>49</v>
      </c>
      <c r="D173" s="359" t="s">
        <v>201</v>
      </c>
      <c r="E173" s="373" t="s">
        <v>168</v>
      </c>
      <c r="F173" s="359">
        <f>VLOOKUP(E173,'условия, ФОТ'!$A$14:$I$28,9, FALSE)</f>
        <v>282.83999999999997</v>
      </c>
      <c r="G173" s="364">
        <v>1.24</v>
      </c>
      <c r="H173" s="359">
        <f t="shared" si="114"/>
        <v>350.72</v>
      </c>
      <c r="I173" s="359">
        <f t="shared" si="111"/>
        <v>105.92</v>
      </c>
      <c r="J173" s="359">
        <f t="shared" si="112"/>
        <v>456.64000000000004</v>
      </c>
      <c r="K173" s="363"/>
      <c r="L173" s="359"/>
      <c r="M173" s="359"/>
      <c r="N173" s="359"/>
      <c r="O173" s="359"/>
      <c r="P173" s="359">
        <f t="shared" si="117"/>
        <v>456.64000000000004</v>
      </c>
      <c r="Q173" s="359">
        <f t="shared" si="16"/>
        <v>353.9</v>
      </c>
      <c r="R173" s="369">
        <f t="shared" si="123"/>
        <v>501.67</v>
      </c>
      <c r="S173" s="369">
        <f t="shared" si="17"/>
        <v>100.33</v>
      </c>
      <c r="T173" s="369">
        <f t="shared" si="119"/>
        <v>602</v>
      </c>
      <c r="U173" s="121">
        <v>461</v>
      </c>
      <c r="V173" s="127">
        <f t="shared" si="62"/>
        <v>30.585683297180026</v>
      </c>
      <c r="W173" s="377">
        <v>475</v>
      </c>
      <c r="X173" s="367">
        <f t="shared" si="104"/>
        <v>26.73684210526315</v>
      </c>
      <c r="Y173" s="117">
        <v>475</v>
      </c>
      <c r="Z173" s="368">
        <v>1.2669999999999999</v>
      </c>
      <c r="AA173" s="152">
        <f t="shared" si="120"/>
        <v>601.83000000000004</v>
      </c>
      <c r="AB173" s="157">
        <f t="shared" si="121"/>
        <v>972.65</v>
      </c>
      <c r="AC173" s="170">
        <f t="shared" si="122"/>
        <v>-0.38119999999999998</v>
      </c>
      <c r="AD173" s="366">
        <f t="shared" si="105"/>
        <v>-370.77418</v>
      </c>
      <c r="AF173">
        <v>491.15000000000003</v>
      </c>
      <c r="AG173" s="379">
        <v>491</v>
      </c>
      <c r="AH173" s="358">
        <f t="shared" si="106"/>
        <v>111</v>
      </c>
      <c r="AJ173" s="379">
        <v>-0.14330000000000001</v>
      </c>
      <c r="AK173" s="366">
        <f t="shared" si="107"/>
        <v>1.1433</v>
      </c>
      <c r="AL173" s="366">
        <v>1.1819999999999999</v>
      </c>
      <c r="AN173" s="152">
        <f t="shared" si="115"/>
        <v>561.45000000000005</v>
      </c>
      <c r="AP173" s="379">
        <v>1.034</v>
      </c>
      <c r="AQ173" s="243">
        <v>-0.14330000000000001</v>
      </c>
      <c r="AR173" s="366">
        <f t="shared" si="108"/>
        <v>0.23299999999999987</v>
      </c>
      <c r="AT173" s="241">
        <f t="shared" si="109"/>
        <v>-0.23789999999999997</v>
      </c>
    </row>
    <row r="174" spans="1:46" ht="30.75" customHeight="1" x14ac:dyDescent="0.25">
      <c r="A174" s="361" t="s">
        <v>488</v>
      </c>
      <c r="B174" s="361" t="s">
        <v>202</v>
      </c>
      <c r="C174" s="362" t="s">
        <v>50</v>
      </c>
      <c r="D174" s="359" t="s">
        <v>203</v>
      </c>
      <c r="E174" s="373" t="s">
        <v>168</v>
      </c>
      <c r="F174" s="359">
        <f>VLOOKUP(E174,'условия, ФОТ'!$A$14:$I$28,9, FALSE)</f>
        <v>282.83999999999997</v>
      </c>
      <c r="G174" s="364">
        <v>0.81</v>
      </c>
      <c r="H174" s="359">
        <f t="shared" si="114"/>
        <v>229.1</v>
      </c>
      <c r="I174" s="359">
        <f t="shared" si="111"/>
        <v>69.19</v>
      </c>
      <c r="J174" s="359">
        <f t="shared" si="112"/>
        <v>298.28999999999996</v>
      </c>
      <c r="K174" s="363"/>
      <c r="L174" s="359"/>
      <c r="M174" s="359"/>
      <c r="N174" s="359"/>
      <c r="O174" s="359"/>
      <c r="P174" s="359">
        <f t="shared" si="117"/>
        <v>298.28999999999996</v>
      </c>
      <c r="Q174" s="359">
        <f t="shared" si="16"/>
        <v>231.17</v>
      </c>
      <c r="R174" s="369">
        <f t="shared" si="123"/>
        <v>327.5</v>
      </c>
      <c r="S174" s="369">
        <f>ROUND(R174*$S$5,2)</f>
        <v>65.5</v>
      </c>
      <c r="T174" s="369">
        <f t="shared" si="119"/>
        <v>393</v>
      </c>
      <c r="U174" s="121">
        <v>301</v>
      </c>
      <c r="V174" s="127">
        <f t="shared" si="62"/>
        <v>30.56478405315616</v>
      </c>
      <c r="W174" s="377">
        <v>311</v>
      </c>
      <c r="X174" s="367">
        <f t="shared" si="104"/>
        <v>26.366559485530544</v>
      </c>
      <c r="Y174" s="117">
        <v>311</v>
      </c>
      <c r="Z174" s="368">
        <v>1.264</v>
      </c>
      <c r="AA174" s="152">
        <f t="shared" si="120"/>
        <v>393.1</v>
      </c>
      <c r="AB174" s="157">
        <f t="shared" si="121"/>
        <v>635.35</v>
      </c>
      <c r="AC174" s="170">
        <f t="shared" si="122"/>
        <v>-0.38129999999999997</v>
      </c>
      <c r="AD174" s="366">
        <f t="shared" si="105"/>
        <v>-242.25895499999999</v>
      </c>
      <c r="AF174">
        <v>321.57400000000001</v>
      </c>
      <c r="AG174" s="379">
        <v>322</v>
      </c>
      <c r="AH174" s="358">
        <f t="shared" si="106"/>
        <v>71</v>
      </c>
      <c r="AJ174" s="379">
        <v>-0.1414</v>
      </c>
      <c r="AK174" s="366">
        <f t="shared" si="107"/>
        <v>1.1414</v>
      </c>
      <c r="AL174" s="366">
        <v>1.18</v>
      </c>
      <c r="AN174" s="152">
        <f t="shared" si="115"/>
        <v>366.98</v>
      </c>
      <c r="AP174" s="379">
        <v>1.034</v>
      </c>
      <c r="AQ174" s="243">
        <v>-0.1414</v>
      </c>
      <c r="AR174" s="366">
        <f t="shared" si="108"/>
        <v>0.22999999999999998</v>
      </c>
      <c r="AT174" s="241">
        <f t="shared" si="109"/>
        <v>-0.23989999999999997</v>
      </c>
    </row>
    <row r="175" spans="1:46" x14ac:dyDescent="0.25">
      <c r="A175" s="361" t="s">
        <v>489</v>
      </c>
      <c r="B175" s="361" t="s">
        <v>204</v>
      </c>
      <c r="C175" s="362" t="s">
        <v>51</v>
      </c>
      <c r="D175" s="359" t="s">
        <v>205</v>
      </c>
      <c r="E175" s="373" t="s">
        <v>168</v>
      </c>
      <c r="F175" s="359">
        <f>VLOOKUP(E175,'условия, ФОТ'!$A$14:$I$28,9, FALSE)</f>
        <v>282.83999999999997</v>
      </c>
      <c r="G175" s="364">
        <v>0.69</v>
      </c>
      <c r="H175" s="359">
        <f t="shared" si="114"/>
        <v>195.16</v>
      </c>
      <c r="I175" s="359">
        <f t="shared" si="111"/>
        <v>58.94</v>
      </c>
      <c r="J175" s="359">
        <f t="shared" si="112"/>
        <v>254.1</v>
      </c>
      <c r="K175" s="363"/>
      <c r="L175" s="359"/>
      <c r="M175" s="359"/>
      <c r="N175" s="359"/>
      <c r="O175" s="359"/>
      <c r="P175" s="359">
        <f t="shared" si="117"/>
        <v>254.1</v>
      </c>
      <c r="Q175" s="359">
        <f t="shared" si="16"/>
        <v>196.93</v>
      </c>
      <c r="R175" s="369">
        <f t="shared" si="123"/>
        <v>279.17</v>
      </c>
      <c r="S175" s="369">
        <f t="shared" si="17"/>
        <v>55.83</v>
      </c>
      <c r="T175" s="369">
        <f t="shared" si="119"/>
        <v>335</v>
      </c>
      <c r="U175" s="121">
        <v>256</v>
      </c>
      <c r="V175" s="127">
        <f t="shared" si="62"/>
        <v>30.859375</v>
      </c>
      <c r="W175" s="377">
        <v>265</v>
      </c>
      <c r="X175" s="367">
        <f t="shared" si="104"/>
        <v>26.415094339622641</v>
      </c>
      <c r="Y175" s="117">
        <v>265</v>
      </c>
      <c r="Z175" s="368">
        <v>1.264</v>
      </c>
      <c r="AA175" s="152">
        <f t="shared" si="120"/>
        <v>334.96</v>
      </c>
      <c r="AB175" s="157">
        <f t="shared" si="121"/>
        <v>541.24</v>
      </c>
      <c r="AC175" s="170">
        <f t="shared" si="122"/>
        <v>-0.38109999999999999</v>
      </c>
      <c r="AD175" s="366">
        <f t="shared" si="105"/>
        <v>-206.26656399999999</v>
      </c>
      <c r="AF175">
        <v>274.01</v>
      </c>
      <c r="AG175" s="379">
        <v>274</v>
      </c>
      <c r="AH175" s="358">
        <f t="shared" si="106"/>
        <v>61</v>
      </c>
      <c r="AJ175" s="379">
        <v>-0.1411</v>
      </c>
      <c r="AK175" s="366">
        <f t="shared" si="107"/>
        <v>1.1411</v>
      </c>
      <c r="AL175" s="366">
        <v>1.18</v>
      </c>
      <c r="AN175" s="152">
        <f t="shared" si="115"/>
        <v>312.7</v>
      </c>
      <c r="AP175" s="379">
        <v>1.034</v>
      </c>
      <c r="AQ175" s="243">
        <v>-0.1411</v>
      </c>
      <c r="AR175" s="366">
        <f t="shared" si="108"/>
        <v>0.22999999999999998</v>
      </c>
      <c r="AT175" s="241">
        <f t="shared" si="109"/>
        <v>-0.24</v>
      </c>
    </row>
    <row r="176" spans="1:46" x14ac:dyDescent="0.25">
      <c r="A176" s="361" t="s">
        <v>490</v>
      </c>
      <c r="B176" s="361" t="s">
        <v>206</v>
      </c>
      <c r="C176" s="362" t="s">
        <v>52</v>
      </c>
      <c r="D176" s="359" t="s">
        <v>207</v>
      </c>
      <c r="E176" s="373" t="s">
        <v>168</v>
      </c>
      <c r="F176" s="359">
        <f>VLOOKUP(E176,'условия, ФОТ'!$A$14:$I$28,9, FALSE)</f>
        <v>282.83999999999997</v>
      </c>
      <c r="G176" s="364">
        <v>0.43</v>
      </c>
      <c r="H176" s="359">
        <f t="shared" si="114"/>
        <v>121.62</v>
      </c>
      <c r="I176" s="359">
        <f t="shared" si="111"/>
        <v>36.729999999999997</v>
      </c>
      <c r="J176" s="359">
        <f t="shared" si="112"/>
        <v>158.35</v>
      </c>
      <c r="K176" s="363"/>
      <c r="L176" s="359"/>
      <c r="M176" s="359"/>
      <c r="N176" s="359"/>
      <c r="O176" s="359"/>
      <c r="P176" s="359">
        <f t="shared" si="117"/>
        <v>158.35</v>
      </c>
      <c r="Q176" s="359">
        <f t="shared" si="16"/>
        <v>122.72</v>
      </c>
      <c r="R176" s="369">
        <f t="shared" si="123"/>
        <v>174.17</v>
      </c>
      <c r="S176" s="369">
        <f t="shared" si="17"/>
        <v>34.83</v>
      </c>
      <c r="T176" s="369">
        <f t="shared" si="119"/>
        <v>209</v>
      </c>
      <c r="U176" s="121">
        <v>160</v>
      </c>
      <c r="V176" s="127">
        <f t="shared" si="62"/>
        <v>30.625</v>
      </c>
      <c r="W176" s="377">
        <v>165</v>
      </c>
      <c r="X176" s="367">
        <f t="shared" si="104"/>
        <v>26.666666666666657</v>
      </c>
      <c r="Y176" s="117">
        <v>165</v>
      </c>
      <c r="Z176" s="368">
        <v>1.2649999999999999</v>
      </c>
      <c r="AA176" s="152">
        <f t="shared" si="120"/>
        <v>208.73</v>
      </c>
      <c r="AB176" s="157">
        <f t="shared" si="121"/>
        <v>337.28</v>
      </c>
      <c r="AC176" s="170">
        <f t="shared" si="122"/>
        <v>-0.38109999999999999</v>
      </c>
      <c r="AD176" s="366">
        <f t="shared" si="105"/>
        <v>-128.537408</v>
      </c>
      <c r="AF176">
        <v>170.61</v>
      </c>
      <c r="AG176" s="379">
        <v>171</v>
      </c>
      <c r="AH176" s="358">
        <f t="shared" si="106"/>
        <v>38</v>
      </c>
      <c r="AJ176" s="379">
        <v>-0.1419</v>
      </c>
      <c r="AK176" s="366">
        <f t="shared" si="107"/>
        <v>1.1418999999999999</v>
      </c>
      <c r="AL176" s="366">
        <v>1.181</v>
      </c>
      <c r="AN176" s="152">
        <f t="shared" si="115"/>
        <v>194.87</v>
      </c>
      <c r="AP176" s="379">
        <v>1.034</v>
      </c>
      <c r="AQ176" s="243">
        <v>-0.1419</v>
      </c>
      <c r="AR176" s="366">
        <f t="shared" si="108"/>
        <v>0.23099999999999987</v>
      </c>
      <c r="AT176" s="241">
        <f t="shared" si="109"/>
        <v>-0.2392</v>
      </c>
    </row>
    <row r="177" spans="1:46" x14ac:dyDescent="0.25">
      <c r="A177" s="361" t="s">
        <v>491</v>
      </c>
      <c r="B177" s="361" t="s">
        <v>208</v>
      </c>
      <c r="C177" s="362" t="s">
        <v>53</v>
      </c>
      <c r="D177" s="359" t="s">
        <v>203</v>
      </c>
      <c r="E177" s="373" t="s">
        <v>168</v>
      </c>
      <c r="F177" s="359">
        <f>VLOOKUP(E177,'условия, ФОТ'!$A$14:$I$28,9, FALSE)</f>
        <v>282.83999999999997</v>
      </c>
      <c r="G177" s="364">
        <v>0.3</v>
      </c>
      <c r="H177" s="359">
        <f t="shared" si="114"/>
        <v>84.85</v>
      </c>
      <c r="I177" s="359">
        <f t="shared" si="111"/>
        <v>25.62</v>
      </c>
      <c r="J177" s="359">
        <f t="shared" si="112"/>
        <v>110.47</v>
      </c>
      <c r="K177" s="363"/>
      <c r="L177" s="359"/>
      <c r="M177" s="359"/>
      <c r="N177" s="359"/>
      <c r="O177" s="359"/>
      <c r="P177" s="359">
        <f t="shared" si="117"/>
        <v>110.47</v>
      </c>
      <c r="Q177" s="359">
        <f t="shared" si="16"/>
        <v>85.61</v>
      </c>
      <c r="R177" s="369">
        <f t="shared" si="123"/>
        <v>121.67</v>
      </c>
      <c r="S177" s="369">
        <f>ROUND(R177*$S$5,2)</f>
        <v>24.33</v>
      </c>
      <c r="T177" s="369">
        <f t="shared" si="119"/>
        <v>146</v>
      </c>
      <c r="U177" s="121">
        <v>111</v>
      </c>
      <c r="V177" s="127">
        <f t="shared" si="62"/>
        <v>31.531531531531556</v>
      </c>
      <c r="W177" s="377">
        <v>115</v>
      </c>
      <c r="X177" s="367">
        <f t="shared" si="104"/>
        <v>26.956521739130437</v>
      </c>
      <c r="Y177" s="117">
        <v>115</v>
      </c>
      <c r="Z177" s="368">
        <v>1.266</v>
      </c>
      <c r="AA177" s="152">
        <f t="shared" si="120"/>
        <v>145.59</v>
      </c>
      <c r="AB177" s="157">
        <f t="shared" si="121"/>
        <v>235.3</v>
      </c>
      <c r="AC177" s="170">
        <f t="shared" si="122"/>
        <v>-0.38129999999999997</v>
      </c>
      <c r="AD177" s="366">
        <f t="shared" si="105"/>
        <v>-89.719889999999992</v>
      </c>
      <c r="AF177">
        <v>118.91</v>
      </c>
      <c r="AG177" s="379">
        <v>119</v>
      </c>
      <c r="AH177" s="358">
        <f t="shared" si="106"/>
        <v>27</v>
      </c>
      <c r="AJ177" s="379">
        <v>-0.14269999999999999</v>
      </c>
      <c r="AK177" s="366">
        <f t="shared" si="107"/>
        <v>1.1427</v>
      </c>
      <c r="AL177" s="366">
        <v>1.1819999999999999</v>
      </c>
      <c r="AN177" s="152">
        <f t="shared" si="115"/>
        <v>135.93</v>
      </c>
      <c r="AP177" s="379">
        <v>1.034</v>
      </c>
      <c r="AQ177" s="243">
        <v>-0.14269999999999999</v>
      </c>
      <c r="AR177" s="366">
        <f t="shared" si="108"/>
        <v>0.23199999999999998</v>
      </c>
      <c r="AT177" s="241">
        <f t="shared" si="109"/>
        <v>-0.23859999999999998</v>
      </c>
    </row>
    <row r="178" spans="1:46" x14ac:dyDescent="0.25">
      <c r="A178" s="361" t="s">
        <v>492</v>
      </c>
      <c r="B178" s="361" t="s">
        <v>209</v>
      </c>
      <c r="C178" s="362" t="s">
        <v>54</v>
      </c>
      <c r="D178" s="359" t="s">
        <v>203</v>
      </c>
      <c r="E178" s="373" t="s">
        <v>168</v>
      </c>
      <c r="F178" s="359">
        <f>VLOOKUP(E178,'условия, ФОТ'!$A$14:$I$28,9, FALSE)</f>
        <v>282.83999999999997</v>
      </c>
      <c r="G178" s="364">
        <v>0.4</v>
      </c>
      <c r="H178" s="359">
        <f t="shared" si="114"/>
        <v>113.14</v>
      </c>
      <c r="I178" s="359">
        <f t="shared" si="111"/>
        <v>34.17</v>
      </c>
      <c r="J178" s="359">
        <f t="shared" si="112"/>
        <v>147.31</v>
      </c>
      <c r="K178" s="363"/>
      <c r="L178" s="359"/>
      <c r="M178" s="359"/>
      <c r="N178" s="359"/>
      <c r="O178" s="359"/>
      <c r="P178" s="359">
        <f t="shared" si="117"/>
        <v>147.31</v>
      </c>
      <c r="Q178" s="359">
        <f t="shared" si="16"/>
        <v>114.17</v>
      </c>
      <c r="R178" s="369">
        <f t="shared" si="123"/>
        <v>161.66999999999999</v>
      </c>
      <c r="S178" s="369">
        <f t="shared" si="17"/>
        <v>32.33</v>
      </c>
      <c r="T178" s="369">
        <f t="shared" si="119"/>
        <v>194</v>
      </c>
      <c r="U178" s="121">
        <v>149</v>
      </c>
      <c r="V178" s="127">
        <f t="shared" si="62"/>
        <v>30.201342281879192</v>
      </c>
      <c r="W178" s="377">
        <v>153</v>
      </c>
      <c r="X178" s="367">
        <f t="shared" si="104"/>
        <v>26.797385620915023</v>
      </c>
      <c r="Y178" s="117">
        <v>153</v>
      </c>
      <c r="Z178" s="368">
        <v>1.2689999999999999</v>
      </c>
      <c r="AA178" s="152">
        <f t="shared" si="120"/>
        <v>194.16</v>
      </c>
      <c r="AB178" s="157">
        <f t="shared" si="121"/>
        <v>313.77999999999997</v>
      </c>
      <c r="AC178" s="170">
        <f t="shared" si="122"/>
        <v>-0.38119999999999998</v>
      </c>
      <c r="AD178" s="366">
        <f t="shared" si="105"/>
        <v>-119.61293599999999</v>
      </c>
      <c r="AF178">
        <v>158.202</v>
      </c>
      <c r="AG178" s="379">
        <v>158</v>
      </c>
      <c r="AH178" s="358">
        <f t="shared" si="106"/>
        <v>36</v>
      </c>
      <c r="AJ178" s="379">
        <v>-0.1447</v>
      </c>
      <c r="AK178" s="366">
        <f t="shared" si="107"/>
        <v>1.1447000000000001</v>
      </c>
      <c r="AL178" s="366">
        <v>1.1839999999999999</v>
      </c>
      <c r="AN178" s="152">
        <f t="shared" si="115"/>
        <v>181.15</v>
      </c>
      <c r="AP178" s="379">
        <v>1.034</v>
      </c>
      <c r="AQ178" s="243">
        <v>-0.1447</v>
      </c>
      <c r="AR178" s="366">
        <f t="shared" si="108"/>
        <v>0.23499999999999988</v>
      </c>
      <c r="AT178" s="241">
        <f t="shared" si="109"/>
        <v>-0.23649999999999999</v>
      </c>
    </row>
    <row r="179" spans="1:46" x14ac:dyDescent="0.25">
      <c r="A179" s="361" t="s">
        <v>493</v>
      </c>
      <c r="B179" s="361" t="s">
        <v>210</v>
      </c>
      <c r="C179" s="362" t="s">
        <v>55</v>
      </c>
      <c r="D179" s="359" t="s">
        <v>211</v>
      </c>
      <c r="E179" s="373" t="s">
        <v>168</v>
      </c>
      <c r="F179" s="359">
        <f>VLOOKUP(E179,'условия, ФОТ'!$A$14:$I$28,9, FALSE)</f>
        <v>282.83999999999997</v>
      </c>
      <c r="G179" s="364">
        <v>0.6</v>
      </c>
      <c r="H179" s="359">
        <f t="shared" si="114"/>
        <v>169.7</v>
      </c>
      <c r="I179" s="359">
        <f t="shared" si="111"/>
        <v>51.25</v>
      </c>
      <c r="J179" s="359">
        <f t="shared" si="112"/>
        <v>220.95</v>
      </c>
      <c r="K179" s="363"/>
      <c r="L179" s="359"/>
      <c r="M179" s="359"/>
      <c r="N179" s="359"/>
      <c r="O179" s="359"/>
      <c r="P179" s="359">
        <f t="shared" si="117"/>
        <v>220.95</v>
      </c>
      <c r="Q179" s="359">
        <f t="shared" si="16"/>
        <v>171.24</v>
      </c>
      <c r="R179" s="369">
        <f t="shared" si="123"/>
        <v>242.5</v>
      </c>
      <c r="S179" s="369">
        <f t="shared" si="17"/>
        <v>48.5</v>
      </c>
      <c r="T179" s="369">
        <f t="shared" si="119"/>
        <v>291</v>
      </c>
      <c r="U179" s="121">
        <v>223</v>
      </c>
      <c r="V179" s="127">
        <f t="shared" si="62"/>
        <v>30.493273542600889</v>
      </c>
      <c r="W179" s="377">
        <v>230</v>
      </c>
      <c r="X179" s="367">
        <f t="shared" si="104"/>
        <v>26.521739130434781</v>
      </c>
      <c r="Y179" s="117">
        <v>230</v>
      </c>
      <c r="Z179" s="368">
        <v>1.266</v>
      </c>
      <c r="AA179" s="152">
        <f t="shared" si="120"/>
        <v>291.18</v>
      </c>
      <c r="AB179" s="157">
        <f t="shared" si="121"/>
        <v>470.63</v>
      </c>
      <c r="AC179" s="170">
        <f t="shared" si="122"/>
        <v>-0.38129999999999997</v>
      </c>
      <c r="AD179" s="366">
        <f t="shared" si="105"/>
        <v>-179.45121899999998</v>
      </c>
      <c r="AF179">
        <v>237.82</v>
      </c>
      <c r="AG179" s="379">
        <v>238</v>
      </c>
      <c r="AH179" s="358">
        <f t="shared" si="106"/>
        <v>53</v>
      </c>
      <c r="AJ179" s="379">
        <v>-0.14269999999999999</v>
      </c>
      <c r="AK179" s="366">
        <f t="shared" si="107"/>
        <v>1.1427</v>
      </c>
      <c r="AL179" s="366">
        <v>1.1819999999999999</v>
      </c>
      <c r="AN179" s="152">
        <f t="shared" si="115"/>
        <v>271.86</v>
      </c>
      <c r="AP179" s="379">
        <v>1.034</v>
      </c>
      <c r="AQ179" s="243">
        <v>-0.14269999999999999</v>
      </c>
      <c r="AR179" s="366">
        <f t="shared" si="108"/>
        <v>0.23199999999999998</v>
      </c>
      <c r="AT179" s="241">
        <f t="shared" si="109"/>
        <v>-0.23859999999999998</v>
      </c>
    </row>
    <row r="180" spans="1:46" ht="30.75" customHeight="1" x14ac:dyDescent="0.25">
      <c r="A180" s="361" t="s">
        <v>494</v>
      </c>
      <c r="B180" s="361" t="s">
        <v>212</v>
      </c>
      <c r="C180" s="362" t="s">
        <v>56</v>
      </c>
      <c r="D180" s="359" t="s">
        <v>211</v>
      </c>
      <c r="E180" s="373" t="s">
        <v>168</v>
      </c>
      <c r="F180" s="359">
        <f>VLOOKUP(E180,'условия, ФОТ'!$A$14:$I$28,9, FALSE)</f>
        <v>282.83999999999997</v>
      </c>
      <c r="G180" s="364">
        <v>0.9</v>
      </c>
      <c r="H180" s="359">
        <f t="shared" si="114"/>
        <v>254.56</v>
      </c>
      <c r="I180" s="359">
        <f t="shared" si="111"/>
        <v>76.88</v>
      </c>
      <c r="J180" s="359">
        <f t="shared" si="112"/>
        <v>331.44</v>
      </c>
      <c r="K180" s="363"/>
      <c r="L180" s="359"/>
      <c r="M180" s="359"/>
      <c r="N180" s="359"/>
      <c r="O180" s="359"/>
      <c r="P180" s="359">
        <f t="shared" si="117"/>
        <v>331.44</v>
      </c>
      <c r="Q180" s="359">
        <f t="shared" si="16"/>
        <v>256.87</v>
      </c>
      <c r="R180" s="369">
        <f t="shared" si="123"/>
        <v>364.17</v>
      </c>
      <c r="S180" s="369">
        <f t="shared" si="17"/>
        <v>72.83</v>
      </c>
      <c r="T180" s="369">
        <f t="shared" si="119"/>
        <v>437</v>
      </c>
      <c r="U180" s="121">
        <v>334</v>
      </c>
      <c r="V180" s="127">
        <f t="shared" si="62"/>
        <v>30.838323353293418</v>
      </c>
      <c r="W180" s="377">
        <v>345</v>
      </c>
      <c r="X180" s="367">
        <f t="shared" si="104"/>
        <v>26.666666666666657</v>
      </c>
      <c r="Y180" s="117">
        <v>345</v>
      </c>
      <c r="Z180" s="368">
        <v>1.266</v>
      </c>
      <c r="AA180" s="152">
        <f t="shared" si="120"/>
        <v>436.77</v>
      </c>
      <c r="AB180" s="157">
        <f t="shared" si="121"/>
        <v>705.97</v>
      </c>
      <c r="AC180" s="170">
        <f t="shared" si="122"/>
        <v>-0.38129999999999997</v>
      </c>
      <c r="AD180" s="366">
        <f t="shared" si="105"/>
        <v>-269.18636099999998</v>
      </c>
      <c r="AF180">
        <v>356.73</v>
      </c>
      <c r="AG180" s="379">
        <v>357</v>
      </c>
      <c r="AH180" s="358">
        <f t="shared" si="106"/>
        <v>80</v>
      </c>
      <c r="AJ180" s="379">
        <v>-0.14269999999999999</v>
      </c>
      <c r="AK180" s="366">
        <f t="shared" si="107"/>
        <v>1.1427</v>
      </c>
      <c r="AL180" s="366">
        <v>1.1819999999999999</v>
      </c>
      <c r="AN180" s="152">
        <f t="shared" si="115"/>
        <v>407.79</v>
      </c>
      <c r="AP180" s="379">
        <v>1.034</v>
      </c>
      <c r="AQ180" s="243">
        <v>-0.14269999999999999</v>
      </c>
      <c r="AR180" s="366">
        <f t="shared" si="108"/>
        <v>0.23199999999999998</v>
      </c>
      <c r="AT180" s="241">
        <f t="shared" si="109"/>
        <v>-0.23859999999999998</v>
      </c>
    </row>
    <row r="181" spans="1:46" x14ac:dyDescent="0.25">
      <c r="A181" s="361" t="s">
        <v>495</v>
      </c>
      <c r="B181" s="361" t="s">
        <v>213</v>
      </c>
      <c r="C181" s="362" t="s">
        <v>57</v>
      </c>
      <c r="D181" s="359" t="s">
        <v>34</v>
      </c>
      <c r="E181" s="373" t="s">
        <v>168</v>
      </c>
      <c r="F181" s="359">
        <f>VLOOKUP(E181,'условия, ФОТ'!$A$14:$I$28,9, FALSE)</f>
        <v>282.83999999999997</v>
      </c>
      <c r="G181" s="364">
        <v>0.82</v>
      </c>
      <c r="H181" s="359">
        <f t="shared" si="114"/>
        <v>231.93</v>
      </c>
      <c r="I181" s="359">
        <f t="shared" si="111"/>
        <v>70.040000000000006</v>
      </c>
      <c r="J181" s="359">
        <f t="shared" si="112"/>
        <v>301.97000000000003</v>
      </c>
      <c r="K181" s="363"/>
      <c r="L181" s="359"/>
      <c r="M181" s="359"/>
      <c r="N181" s="359"/>
      <c r="O181" s="359"/>
      <c r="P181" s="359">
        <f t="shared" si="117"/>
        <v>301.97000000000003</v>
      </c>
      <c r="Q181" s="359">
        <f t="shared" si="16"/>
        <v>234.03</v>
      </c>
      <c r="R181" s="369">
        <f t="shared" si="123"/>
        <v>331.67</v>
      </c>
      <c r="S181" s="369">
        <f>ROUND(R181*$S$5,2)</f>
        <v>66.33</v>
      </c>
      <c r="T181" s="369">
        <f t="shared" si="119"/>
        <v>398</v>
      </c>
      <c r="U181" s="121">
        <v>305</v>
      </c>
      <c r="V181" s="127">
        <f t="shared" si="62"/>
        <v>30.491803278688536</v>
      </c>
      <c r="W181" s="377">
        <v>314</v>
      </c>
      <c r="X181" s="367">
        <f t="shared" si="104"/>
        <v>26.751592356687894</v>
      </c>
      <c r="Y181" s="117">
        <v>314</v>
      </c>
      <c r="Z181" s="368">
        <v>1.2669999999999999</v>
      </c>
      <c r="AA181" s="152">
        <f t="shared" si="120"/>
        <v>397.84</v>
      </c>
      <c r="AB181" s="157">
        <f t="shared" si="121"/>
        <v>643.20000000000005</v>
      </c>
      <c r="AC181" s="170">
        <f t="shared" si="122"/>
        <v>-0.38150000000000001</v>
      </c>
      <c r="AD181" s="366">
        <f t="shared" si="105"/>
        <v>-245.38080000000002</v>
      </c>
      <c r="AF181">
        <v>324.67599999999999</v>
      </c>
      <c r="AG181" s="379">
        <v>325</v>
      </c>
      <c r="AH181" s="358">
        <f t="shared" si="106"/>
        <v>73</v>
      </c>
      <c r="AJ181" s="379">
        <v>-0.14360000000000001</v>
      </c>
      <c r="AK181" s="366">
        <f t="shared" si="107"/>
        <v>1.1435999999999999</v>
      </c>
      <c r="AL181" s="366">
        <v>1.1819999999999999</v>
      </c>
      <c r="AN181" s="152">
        <f t="shared" si="115"/>
        <v>371.15</v>
      </c>
      <c r="AP181" s="379">
        <v>1.034</v>
      </c>
      <c r="AQ181" s="243">
        <v>-0.14360000000000001</v>
      </c>
      <c r="AR181" s="366">
        <f t="shared" si="108"/>
        <v>0.23299999999999987</v>
      </c>
      <c r="AT181" s="241">
        <f t="shared" si="109"/>
        <v>-0.2379</v>
      </c>
    </row>
    <row r="182" spans="1:46" ht="25.5" x14ac:dyDescent="0.25">
      <c r="A182" s="361" t="s">
        <v>496</v>
      </c>
      <c r="B182" s="361" t="s">
        <v>214</v>
      </c>
      <c r="C182" s="362" t="s">
        <v>58</v>
      </c>
      <c r="D182" s="359" t="s">
        <v>203</v>
      </c>
      <c r="E182" s="373" t="s">
        <v>168</v>
      </c>
      <c r="F182" s="359">
        <f>VLOOKUP(E182,'условия, ФОТ'!$A$14:$I$28,9, FALSE)</f>
        <v>282.83999999999997</v>
      </c>
      <c r="G182" s="364">
        <v>0.5</v>
      </c>
      <c r="H182" s="359">
        <f t="shared" si="114"/>
        <v>141.41999999999999</v>
      </c>
      <c r="I182" s="359">
        <f t="shared" si="111"/>
        <v>42.71</v>
      </c>
      <c r="J182" s="359">
        <f t="shared" si="112"/>
        <v>184.13</v>
      </c>
      <c r="K182" s="363"/>
      <c r="L182" s="359"/>
      <c r="M182" s="359"/>
      <c r="N182" s="359"/>
      <c r="O182" s="359"/>
      <c r="P182" s="359">
        <f t="shared" si="117"/>
        <v>184.13</v>
      </c>
      <c r="Q182" s="359">
        <f t="shared" si="16"/>
        <v>142.69999999999999</v>
      </c>
      <c r="R182" s="369">
        <f t="shared" si="123"/>
        <v>202.5</v>
      </c>
      <c r="S182" s="369">
        <f>ROUND(R182*$S$5,2)</f>
        <v>40.5</v>
      </c>
      <c r="T182" s="369">
        <f t="shared" si="119"/>
        <v>243</v>
      </c>
      <c r="U182" s="121">
        <v>186</v>
      </c>
      <c r="V182" s="127">
        <f t="shared" si="62"/>
        <v>30.645161290322562</v>
      </c>
      <c r="W182" s="377">
        <v>192</v>
      </c>
      <c r="X182" s="367">
        <f t="shared" si="104"/>
        <v>26.5625</v>
      </c>
      <c r="Y182" s="117">
        <v>192</v>
      </c>
      <c r="Z182" s="368">
        <v>1.264</v>
      </c>
      <c r="AA182" s="152">
        <f t="shared" si="120"/>
        <v>242.69</v>
      </c>
      <c r="AB182" s="157">
        <f t="shared" si="121"/>
        <v>392.2</v>
      </c>
      <c r="AC182" s="170">
        <f t="shared" si="122"/>
        <v>-0.38119999999999998</v>
      </c>
      <c r="AD182" s="366">
        <f t="shared" si="105"/>
        <v>-149.50663999999998</v>
      </c>
      <c r="AF182">
        <v>198.52800000000002</v>
      </c>
      <c r="AG182" s="379">
        <v>199</v>
      </c>
      <c r="AH182" s="358">
        <f t="shared" si="106"/>
        <v>44</v>
      </c>
      <c r="AJ182" s="379">
        <v>-0.14119999999999999</v>
      </c>
      <c r="AK182" s="366">
        <f t="shared" si="107"/>
        <v>1.1412</v>
      </c>
      <c r="AL182" s="366">
        <v>1.18</v>
      </c>
      <c r="AN182" s="152">
        <f t="shared" si="115"/>
        <v>226.56</v>
      </c>
      <c r="AP182" s="379">
        <v>1.034</v>
      </c>
      <c r="AQ182" s="243">
        <v>-0.14119999999999999</v>
      </c>
      <c r="AR182" s="366">
        <f t="shared" si="108"/>
        <v>0.22999999999999998</v>
      </c>
      <c r="AT182" s="241">
        <f t="shared" si="109"/>
        <v>-0.24</v>
      </c>
    </row>
    <row r="183" spans="1:46" ht="25.5" x14ac:dyDescent="0.25">
      <c r="A183" s="361" t="s">
        <v>497</v>
      </c>
      <c r="B183" s="361" t="s">
        <v>215</v>
      </c>
      <c r="C183" s="362" t="s">
        <v>59</v>
      </c>
      <c r="D183" s="359" t="s">
        <v>203</v>
      </c>
      <c r="E183" s="373" t="s">
        <v>168</v>
      </c>
      <c r="F183" s="359">
        <f>VLOOKUP(E183,'условия, ФОТ'!$A$14:$I$28,9, FALSE)</f>
        <v>282.83999999999997</v>
      </c>
      <c r="G183" s="364">
        <v>1</v>
      </c>
      <c r="H183" s="359">
        <f t="shared" si="114"/>
        <v>282.83999999999997</v>
      </c>
      <c r="I183" s="359">
        <f t="shared" si="111"/>
        <v>85.42</v>
      </c>
      <c r="J183" s="359">
        <f t="shared" si="112"/>
        <v>368.26</v>
      </c>
      <c r="K183" s="363"/>
      <c r="L183" s="359"/>
      <c r="M183" s="359"/>
      <c r="N183" s="359"/>
      <c r="O183" s="359"/>
      <c r="P183" s="359">
        <f t="shared" si="117"/>
        <v>368.26</v>
      </c>
      <c r="Q183" s="359">
        <f t="shared" si="16"/>
        <v>285.39999999999998</v>
      </c>
      <c r="R183" s="369">
        <f t="shared" si="123"/>
        <v>404.17</v>
      </c>
      <c r="S183" s="369">
        <f t="shared" si="17"/>
        <v>80.83</v>
      </c>
      <c r="T183" s="369">
        <f t="shared" si="119"/>
        <v>485</v>
      </c>
      <c r="U183" s="121">
        <v>372</v>
      </c>
      <c r="V183" s="127">
        <f t="shared" si="62"/>
        <v>30.376344086021504</v>
      </c>
      <c r="W183" s="377">
        <v>383</v>
      </c>
      <c r="X183" s="367">
        <f t="shared" si="104"/>
        <v>26.631853785900788</v>
      </c>
      <c r="Y183" s="117">
        <v>383</v>
      </c>
      <c r="Z183" s="368">
        <v>1.2669999999999999</v>
      </c>
      <c r="AA183" s="152">
        <f t="shared" si="120"/>
        <v>485.26</v>
      </c>
      <c r="AB183" s="157">
        <f t="shared" si="121"/>
        <v>784.39</v>
      </c>
      <c r="AC183" s="170">
        <f t="shared" si="122"/>
        <v>-0.38140000000000002</v>
      </c>
      <c r="AD183" s="366">
        <f t="shared" si="105"/>
        <v>-299.16634600000003</v>
      </c>
      <c r="AF183">
        <v>396.02199999999999</v>
      </c>
      <c r="AG183" s="379">
        <v>396</v>
      </c>
      <c r="AH183" s="358">
        <f t="shared" si="106"/>
        <v>89</v>
      </c>
      <c r="AJ183" s="379">
        <v>-0.1434</v>
      </c>
      <c r="AK183" s="366">
        <f t="shared" si="107"/>
        <v>1.1434</v>
      </c>
      <c r="AL183" s="366">
        <v>1.1819999999999999</v>
      </c>
      <c r="AN183" s="152">
        <f t="shared" si="115"/>
        <v>452.71</v>
      </c>
      <c r="AP183" s="379">
        <v>1.034</v>
      </c>
      <c r="AQ183" s="243">
        <v>-0.1434</v>
      </c>
      <c r="AR183" s="366">
        <f t="shared" si="108"/>
        <v>0.23299999999999987</v>
      </c>
      <c r="AT183" s="241">
        <f t="shared" si="109"/>
        <v>-0.23800000000000002</v>
      </c>
    </row>
    <row r="184" spans="1:46" ht="18" customHeight="1" x14ac:dyDescent="0.25">
      <c r="A184" s="361" t="s">
        <v>498</v>
      </c>
      <c r="B184" s="361" t="s">
        <v>216</v>
      </c>
      <c r="C184" s="362" t="s">
        <v>60</v>
      </c>
      <c r="D184" s="359" t="s">
        <v>203</v>
      </c>
      <c r="E184" s="373" t="s">
        <v>168</v>
      </c>
      <c r="F184" s="359">
        <f>VLOOKUP(E184,'условия, ФОТ'!$A$14:$I$28,9, FALSE)</f>
        <v>282.83999999999997</v>
      </c>
      <c r="G184" s="364">
        <v>0.1</v>
      </c>
      <c r="H184" s="359">
        <f t="shared" si="114"/>
        <v>28.28</v>
      </c>
      <c r="I184" s="359">
        <f t="shared" si="111"/>
        <v>8.5399999999999991</v>
      </c>
      <c r="J184" s="359">
        <f t="shared" si="112"/>
        <v>36.82</v>
      </c>
      <c r="K184" s="363"/>
      <c r="L184" s="359"/>
      <c r="M184" s="359"/>
      <c r="N184" s="359"/>
      <c r="O184" s="359"/>
      <c r="P184" s="359">
        <f t="shared" si="117"/>
        <v>36.82</v>
      </c>
      <c r="Q184" s="359">
        <f t="shared" si="16"/>
        <v>28.54</v>
      </c>
      <c r="R184" s="369">
        <f t="shared" si="123"/>
        <v>40.83</v>
      </c>
      <c r="S184" s="369">
        <f t="shared" si="17"/>
        <v>8.17</v>
      </c>
      <c r="T184" s="369">
        <f t="shared" si="119"/>
        <v>49</v>
      </c>
      <c r="U184" s="121">
        <v>37</v>
      </c>
      <c r="V184" s="127">
        <f t="shared" si="62"/>
        <v>32.432432432432421</v>
      </c>
      <c r="W184" s="377">
        <v>38</v>
      </c>
      <c r="X184" s="367">
        <f t="shared" si="104"/>
        <v>28.94736842105263</v>
      </c>
      <c r="Y184" s="117">
        <v>38</v>
      </c>
      <c r="Z184" s="368">
        <v>1.2769999999999999</v>
      </c>
      <c r="AA184" s="152">
        <f t="shared" si="120"/>
        <v>48.53</v>
      </c>
      <c r="AB184" s="157">
        <f t="shared" si="121"/>
        <v>78.430000000000007</v>
      </c>
      <c r="AC184" s="170">
        <f t="shared" si="122"/>
        <v>-0.38119999999999998</v>
      </c>
      <c r="AD184" s="366">
        <f t="shared" si="105"/>
        <v>-29.897516</v>
      </c>
      <c r="AF184">
        <v>39.292000000000002</v>
      </c>
      <c r="AG184" s="379">
        <v>39</v>
      </c>
      <c r="AH184" s="358">
        <f t="shared" si="106"/>
        <v>10</v>
      </c>
      <c r="AJ184" s="379">
        <v>-0.14990000000000001</v>
      </c>
      <c r="AK184" s="366">
        <f t="shared" si="107"/>
        <v>1.1498999999999999</v>
      </c>
      <c r="AL184" s="366">
        <v>1.1890000000000001</v>
      </c>
      <c r="AN184" s="152">
        <f t="shared" si="115"/>
        <v>45.18</v>
      </c>
      <c r="AP184" s="379">
        <v>1.034</v>
      </c>
      <c r="AQ184" s="243">
        <v>-0.14990000000000001</v>
      </c>
      <c r="AR184" s="366">
        <f t="shared" si="108"/>
        <v>0.24299999999999988</v>
      </c>
      <c r="AT184" s="241">
        <f t="shared" si="109"/>
        <v>-0.23129999999999998</v>
      </c>
    </row>
    <row r="185" spans="1:46" ht="25.5" x14ac:dyDescent="0.25">
      <c r="A185" s="361" t="s">
        <v>499</v>
      </c>
      <c r="B185" s="361" t="s">
        <v>218</v>
      </c>
      <c r="C185" s="362" t="s">
        <v>380</v>
      </c>
      <c r="D185" s="359" t="s">
        <v>217</v>
      </c>
      <c r="E185" s="373" t="s">
        <v>168</v>
      </c>
      <c r="F185" s="359">
        <f>VLOOKUP(E185,'условия, ФОТ'!$A$14:$I$28,9, FALSE)</f>
        <v>282.83999999999997</v>
      </c>
      <c r="G185" s="364">
        <v>0.5</v>
      </c>
      <c r="H185" s="359">
        <f t="shared" si="114"/>
        <v>141.41999999999999</v>
      </c>
      <c r="I185" s="359">
        <f t="shared" si="111"/>
        <v>42.71</v>
      </c>
      <c r="J185" s="359">
        <f t="shared" si="112"/>
        <v>184.13</v>
      </c>
      <c r="K185" s="363"/>
      <c r="L185" s="359"/>
      <c r="M185" s="359"/>
      <c r="N185" s="359"/>
      <c r="O185" s="359">
        <f>SUM(O186:O188)</f>
        <v>5.6499999999999995</v>
      </c>
      <c r="P185" s="359">
        <f>J185+O185</f>
        <v>189.78</v>
      </c>
      <c r="Q185" s="359">
        <f t="shared" si="16"/>
        <v>147.08000000000001</v>
      </c>
      <c r="R185" s="369">
        <f t="shared" si="123"/>
        <v>210</v>
      </c>
      <c r="S185" s="369">
        <f t="shared" si="17"/>
        <v>42</v>
      </c>
      <c r="T185" s="369">
        <f t="shared" si="119"/>
        <v>252</v>
      </c>
      <c r="U185" s="121">
        <v>196</v>
      </c>
      <c r="V185" s="127">
        <f t="shared" si="62"/>
        <v>28.571428571428584</v>
      </c>
      <c r="W185" s="377">
        <v>202</v>
      </c>
      <c r="X185" s="367">
        <f t="shared" si="104"/>
        <v>24.752475247524757</v>
      </c>
      <c r="Y185" s="117">
        <v>202</v>
      </c>
      <c r="Z185" s="368">
        <v>1.246</v>
      </c>
      <c r="AA185" s="152">
        <f t="shared" si="120"/>
        <v>251.69</v>
      </c>
      <c r="AB185" s="157">
        <f t="shared" si="121"/>
        <v>404.23</v>
      </c>
      <c r="AC185" s="170">
        <f t="shared" si="122"/>
        <v>-0.37740000000000001</v>
      </c>
      <c r="AD185" s="366">
        <f t="shared" si="105"/>
        <v>-152.55640200000002</v>
      </c>
      <c r="AF185">
        <v>208.86799999999999</v>
      </c>
      <c r="AG185" s="379">
        <v>209</v>
      </c>
      <c r="AH185" s="358">
        <f t="shared" si="106"/>
        <v>43</v>
      </c>
      <c r="AJ185" s="379">
        <v>-0.12889999999999999</v>
      </c>
      <c r="AK185" s="366">
        <f t="shared" si="107"/>
        <v>1.1289</v>
      </c>
      <c r="AL185" s="366">
        <v>1.167</v>
      </c>
      <c r="AN185" s="152">
        <f t="shared" si="115"/>
        <v>235.73</v>
      </c>
      <c r="AP185" s="379">
        <v>1.034</v>
      </c>
      <c r="AQ185" s="243">
        <v>-0.12889999999999999</v>
      </c>
      <c r="AR185" s="366">
        <f t="shared" si="108"/>
        <v>0.21199999999999997</v>
      </c>
      <c r="AT185" s="241">
        <f t="shared" si="109"/>
        <v>-0.24850000000000003</v>
      </c>
    </row>
    <row r="186" spans="1:46" ht="23.25" customHeight="1" outlineLevel="1" x14ac:dyDescent="0.25">
      <c r="A186" s="361"/>
      <c r="B186" s="361"/>
      <c r="C186" s="362"/>
      <c r="D186" s="359"/>
      <c r="E186" s="373"/>
      <c r="F186" s="359"/>
      <c r="G186" s="364"/>
      <c r="H186" s="359"/>
      <c r="I186" s="359"/>
      <c r="J186" s="178" t="s">
        <v>385</v>
      </c>
      <c r="K186" s="92" t="s">
        <v>341</v>
      </c>
      <c r="L186" s="364" t="str">
        <f>VLOOKUP(K186,материалы!$A$5:$G$31,5, FALSE)</f>
        <v>кг</v>
      </c>
      <c r="M186" s="359">
        <f>VLOOKUP(K186,материалы!$A$5:$G$31,7, FALSE)</f>
        <v>950</v>
      </c>
      <c r="N186" s="359">
        <v>5.0000000000000001E-3</v>
      </c>
      <c r="O186" s="359">
        <f t="shared" ref="O186:O188" si="124">ROUND(M186*N186,2)</f>
        <v>4.75</v>
      </c>
      <c r="P186" s="359"/>
      <c r="Q186" s="359"/>
      <c r="R186" s="369"/>
      <c r="S186" s="369"/>
      <c r="T186" s="369"/>
      <c r="U186" s="121"/>
      <c r="V186" s="127"/>
      <c r="W186" s="377"/>
      <c r="X186" s="367"/>
      <c r="Z186" s="356"/>
      <c r="AA186" s="366"/>
      <c r="AB186" s="158"/>
      <c r="AC186" s="170"/>
      <c r="AD186" s="366"/>
      <c r="AG186" s="379"/>
      <c r="AH186" s="358"/>
      <c r="AJ186" s="379"/>
      <c r="AK186" s="366"/>
      <c r="AL186" s="366"/>
      <c r="AN186" s="152"/>
      <c r="AP186" s="379"/>
      <c r="AQ186" s="243"/>
      <c r="AR186" s="366"/>
      <c r="AT186" s="241"/>
    </row>
    <row r="187" spans="1:46" ht="16.5" customHeight="1" outlineLevel="1" x14ac:dyDescent="0.25">
      <c r="A187" s="361"/>
      <c r="B187" s="361"/>
      <c r="C187" s="362"/>
      <c r="D187" s="359"/>
      <c r="E187" s="373"/>
      <c r="F187" s="359"/>
      <c r="G187" s="364"/>
      <c r="H187" s="359"/>
      <c r="I187" s="359"/>
      <c r="J187" s="359"/>
      <c r="K187" s="184" t="s">
        <v>335</v>
      </c>
      <c r="L187" s="364" t="str">
        <f>VLOOKUP(K187,материалы!$A$5:$G$31,5, FALSE)</f>
        <v>кг</v>
      </c>
      <c r="M187" s="359">
        <f>VLOOKUP(K187,материалы!$A$5:$G$31,7, FALSE)</f>
        <v>95</v>
      </c>
      <c r="N187" s="359">
        <v>1E-3</v>
      </c>
      <c r="O187" s="359">
        <f t="shared" si="124"/>
        <v>0.1</v>
      </c>
      <c r="P187" s="359"/>
      <c r="Q187" s="359"/>
      <c r="R187" s="369"/>
      <c r="S187" s="369"/>
      <c r="T187" s="369"/>
      <c r="U187" s="121"/>
      <c r="V187" s="127"/>
      <c r="W187" s="377"/>
      <c r="X187" s="367"/>
      <c r="Z187" s="356"/>
      <c r="AA187" s="366"/>
      <c r="AB187" s="158"/>
      <c r="AC187" s="170"/>
      <c r="AD187" s="366"/>
      <c r="AG187" s="379"/>
      <c r="AH187" s="358"/>
      <c r="AJ187" s="379"/>
      <c r="AK187" s="366"/>
      <c r="AL187" s="366"/>
      <c r="AN187" s="152"/>
      <c r="AP187" s="379"/>
      <c r="AQ187" s="243"/>
      <c r="AR187" s="366"/>
      <c r="AT187" s="241"/>
    </row>
    <row r="188" spans="1:46" ht="15.75" customHeight="1" outlineLevel="1" x14ac:dyDescent="0.25">
      <c r="A188" s="361"/>
      <c r="B188" s="361"/>
      <c r="C188" s="362"/>
      <c r="D188" s="359"/>
      <c r="E188" s="373"/>
      <c r="F188" s="359"/>
      <c r="G188" s="364"/>
      <c r="H188" s="359"/>
      <c r="I188" s="359"/>
      <c r="J188" s="359"/>
      <c r="K188" s="184" t="s">
        <v>336</v>
      </c>
      <c r="L188" s="364" t="str">
        <f>VLOOKUP(K188,материалы!$A$5:$G$31,5, FALSE)</f>
        <v>кг</v>
      </c>
      <c r="M188" s="359">
        <f>VLOOKUP(K188,материалы!$A$5:$G$31,7, FALSE)</f>
        <v>80</v>
      </c>
      <c r="N188" s="359">
        <v>0.01</v>
      </c>
      <c r="O188" s="359">
        <f t="shared" si="124"/>
        <v>0.8</v>
      </c>
      <c r="P188" s="359"/>
      <c r="Q188" s="359"/>
      <c r="R188" s="369"/>
      <c r="S188" s="369"/>
      <c r="T188" s="369"/>
      <c r="U188" s="121"/>
      <c r="V188" s="127"/>
      <c r="W188" s="377"/>
      <c r="X188" s="367"/>
      <c r="Z188" s="356"/>
      <c r="AA188" s="366"/>
      <c r="AB188" s="158"/>
      <c r="AC188" s="170"/>
      <c r="AD188" s="366"/>
      <c r="AG188" s="379"/>
      <c r="AH188" s="358"/>
      <c r="AJ188" s="379"/>
      <c r="AK188" s="366"/>
      <c r="AL188" s="366"/>
      <c r="AN188" s="152"/>
      <c r="AP188" s="379"/>
      <c r="AQ188" s="243"/>
      <c r="AR188" s="366"/>
      <c r="AT188" s="241"/>
    </row>
    <row r="189" spans="1:46" ht="31.7" customHeight="1" x14ac:dyDescent="0.25">
      <c r="A189" s="361" t="s">
        <v>500</v>
      </c>
      <c r="B189" s="361" t="s">
        <v>219</v>
      </c>
      <c r="C189" s="362" t="s">
        <v>61</v>
      </c>
      <c r="D189" s="359" t="s">
        <v>211</v>
      </c>
      <c r="E189" s="373" t="s">
        <v>168</v>
      </c>
      <c r="F189" s="359">
        <f>VLOOKUP(E189,'условия, ФОТ'!$A$14:$I$28,9, FALSE)</f>
        <v>282.83999999999997</v>
      </c>
      <c r="G189" s="364">
        <v>0.5</v>
      </c>
      <c r="H189" s="359">
        <f t="shared" si="114"/>
        <v>141.41999999999999</v>
      </c>
      <c r="I189" s="359">
        <f t="shared" si="111"/>
        <v>42.71</v>
      </c>
      <c r="J189" s="359">
        <f t="shared" si="112"/>
        <v>184.13</v>
      </c>
      <c r="K189" s="363"/>
      <c r="L189" s="359"/>
      <c r="M189" s="359"/>
      <c r="N189" s="359"/>
      <c r="O189" s="359"/>
      <c r="P189" s="359">
        <f t="shared" si="117"/>
        <v>184.13</v>
      </c>
      <c r="Q189" s="359">
        <f t="shared" si="16"/>
        <v>142.69999999999999</v>
      </c>
      <c r="R189" s="369">
        <f>ROUND(T189/1.2,2)</f>
        <v>202.5</v>
      </c>
      <c r="S189" s="369">
        <f>ROUND(R189*$S$5,2)</f>
        <v>40.5</v>
      </c>
      <c r="T189" s="369">
        <f t="shared" ref="T189:T197" si="125">ROUND((P189+Q189)*(1+AC189)*1.2,0)</f>
        <v>243</v>
      </c>
      <c r="U189" s="121">
        <v>186</v>
      </c>
      <c r="V189" s="127">
        <f t="shared" si="62"/>
        <v>30.645161290322562</v>
      </c>
      <c r="W189" s="377">
        <v>192</v>
      </c>
      <c r="X189" s="367">
        <f t="shared" si="104"/>
        <v>26.5625</v>
      </c>
      <c r="Y189" s="117">
        <v>192</v>
      </c>
      <c r="Z189" s="368">
        <v>1.264</v>
      </c>
      <c r="AA189" s="152">
        <f t="shared" ref="AA189:AA197" si="126">ROUND(W189*Z189,2)</f>
        <v>242.69</v>
      </c>
      <c r="AB189" s="157">
        <f t="shared" ref="AB189:AB197" si="127">ROUND((P189+Q189)*1.2,2)</f>
        <v>392.2</v>
      </c>
      <c r="AC189" s="170">
        <f t="shared" ref="AC189:AC197" si="128">ROUND((AA189/AB189)*100%-100%,4)</f>
        <v>-0.38119999999999998</v>
      </c>
      <c r="AD189" s="366">
        <f t="shared" si="105"/>
        <v>-149.50663999999998</v>
      </c>
      <c r="AF189">
        <v>198.52800000000002</v>
      </c>
      <c r="AG189" s="379">
        <v>199</v>
      </c>
      <c r="AH189" s="358">
        <f t="shared" si="106"/>
        <v>44</v>
      </c>
      <c r="AJ189" s="379">
        <v>-0.14119999999999999</v>
      </c>
      <c r="AK189" s="366">
        <f t="shared" si="107"/>
        <v>1.1412</v>
      </c>
      <c r="AL189" s="366">
        <v>1.18</v>
      </c>
      <c r="AN189" s="152">
        <f t="shared" si="115"/>
        <v>226.56</v>
      </c>
      <c r="AP189" s="379">
        <v>1.034</v>
      </c>
      <c r="AQ189" s="243">
        <v>-0.14119999999999999</v>
      </c>
      <c r="AR189" s="366">
        <f t="shared" si="108"/>
        <v>0.22999999999999998</v>
      </c>
      <c r="AT189" s="241">
        <f t="shared" si="109"/>
        <v>-0.24</v>
      </c>
    </row>
    <row r="190" spans="1:46" ht="23.25" customHeight="1" x14ac:dyDescent="0.25">
      <c r="A190" s="361" t="s">
        <v>501</v>
      </c>
      <c r="B190" s="361" t="s">
        <v>220</v>
      </c>
      <c r="C190" s="362" t="s">
        <v>62</v>
      </c>
      <c r="D190" s="359" t="s">
        <v>193</v>
      </c>
      <c r="E190" s="373" t="s">
        <v>168</v>
      </c>
      <c r="F190" s="359">
        <f>VLOOKUP(E190,'условия, ФОТ'!$A$14:$I$28,9, FALSE)</f>
        <v>282.83999999999997</v>
      </c>
      <c r="G190" s="364">
        <v>0.3</v>
      </c>
      <c r="H190" s="359">
        <f t="shared" si="114"/>
        <v>84.85</v>
      </c>
      <c r="I190" s="359">
        <f t="shared" si="111"/>
        <v>25.62</v>
      </c>
      <c r="J190" s="359">
        <f t="shared" si="112"/>
        <v>110.47</v>
      </c>
      <c r="K190" s="363"/>
      <c r="L190" s="359"/>
      <c r="M190" s="359"/>
      <c r="N190" s="359"/>
      <c r="O190" s="359"/>
      <c r="P190" s="359">
        <f t="shared" si="117"/>
        <v>110.47</v>
      </c>
      <c r="Q190" s="359">
        <f t="shared" si="16"/>
        <v>85.61</v>
      </c>
      <c r="R190" s="369">
        <f t="shared" ref="R190:R199" si="129">ROUND(T190/1.2,2)</f>
        <v>121.67</v>
      </c>
      <c r="S190" s="369">
        <f>ROUND(R190*$S$5,2)</f>
        <v>24.33</v>
      </c>
      <c r="T190" s="369">
        <f t="shared" si="125"/>
        <v>146</v>
      </c>
      <c r="U190" s="121">
        <v>111</v>
      </c>
      <c r="V190" s="127">
        <f t="shared" si="62"/>
        <v>31.531531531531556</v>
      </c>
      <c r="W190" s="377">
        <v>115</v>
      </c>
      <c r="X190" s="367">
        <f t="shared" si="104"/>
        <v>26.956521739130437</v>
      </c>
      <c r="Y190" s="117">
        <v>115</v>
      </c>
      <c r="Z190" s="368">
        <v>1.266</v>
      </c>
      <c r="AA190" s="152">
        <f t="shared" si="126"/>
        <v>145.59</v>
      </c>
      <c r="AB190" s="157">
        <f t="shared" si="127"/>
        <v>235.3</v>
      </c>
      <c r="AC190" s="170">
        <f t="shared" si="128"/>
        <v>-0.38129999999999997</v>
      </c>
      <c r="AD190" s="366">
        <f t="shared" si="105"/>
        <v>-89.719889999999992</v>
      </c>
      <c r="AF190">
        <v>118.91</v>
      </c>
      <c r="AG190" s="379">
        <v>119</v>
      </c>
      <c r="AH190" s="358">
        <f t="shared" si="106"/>
        <v>27</v>
      </c>
      <c r="AJ190" s="379">
        <v>-0.14269999999999999</v>
      </c>
      <c r="AK190" s="366">
        <f t="shared" si="107"/>
        <v>1.1427</v>
      </c>
      <c r="AL190" s="366">
        <v>1.1819999999999999</v>
      </c>
      <c r="AN190" s="152">
        <f t="shared" si="115"/>
        <v>135.93</v>
      </c>
      <c r="AP190" s="379">
        <v>1.034</v>
      </c>
      <c r="AQ190" s="243">
        <v>-0.14269999999999999</v>
      </c>
      <c r="AR190" s="366">
        <f t="shared" si="108"/>
        <v>0.23199999999999998</v>
      </c>
      <c r="AT190" s="241">
        <f t="shared" si="109"/>
        <v>-0.23859999999999998</v>
      </c>
    </row>
    <row r="191" spans="1:46" ht="28.5" customHeight="1" x14ac:dyDescent="0.25">
      <c r="A191" s="361" t="s">
        <v>502</v>
      </c>
      <c r="B191" s="361" t="s">
        <v>221</v>
      </c>
      <c r="C191" s="362" t="s">
        <v>63</v>
      </c>
      <c r="D191" s="359" t="s">
        <v>222</v>
      </c>
      <c r="E191" s="373" t="s">
        <v>168</v>
      </c>
      <c r="F191" s="359">
        <f>VLOOKUP(E191,'условия, ФОТ'!$A$14:$I$28,9, FALSE)</f>
        <v>282.83999999999997</v>
      </c>
      <c r="G191" s="364">
        <v>0.67</v>
      </c>
      <c r="H191" s="359">
        <f t="shared" si="114"/>
        <v>189.5</v>
      </c>
      <c r="I191" s="359">
        <f t="shared" si="111"/>
        <v>57.23</v>
      </c>
      <c r="J191" s="359">
        <f t="shared" si="112"/>
        <v>246.73</v>
      </c>
      <c r="K191" s="363"/>
      <c r="L191" s="359"/>
      <c r="M191" s="359"/>
      <c r="N191" s="359"/>
      <c r="O191" s="359"/>
      <c r="P191" s="359">
        <f t="shared" si="117"/>
        <v>246.73</v>
      </c>
      <c r="Q191" s="359">
        <f t="shared" si="16"/>
        <v>191.22</v>
      </c>
      <c r="R191" s="369">
        <f t="shared" si="129"/>
        <v>270.83</v>
      </c>
      <c r="S191" s="369">
        <f t="shared" si="17"/>
        <v>54.17</v>
      </c>
      <c r="T191" s="369">
        <f t="shared" si="125"/>
        <v>325</v>
      </c>
      <c r="U191" s="121">
        <v>249</v>
      </c>
      <c r="V191" s="127">
        <f t="shared" si="62"/>
        <v>30.522088353413665</v>
      </c>
      <c r="W191" s="377">
        <v>257</v>
      </c>
      <c r="X191" s="367">
        <f t="shared" si="104"/>
        <v>26.459143968871587</v>
      </c>
      <c r="Y191" s="117">
        <v>257</v>
      </c>
      <c r="Z191" s="368">
        <v>1.2649999999999999</v>
      </c>
      <c r="AA191" s="152">
        <f t="shared" si="126"/>
        <v>325.11</v>
      </c>
      <c r="AB191" s="157">
        <f t="shared" si="127"/>
        <v>525.54</v>
      </c>
      <c r="AC191" s="170">
        <f t="shared" si="128"/>
        <v>-0.38140000000000002</v>
      </c>
      <c r="AD191" s="366">
        <f t="shared" si="105"/>
        <v>-200.440956</v>
      </c>
      <c r="AF191">
        <v>265.738</v>
      </c>
      <c r="AG191" s="379">
        <v>266</v>
      </c>
      <c r="AH191" s="358">
        <f t="shared" si="106"/>
        <v>59</v>
      </c>
      <c r="AJ191" s="379">
        <v>-0.14219999999999999</v>
      </c>
      <c r="AK191" s="366">
        <f t="shared" si="107"/>
        <v>1.1421999999999999</v>
      </c>
      <c r="AL191" s="366">
        <v>1.181</v>
      </c>
      <c r="AN191" s="152">
        <f t="shared" si="115"/>
        <v>303.52</v>
      </c>
      <c r="AP191" s="379">
        <v>1.034</v>
      </c>
      <c r="AQ191" s="243">
        <v>-0.14219999999999999</v>
      </c>
      <c r="AR191" s="366">
        <f t="shared" si="108"/>
        <v>0.23099999999999987</v>
      </c>
      <c r="AT191" s="241">
        <f t="shared" si="109"/>
        <v>-0.23920000000000002</v>
      </c>
    </row>
    <row r="192" spans="1:46" x14ac:dyDescent="0.25">
      <c r="A192" s="361" t="s">
        <v>503</v>
      </c>
      <c r="B192" s="361" t="s">
        <v>223</v>
      </c>
      <c r="C192" s="362" t="s">
        <v>64</v>
      </c>
      <c r="D192" s="359" t="s">
        <v>224</v>
      </c>
      <c r="E192" s="373" t="s">
        <v>168</v>
      </c>
      <c r="F192" s="359">
        <f>VLOOKUP(E192,'условия, ФОТ'!$A$14:$I$28,9, FALSE)</f>
        <v>282.83999999999997</v>
      </c>
      <c r="G192" s="364">
        <v>0.17</v>
      </c>
      <c r="H192" s="359">
        <f t="shared" si="114"/>
        <v>48.08</v>
      </c>
      <c r="I192" s="359">
        <f t="shared" si="111"/>
        <v>14.52</v>
      </c>
      <c r="J192" s="359">
        <f t="shared" si="112"/>
        <v>62.599999999999994</v>
      </c>
      <c r="K192" s="363"/>
      <c r="L192" s="359"/>
      <c r="M192" s="359"/>
      <c r="N192" s="359"/>
      <c r="O192" s="359"/>
      <c r="P192" s="359">
        <f t="shared" si="117"/>
        <v>62.599999999999994</v>
      </c>
      <c r="Q192" s="359">
        <f t="shared" si="16"/>
        <v>48.52</v>
      </c>
      <c r="R192" s="369">
        <f t="shared" si="129"/>
        <v>68.33</v>
      </c>
      <c r="S192" s="369">
        <f t="shared" si="17"/>
        <v>13.67</v>
      </c>
      <c r="T192" s="369">
        <f t="shared" si="125"/>
        <v>82</v>
      </c>
      <c r="U192" s="121">
        <v>63</v>
      </c>
      <c r="V192" s="127">
        <f t="shared" si="62"/>
        <v>30.158730158730151</v>
      </c>
      <c r="W192" s="377">
        <v>65</v>
      </c>
      <c r="X192" s="367">
        <f t="shared" si="104"/>
        <v>26.153846153846146</v>
      </c>
      <c r="Y192" s="117">
        <v>65</v>
      </c>
      <c r="Z192" s="368">
        <v>1.2689999999999999</v>
      </c>
      <c r="AA192" s="152">
        <f t="shared" si="126"/>
        <v>82.49</v>
      </c>
      <c r="AB192" s="157">
        <f t="shared" si="127"/>
        <v>133.34</v>
      </c>
      <c r="AC192" s="170">
        <f t="shared" si="128"/>
        <v>-0.38140000000000002</v>
      </c>
      <c r="AD192" s="366">
        <f t="shared" si="105"/>
        <v>-50.855876000000002</v>
      </c>
      <c r="AF192">
        <v>67.210000000000008</v>
      </c>
      <c r="AG192" s="379">
        <v>67</v>
      </c>
      <c r="AH192" s="358">
        <f t="shared" si="106"/>
        <v>15</v>
      </c>
      <c r="AJ192" s="379">
        <v>-0.1449</v>
      </c>
      <c r="AK192" s="366">
        <f t="shared" si="107"/>
        <v>1.1449</v>
      </c>
      <c r="AL192" s="366">
        <v>1.1839999999999999</v>
      </c>
      <c r="AN192" s="152">
        <f t="shared" si="115"/>
        <v>76.959999999999994</v>
      </c>
      <c r="AP192" s="379">
        <v>1.034</v>
      </c>
      <c r="AQ192" s="243">
        <v>-0.1449</v>
      </c>
      <c r="AR192" s="366">
        <f t="shared" si="108"/>
        <v>0.23499999999999988</v>
      </c>
      <c r="AT192" s="241">
        <f t="shared" si="109"/>
        <v>-0.23650000000000002</v>
      </c>
    </row>
    <row r="193" spans="1:46" x14ac:dyDescent="0.25">
      <c r="A193" s="361" t="s">
        <v>504</v>
      </c>
      <c r="B193" s="361" t="s">
        <v>225</v>
      </c>
      <c r="C193" s="362" t="s">
        <v>65</v>
      </c>
      <c r="D193" s="359" t="s">
        <v>211</v>
      </c>
      <c r="E193" s="373" t="s">
        <v>168</v>
      </c>
      <c r="F193" s="359">
        <f>VLOOKUP(E193,'условия, ФОТ'!$A$14:$I$28,9, FALSE)</f>
        <v>282.83999999999997</v>
      </c>
      <c r="G193" s="364">
        <v>0.5</v>
      </c>
      <c r="H193" s="359">
        <f t="shared" si="114"/>
        <v>141.41999999999999</v>
      </c>
      <c r="I193" s="359">
        <f t="shared" si="111"/>
        <v>42.71</v>
      </c>
      <c r="J193" s="359">
        <f t="shared" si="112"/>
        <v>184.13</v>
      </c>
      <c r="K193" s="363"/>
      <c r="L193" s="359"/>
      <c r="M193" s="359"/>
      <c r="N193" s="359"/>
      <c r="O193" s="359"/>
      <c r="P193" s="359">
        <f t="shared" si="117"/>
        <v>184.13</v>
      </c>
      <c r="Q193" s="359">
        <f t="shared" si="16"/>
        <v>142.69999999999999</v>
      </c>
      <c r="R193" s="369">
        <f t="shared" si="129"/>
        <v>202.5</v>
      </c>
      <c r="S193" s="369">
        <f>ROUND(R193*$S$5,2)</f>
        <v>40.5</v>
      </c>
      <c r="T193" s="369">
        <f t="shared" si="125"/>
        <v>243</v>
      </c>
      <c r="U193" s="121">
        <v>186</v>
      </c>
      <c r="V193" s="127">
        <f t="shared" si="62"/>
        <v>30.645161290322562</v>
      </c>
      <c r="W193" s="377">
        <v>192</v>
      </c>
      <c r="X193" s="367">
        <f t="shared" si="104"/>
        <v>26.5625</v>
      </c>
      <c r="Y193" s="117">
        <v>192</v>
      </c>
      <c r="Z193" s="368">
        <v>1.264</v>
      </c>
      <c r="AA193" s="152">
        <f t="shared" si="126"/>
        <v>242.69</v>
      </c>
      <c r="AB193" s="157">
        <f t="shared" si="127"/>
        <v>392.2</v>
      </c>
      <c r="AC193" s="170">
        <f t="shared" si="128"/>
        <v>-0.38119999999999998</v>
      </c>
      <c r="AD193" s="366">
        <f t="shared" si="105"/>
        <v>-149.50663999999998</v>
      </c>
      <c r="AF193">
        <v>198.52800000000002</v>
      </c>
      <c r="AG193" s="379">
        <v>199</v>
      </c>
      <c r="AH193" s="358">
        <f t="shared" si="106"/>
        <v>44</v>
      </c>
      <c r="AJ193" s="379">
        <v>-0.14119999999999999</v>
      </c>
      <c r="AK193" s="366">
        <f t="shared" si="107"/>
        <v>1.1412</v>
      </c>
      <c r="AL193" s="366">
        <v>1.18</v>
      </c>
      <c r="AN193" s="152">
        <f t="shared" si="115"/>
        <v>226.56</v>
      </c>
      <c r="AP193" s="379">
        <v>1.034</v>
      </c>
      <c r="AQ193" s="243">
        <v>-0.14119999999999999</v>
      </c>
      <c r="AR193" s="366">
        <f t="shared" si="108"/>
        <v>0.22999999999999998</v>
      </c>
      <c r="AT193" s="241">
        <f t="shared" si="109"/>
        <v>-0.24</v>
      </c>
    </row>
    <row r="194" spans="1:46" x14ac:dyDescent="0.25">
      <c r="A194" s="361" t="s">
        <v>505</v>
      </c>
      <c r="B194" s="361" t="s">
        <v>226</v>
      </c>
      <c r="C194" s="362" t="s">
        <v>66</v>
      </c>
      <c r="D194" s="359" t="s">
        <v>190</v>
      </c>
      <c r="E194" s="373" t="s">
        <v>168</v>
      </c>
      <c r="F194" s="359">
        <f>VLOOKUP(E194,'условия, ФОТ'!$A$14:$I$28,9, FALSE)</f>
        <v>282.83999999999997</v>
      </c>
      <c r="G194" s="364">
        <v>0.67</v>
      </c>
      <c r="H194" s="359">
        <f t="shared" si="114"/>
        <v>189.5</v>
      </c>
      <c r="I194" s="359">
        <f t="shared" si="111"/>
        <v>57.23</v>
      </c>
      <c r="J194" s="359">
        <f t="shared" si="112"/>
        <v>246.73</v>
      </c>
      <c r="K194" s="363"/>
      <c r="L194" s="359"/>
      <c r="M194" s="359"/>
      <c r="N194" s="359"/>
      <c r="O194" s="359"/>
      <c r="P194" s="359">
        <f t="shared" si="117"/>
        <v>246.73</v>
      </c>
      <c r="Q194" s="359">
        <f t="shared" si="16"/>
        <v>191.22</v>
      </c>
      <c r="R194" s="369">
        <f t="shared" si="129"/>
        <v>270.83</v>
      </c>
      <c r="S194" s="369">
        <f t="shared" si="17"/>
        <v>54.17</v>
      </c>
      <c r="T194" s="369">
        <f t="shared" si="125"/>
        <v>325</v>
      </c>
      <c r="U194" s="121">
        <v>249</v>
      </c>
      <c r="V194" s="127">
        <f t="shared" si="62"/>
        <v>30.522088353413665</v>
      </c>
      <c r="W194" s="377">
        <v>257</v>
      </c>
      <c r="X194" s="367">
        <f t="shared" si="104"/>
        <v>26.459143968871587</v>
      </c>
      <c r="Y194" s="117">
        <v>257</v>
      </c>
      <c r="Z194" s="368">
        <v>1.2649999999999999</v>
      </c>
      <c r="AA194" s="152">
        <f t="shared" si="126"/>
        <v>325.11</v>
      </c>
      <c r="AB194" s="157">
        <f t="shared" si="127"/>
        <v>525.54</v>
      </c>
      <c r="AC194" s="170">
        <f t="shared" si="128"/>
        <v>-0.38140000000000002</v>
      </c>
      <c r="AD194" s="366">
        <f t="shared" si="105"/>
        <v>-200.440956</v>
      </c>
      <c r="AF194">
        <v>265.738</v>
      </c>
      <c r="AG194" s="379">
        <v>266</v>
      </c>
      <c r="AH194" s="358">
        <f t="shared" si="106"/>
        <v>59</v>
      </c>
      <c r="AJ194" s="379">
        <v>-0.14219999999999999</v>
      </c>
      <c r="AK194" s="366">
        <f t="shared" si="107"/>
        <v>1.1421999999999999</v>
      </c>
      <c r="AL194" s="366">
        <v>1.181</v>
      </c>
      <c r="AN194" s="152">
        <f t="shared" si="115"/>
        <v>303.52</v>
      </c>
      <c r="AP194" s="379">
        <v>1.034</v>
      </c>
      <c r="AQ194" s="243">
        <v>-0.14219999999999999</v>
      </c>
      <c r="AR194" s="366">
        <f t="shared" si="108"/>
        <v>0.23099999999999987</v>
      </c>
      <c r="AT194" s="241">
        <f t="shared" si="109"/>
        <v>-0.23920000000000002</v>
      </c>
    </row>
    <row r="195" spans="1:46" x14ac:dyDescent="0.25">
      <c r="A195" s="361" t="s">
        <v>506</v>
      </c>
      <c r="B195" s="361" t="s">
        <v>227</v>
      </c>
      <c r="C195" s="362" t="s">
        <v>67</v>
      </c>
      <c r="D195" s="359" t="s">
        <v>228</v>
      </c>
      <c r="E195" s="373" t="s">
        <v>168</v>
      </c>
      <c r="F195" s="359">
        <f>VLOOKUP(E195,'условия, ФОТ'!$A$14:$I$28,9, FALSE)</f>
        <v>282.83999999999997</v>
      </c>
      <c r="G195" s="364">
        <v>0.3</v>
      </c>
      <c r="H195" s="359">
        <f t="shared" si="114"/>
        <v>84.85</v>
      </c>
      <c r="I195" s="359">
        <f t="shared" si="111"/>
        <v>25.62</v>
      </c>
      <c r="J195" s="359">
        <f t="shared" si="112"/>
        <v>110.47</v>
      </c>
      <c r="K195" s="363"/>
      <c r="L195" s="359"/>
      <c r="M195" s="359"/>
      <c r="N195" s="359"/>
      <c r="O195" s="359"/>
      <c r="P195" s="359">
        <f t="shared" si="117"/>
        <v>110.47</v>
      </c>
      <c r="Q195" s="359">
        <f t="shared" si="16"/>
        <v>85.61</v>
      </c>
      <c r="R195" s="369">
        <f t="shared" si="129"/>
        <v>121.67</v>
      </c>
      <c r="S195" s="369">
        <f>ROUND(R195*$S$5,2)</f>
        <v>24.33</v>
      </c>
      <c r="T195" s="369">
        <f t="shared" si="125"/>
        <v>146</v>
      </c>
      <c r="U195" s="121">
        <v>111</v>
      </c>
      <c r="V195" s="127">
        <f t="shared" si="62"/>
        <v>31.531531531531556</v>
      </c>
      <c r="W195" s="377">
        <v>115</v>
      </c>
      <c r="X195" s="367">
        <f t="shared" si="104"/>
        <v>26.956521739130437</v>
      </c>
      <c r="Y195" s="117">
        <v>115</v>
      </c>
      <c r="Z195" s="368">
        <v>1.266</v>
      </c>
      <c r="AA195" s="152">
        <f t="shared" si="126"/>
        <v>145.59</v>
      </c>
      <c r="AB195" s="157">
        <f t="shared" si="127"/>
        <v>235.3</v>
      </c>
      <c r="AC195" s="170">
        <f t="shared" si="128"/>
        <v>-0.38129999999999997</v>
      </c>
      <c r="AD195" s="366">
        <f t="shared" si="105"/>
        <v>-89.719889999999992</v>
      </c>
      <c r="AF195">
        <v>118.91</v>
      </c>
      <c r="AG195" s="379">
        <v>119</v>
      </c>
      <c r="AH195" s="358">
        <f t="shared" si="106"/>
        <v>27</v>
      </c>
      <c r="AJ195" s="379">
        <v>-0.14269999999999999</v>
      </c>
      <c r="AK195" s="366">
        <f t="shared" si="107"/>
        <v>1.1427</v>
      </c>
      <c r="AL195" s="366">
        <v>1.1819999999999999</v>
      </c>
      <c r="AN195" s="152">
        <f t="shared" si="115"/>
        <v>135.93</v>
      </c>
      <c r="AP195" s="379">
        <v>1.034</v>
      </c>
      <c r="AQ195" s="243">
        <v>-0.14269999999999999</v>
      </c>
      <c r="AR195" s="366">
        <f t="shared" si="108"/>
        <v>0.23199999999999998</v>
      </c>
      <c r="AT195" s="241">
        <f t="shared" si="109"/>
        <v>-0.23859999999999998</v>
      </c>
    </row>
    <row r="196" spans="1:46" x14ac:dyDescent="0.25">
      <c r="A196" s="361" t="s">
        <v>507</v>
      </c>
      <c r="B196" s="361" t="s">
        <v>229</v>
      </c>
      <c r="C196" s="362" t="s">
        <v>68</v>
      </c>
      <c r="D196" s="359" t="s">
        <v>228</v>
      </c>
      <c r="E196" s="373" t="s">
        <v>168</v>
      </c>
      <c r="F196" s="359">
        <f>VLOOKUP(E196,'условия, ФОТ'!$A$14:$I$28,9, FALSE)</f>
        <v>282.83999999999997</v>
      </c>
      <c r="G196" s="364">
        <v>0.25</v>
      </c>
      <c r="H196" s="359">
        <f t="shared" si="114"/>
        <v>70.709999999999994</v>
      </c>
      <c r="I196" s="359">
        <f t="shared" si="111"/>
        <v>21.35</v>
      </c>
      <c r="J196" s="359">
        <f t="shared" si="112"/>
        <v>92.06</v>
      </c>
      <c r="K196" s="363"/>
      <c r="L196" s="359"/>
      <c r="M196" s="359"/>
      <c r="N196" s="359"/>
      <c r="O196" s="359"/>
      <c r="P196" s="359">
        <f t="shared" si="117"/>
        <v>92.06</v>
      </c>
      <c r="Q196" s="359">
        <f t="shared" si="16"/>
        <v>71.349999999999994</v>
      </c>
      <c r="R196" s="369">
        <f t="shared" si="129"/>
        <v>100.83</v>
      </c>
      <c r="S196" s="369">
        <f t="shared" si="17"/>
        <v>20.170000000000002</v>
      </c>
      <c r="T196" s="369">
        <f t="shared" si="125"/>
        <v>121</v>
      </c>
      <c r="U196" s="121">
        <v>93</v>
      </c>
      <c r="V196" s="127">
        <f t="shared" si="62"/>
        <v>30.107526881720418</v>
      </c>
      <c r="W196" s="377">
        <v>96</v>
      </c>
      <c r="X196" s="367">
        <f t="shared" si="104"/>
        <v>26.041666666666671</v>
      </c>
      <c r="Y196" s="117">
        <v>96</v>
      </c>
      <c r="Z196" s="368">
        <v>1.264</v>
      </c>
      <c r="AA196" s="152">
        <f t="shared" si="126"/>
        <v>121.34</v>
      </c>
      <c r="AB196" s="157">
        <f t="shared" si="127"/>
        <v>196.09</v>
      </c>
      <c r="AC196" s="170">
        <f t="shared" si="128"/>
        <v>-0.38119999999999998</v>
      </c>
      <c r="AD196" s="366">
        <f t="shared" si="105"/>
        <v>-74.749507999999992</v>
      </c>
      <c r="AF196">
        <v>99.26400000000001</v>
      </c>
      <c r="AG196" s="379">
        <v>99</v>
      </c>
      <c r="AH196" s="358">
        <f t="shared" si="106"/>
        <v>22</v>
      </c>
      <c r="AJ196" s="379">
        <v>-0.14130000000000001</v>
      </c>
      <c r="AK196" s="366">
        <f t="shared" si="107"/>
        <v>1.1413</v>
      </c>
      <c r="AL196" s="366">
        <v>1.18</v>
      </c>
      <c r="AN196" s="152">
        <f t="shared" si="115"/>
        <v>113.28</v>
      </c>
      <c r="AP196" s="379">
        <v>1.034</v>
      </c>
      <c r="AQ196" s="243">
        <v>-0.14130000000000001</v>
      </c>
      <c r="AR196" s="366">
        <f t="shared" si="108"/>
        <v>0.22999999999999998</v>
      </c>
      <c r="AT196" s="241">
        <f t="shared" si="109"/>
        <v>-0.23989999999999997</v>
      </c>
    </row>
    <row r="197" spans="1:46" s="117" customFormat="1" ht="41.25" customHeight="1" x14ac:dyDescent="0.25">
      <c r="A197" s="361" t="s">
        <v>640</v>
      </c>
      <c r="B197" s="361" t="s">
        <v>229</v>
      </c>
      <c r="C197" s="362" t="s">
        <v>641</v>
      </c>
      <c r="D197" s="359" t="s">
        <v>228</v>
      </c>
      <c r="E197" s="373" t="s">
        <v>168</v>
      </c>
      <c r="F197" s="359">
        <f>VLOOKUP(E197,'условия, ФОТ'!$A$14:$I$28,9, FALSE)</f>
        <v>282.83999999999997</v>
      </c>
      <c r="G197" s="364">
        <v>0.25</v>
      </c>
      <c r="H197" s="359">
        <f t="shared" si="114"/>
        <v>70.709999999999994</v>
      </c>
      <c r="I197" s="359">
        <f t="shared" si="111"/>
        <v>21.35</v>
      </c>
      <c r="J197" s="359">
        <f t="shared" si="112"/>
        <v>92.06</v>
      </c>
      <c r="K197" s="363"/>
      <c r="L197" s="359"/>
      <c r="M197" s="359"/>
      <c r="N197" s="359"/>
      <c r="O197" s="359">
        <f>SUM(O198)</f>
        <v>82.42</v>
      </c>
      <c r="P197" s="359">
        <f t="shared" si="117"/>
        <v>174.48000000000002</v>
      </c>
      <c r="Q197" s="359">
        <f t="shared" si="16"/>
        <v>135.22</v>
      </c>
      <c r="R197" s="369">
        <f t="shared" si="129"/>
        <v>270</v>
      </c>
      <c r="S197" s="369">
        <f t="shared" si="17"/>
        <v>54</v>
      </c>
      <c r="T197" s="369">
        <f t="shared" si="125"/>
        <v>324</v>
      </c>
      <c r="U197" s="121"/>
      <c r="V197" s="127"/>
      <c r="W197" s="140">
        <v>313</v>
      </c>
      <c r="X197" s="137">
        <f t="shared" si="104"/>
        <v>3.5143769968050975</v>
      </c>
      <c r="Z197" s="356">
        <v>1.034</v>
      </c>
      <c r="AA197" s="152">
        <f t="shared" si="126"/>
        <v>323.64</v>
      </c>
      <c r="AB197" s="157">
        <f t="shared" si="127"/>
        <v>371.64</v>
      </c>
      <c r="AC197" s="170">
        <f t="shared" si="128"/>
        <v>-0.12920000000000001</v>
      </c>
      <c r="AD197" s="366">
        <f t="shared" si="105"/>
        <v>-48.015888000000004</v>
      </c>
      <c r="AF197" s="117">
        <v>323.642</v>
      </c>
      <c r="AG197" s="164">
        <v>324</v>
      </c>
      <c r="AH197" s="358">
        <f t="shared" si="106"/>
        <v>0</v>
      </c>
      <c r="AJ197" s="164">
        <v>0.1101</v>
      </c>
      <c r="AK197" s="366">
        <f t="shared" si="107"/>
        <v>0.1101</v>
      </c>
      <c r="AL197" s="366">
        <v>0</v>
      </c>
      <c r="AN197" s="152"/>
      <c r="AO197" s="355"/>
      <c r="AP197" s="164">
        <v>1.034</v>
      </c>
      <c r="AQ197" s="19">
        <v>0.1101</v>
      </c>
      <c r="AR197" s="366">
        <f t="shared" si="108"/>
        <v>0</v>
      </c>
      <c r="AT197" s="241">
        <f t="shared" si="109"/>
        <v>-0.23930000000000001</v>
      </c>
    </row>
    <row r="198" spans="1:46" s="117" customFormat="1" ht="58.5" customHeight="1" x14ac:dyDescent="0.25">
      <c r="A198" s="361"/>
      <c r="B198" s="361"/>
      <c r="C198" s="362"/>
      <c r="D198" s="359"/>
      <c r="E198" s="373"/>
      <c r="F198" s="359"/>
      <c r="G198" s="364"/>
      <c r="H198" s="359"/>
      <c r="I198" s="359"/>
      <c r="J198" s="178" t="s">
        <v>385</v>
      </c>
      <c r="K198" s="362" t="s">
        <v>642</v>
      </c>
      <c r="L198" s="359" t="s">
        <v>27</v>
      </c>
      <c r="M198" s="359">
        <v>82.42</v>
      </c>
      <c r="N198" s="359">
        <v>1</v>
      </c>
      <c r="O198" s="359">
        <v>82.42</v>
      </c>
      <c r="P198" s="359"/>
      <c r="Q198" s="359"/>
      <c r="R198" s="369"/>
      <c r="S198" s="369"/>
      <c r="T198" s="369"/>
      <c r="U198" s="121"/>
      <c r="V198" s="127"/>
      <c r="W198" s="138"/>
      <c r="X198" s="137"/>
      <c r="Z198" s="356"/>
      <c r="AA198" s="366"/>
      <c r="AB198" s="158"/>
      <c r="AC198" s="170"/>
      <c r="AD198" s="366"/>
      <c r="AG198" s="164"/>
      <c r="AH198" s="358"/>
      <c r="AJ198" s="164"/>
      <c r="AK198" s="366"/>
      <c r="AL198" s="366"/>
      <c r="AN198" s="152"/>
      <c r="AO198" s="355"/>
      <c r="AP198" s="164"/>
      <c r="AQ198" s="19"/>
      <c r="AR198" s="366"/>
      <c r="AT198" s="241"/>
    </row>
    <row r="199" spans="1:46" ht="15.75" customHeight="1" x14ac:dyDescent="0.25">
      <c r="A199" s="361" t="s">
        <v>508</v>
      </c>
      <c r="B199" s="361" t="s">
        <v>230</v>
      </c>
      <c r="C199" s="362" t="s">
        <v>69</v>
      </c>
      <c r="D199" s="359" t="s">
        <v>217</v>
      </c>
      <c r="E199" s="373" t="s">
        <v>168</v>
      </c>
      <c r="F199" s="359">
        <f>VLOOKUP(E199,'условия, ФОТ'!$A$14:$I$28,9, FALSE)</f>
        <v>282.83999999999997</v>
      </c>
      <c r="G199" s="364">
        <v>0.6</v>
      </c>
      <c r="H199" s="359">
        <f t="shared" si="114"/>
        <v>169.7</v>
      </c>
      <c r="I199" s="359">
        <f t="shared" si="111"/>
        <v>51.25</v>
      </c>
      <c r="J199" s="359">
        <f t="shared" si="112"/>
        <v>220.95</v>
      </c>
      <c r="K199" s="363"/>
      <c r="L199" s="359"/>
      <c r="M199" s="359"/>
      <c r="N199" s="359"/>
      <c r="O199" s="359">
        <f>SUM(O200:O203)</f>
        <v>7.75</v>
      </c>
      <c r="P199" s="359">
        <f t="shared" si="117"/>
        <v>228.7</v>
      </c>
      <c r="Q199" s="359">
        <f t="shared" si="16"/>
        <v>177.24</v>
      </c>
      <c r="R199" s="369">
        <f t="shared" si="129"/>
        <v>268.33</v>
      </c>
      <c r="S199" s="369">
        <f t="shared" si="17"/>
        <v>53.67</v>
      </c>
      <c r="T199" s="369">
        <f>ROUND((P199+Q199)*(1+AC199)*1.2,0)</f>
        <v>322</v>
      </c>
      <c r="U199" s="121">
        <v>252</v>
      </c>
      <c r="V199" s="127">
        <f t="shared" si="62"/>
        <v>27.777777777777771</v>
      </c>
      <c r="W199" s="377">
        <v>260</v>
      </c>
      <c r="X199" s="367">
        <f t="shared" si="104"/>
        <v>23.846153846153854</v>
      </c>
      <c r="Y199" s="117">
        <v>260</v>
      </c>
      <c r="Z199" s="368">
        <v>1.2370000000000001</v>
      </c>
      <c r="AA199" s="152">
        <f>ROUND(W199*Z199,2)</f>
        <v>321.62</v>
      </c>
      <c r="AB199" s="157">
        <f>ROUND((P199+Q199)*1.2,2)</f>
        <v>487.13</v>
      </c>
      <c r="AC199" s="170">
        <f>ROUND((AA199/AB199)*100%-100%,4)</f>
        <v>-0.33979999999999999</v>
      </c>
      <c r="AD199" s="366">
        <f t="shared" si="105"/>
        <v>-165.52677399999999</v>
      </c>
      <c r="AF199">
        <v>268.84000000000003</v>
      </c>
      <c r="AG199" s="379">
        <v>269</v>
      </c>
      <c r="AH199" s="358">
        <f t="shared" si="106"/>
        <v>53</v>
      </c>
      <c r="AJ199" s="379">
        <v>-0.1226</v>
      </c>
      <c r="AK199" s="366">
        <f t="shared" si="107"/>
        <v>1.1226</v>
      </c>
      <c r="AL199" s="366">
        <v>1.161</v>
      </c>
      <c r="AN199" s="152">
        <f t="shared" si="115"/>
        <v>301.86</v>
      </c>
      <c r="AP199" s="379">
        <v>1.034</v>
      </c>
      <c r="AQ199" s="243">
        <v>-0.1226</v>
      </c>
      <c r="AR199" s="366">
        <f t="shared" si="108"/>
        <v>0.20300000000000007</v>
      </c>
      <c r="AT199" s="241">
        <f t="shared" si="109"/>
        <v>-0.2172</v>
      </c>
    </row>
    <row r="200" spans="1:46" ht="25.5" outlineLevel="1" x14ac:dyDescent="0.25">
      <c r="A200" s="361"/>
      <c r="B200" s="361"/>
      <c r="C200" s="362"/>
      <c r="D200" s="359"/>
      <c r="E200" s="373"/>
      <c r="F200" s="359"/>
      <c r="G200" s="364"/>
      <c r="H200" s="359"/>
      <c r="I200" s="359"/>
      <c r="J200" s="178" t="s">
        <v>385</v>
      </c>
      <c r="K200" s="92" t="s">
        <v>341</v>
      </c>
      <c r="L200" s="364" t="str">
        <f>VLOOKUP(K200,материалы!$A$5:$G$31,5, FALSE)</f>
        <v>кг</v>
      </c>
      <c r="M200" s="359">
        <f>VLOOKUP(K200,материалы!$A$5:$G$31,7, FALSE)</f>
        <v>950</v>
      </c>
      <c r="N200" s="359">
        <v>5.0000000000000001E-3</v>
      </c>
      <c r="O200" s="359">
        <f>ROUND(M200*N200,2)</f>
        <v>4.75</v>
      </c>
      <c r="P200" s="359"/>
      <c r="Q200" s="359"/>
      <c r="R200" s="369"/>
      <c r="S200" s="369"/>
      <c r="T200" s="369"/>
      <c r="U200" s="121"/>
      <c r="V200" s="127"/>
      <c r="W200" s="377"/>
      <c r="X200" s="367"/>
      <c r="Z200" s="356"/>
      <c r="AA200" s="366"/>
      <c r="AB200" s="158"/>
      <c r="AC200" s="170"/>
      <c r="AD200" s="366"/>
      <c r="AG200" s="379"/>
      <c r="AH200" s="358"/>
      <c r="AJ200" s="379"/>
      <c r="AK200" s="366"/>
      <c r="AL200" s="366"/>
      <c r="AN200" s="152"/>
      <c r="AP200" s="379"/>
      <c r="AQ200" s="243"/>
      <c r="AR200" s="366"/>
      <c r="AT200" s="241"/>
    </row>
    <row r="201" spans="1:46" outlineLevel="1" x14ac:dyDescent="0.25">
      <c r="A201" s="361"/>
      <c r="B201" s="361"/>
      <c r="C201" s="362"/>
      <c r="D201" s="359"/>
      <c r="E201" s="373"/>
      <c r="F201" s="359"/>
      <c r="G201" s="364"/>
      <c r="H201" s="359"/>
      <c r="I201" s="359"/>
      <c r="J201" s="359"/>
      <c r="K201" s="184" t="s">
        <v>335</v>
      </c>
      <c r="L201" s="364" t="str">
        <f>VLOOKUP(K201,материалы!$A$5:$G$31,5, FALSE)</f>
        <v>кг</v>
      </c>
      <c r="M201" s="359">
        <f>VLOOKUP(K201,материалы!$A$5:$G$31,7, FALSE)</f>
        <v>95</v>
      </c>
      <c r="N201" s="359">
        <v>1E-3</v>
      </c>
      <c r="O201" s="359">
        <f t="shared" ref="O201:O203" si="130">ROUND(M201*N201,2)</f>
        <v>0.1</v>
      </c>
      <c r="P201" s="359"/>
      <c r="Q201" s="359"/>
      <c r="R201" s="369"/>
      <c r="S201" s="369"/>
      <c r="T201" s="369"/>
      <c r="U201" s="121"/>
      <c r="V201" s="127"/>
      <c r="W201" s="377"/>
      <c r="X201" s="367"/>
      <c r="Z201" s="356"/>
      <c r="AA201" s="366"/>
      <c r="AB201" s="158"/>
      <c r="AC201" s="170"/>
      <c r="AD201" s="366"/>
      <c r="AG201" s="379"/>
      <c r="AH201" s="358"/>
      <c r="AJ201" s="379"/>
      <c r="AK201" s="366"/>
      <c r="AL201" s="366"/>
      <c r="AN201" s="152"/>
      <c r="AP201" s="379"/>
      <c r="AQ201" s="243"/>
      <c r="AR201" s="366"/>
      <c r="AT201" s="241"/>
    </row>
    <row r="202" spans="1:46" outlineLevel="1" x14ac:dyDescent="0.25">
      <c r="A202" s="361"/>
      <c r="B202" s="361"/>
      <c r="C202" s="362"/>
      <c r="D202" s="359"/>
      <c r="E202" s="373"/>
      <c r="F202" s="359"/>
      <c r="G202" s="364"/>
      <c r="H202" s="359"/>
      <c r="I202" s="359"/>
      <c r="J202" s="359"/>
      <c r="K202" s="184" t="s">
        <v>336</v>
      </c>
      <c r="L202" s="364" t="str">
        <f>VLOOKUP(K202,материалы!$A$5:$G$31,5, FALSE)</f>
        <v>кг</v>
      </c>
      <c r="M202" s="359">
        <f>VLOOKUP(K202,материалы!$A$5:$G$31,7, FALSE)</f>
        <v>80</v>
      </c>
      <c r="N202" s="359">
        <v>0.01</v>
      </c>
      <c r="O202" s="359">
        <f t="shared" si="130"/>
        <v>0.8</v>
      </c>
      <c r="P202" s="359"/>
      <c r="Q202" s="359"/>
      <c r="R202" s="369"/>
      <c r="S202" s="369"/>
      <c r="T202" s="369"/>
      <c r="U202" s="121"/>
      <c r="V202" s="127"/>
      <c r="W202" s="377"/>
      <c r="X202" s="367"/>
      <c r="Z202" s="356"/>
      <c r="AA202" s="366"/>
      <c r="AB202" s="158"/>
      <c r="AC202" s="170"/>
      <c r="AD202" s="366"/>
      <c r="AG202" s="379"/>
      <c r="AH202" s="358"/>
      <c r="AJ202" s="379"/>
      <c r="AK202" s="366"/>
      <c r="AL202" s="366"/>
      <c r="AN202" s="152"/>
      <c r="AP202" s="379"/>
      <c r="AQ202" s="243"/>
      <c r="AR202" s="366"/>
      <c r="AT202" s="241"/>
    </row>
    <row r="203" spans="1:46" ht="25.5" outlineLevel="1" x14ac:dyDescent="0.25">
      <c r="A203" s="361"/>
      <c r="B203" s="361"/>
      <c r="C203" s="362"/>
      <c r="D203" s="359"/>
      <c r="E203" s="373"/>
      <c r="F203" s="359"/>
      <c r="G203" s="364"/>
      <c r="H203" s="359"/>
      <c r="I203" s="359"/>
      <c r="J203" s="359"/>
      <c r="K203" s="184" t="s">
        <v>338</v>
      </c>
      <c r="L203" s="364" t="str">
        <f>VLOOKUP(K203,материалы!$A$5:$G$31,5, FALSE)</f>
        <v>шт.</v>
      </c>
      <c r="M203" s="359">
        <f>VLOOKUP(K203,материалы!$A$5:$G$31,7, FALSE)</f>
        <v>2.1</v>
      </c>
      <c r="N203" s="359">
        <v>1</v>
      </c>
      <c r="O203" s="359">
        <f t="shared" si="130"/>
        <v>2.1</v>
      </c>
      <c r="P203" s="359"/>
      <c r="Q203" s="359"/>
      <c r="R203" s="369"/>
      <c r="S203" s="369"/>
      <c r="T203" s="369"/>
      <c r="U203" s="121"/>
      <c r="V203" s="127"/>
      <c r="W203" s="377"/>
      <c r="X203" s="367"/>
      <c r="Z203" s="356"/>
      <c r="AA203" s="366"/>
      <c r="AB203" s="158"/>
      <c r="AC203" s="170"/>
      <c r="AD203" s="366"/>
      <c r="AG203" s="379"/>
      <c r="AH203" s="358"/>
      <c r="AJ203" s="379"/>
      <c r="AK203" s="366"/>
      <c r="AL203" s="366"/>
      <c r="AN203" s="152"/>
      <c r="AP203" s="379"/>
      <c r="AQ203" s="243"/>
      <c r="AR203" s="366"/>
      <c r="AT203" s="241"/>
    </row>
    <row r="204" spans="1:46" ht="25.5" x14ac:dyDescent="0.25">
      <c r="A204" s="361" t="s">
        <v>627</v>
      </c>
      <c r="B204" s="361" t="s">
        <v>230</v>
      </c>
      <c r="C204" s="362" t="s">
        <v>628</v>
      </c>
      <c r="D204" s="359" t="s">
        <v>217</v>
      </c>
      <c r="E204" s="373" t="s">
        <v>168</v>
      </c>
      <c r="F204" s="359">
        <f>VLOOKUP(E204,'условия, ФОТ'!$A$14:$I$28,9, FALSE)</f>
        <v>282.83999999999997</v>
      </c>
      <c r="G204" s="364">
        <v>0.6</v>
      </c>
      <c r="H204" s="359">
        <f t="shared" ref="H204" si="131">ROUND(F204*G204,2)</f>
        <v>169.7</v>
      </c>
      <c r="I204" s="359">
        <f t="shared" ref="I204" si="132">ROUND(H204*$I$5,2)</f>
        <v>51.25</v>
      </c>
      <c r="J204" s="359">
        <f t="shared" ref="J204" si="133">H204+I204</f>
        <v>220.95</v>
      </c>
      <c r="K204" s="363"/>
      <c r="L204" s="359"/>
      <c r="M204" s="359"/>
      <c r="N204" s="359"/>
      <c r="O204" s="359">
        <f>SUM(O205:O210)</f>
        <v>44.35</v>
      </c>
      <c r="P204" s="359">
        <f t="shared" ref="P204" si="134">J204+O204</f>
        <v>265.3</v>
      </c>
      <c r="Q204" s="359">
        <f t="shared" ref="Q204" si="135">ROUND(P204*$Q$5,2)</f>
        <v>205.61</v>
      </c>
      <c r="R204" s="369">
        <f t="shared" ref="R204" si="136">ROUND(T204/1.2,2)</f>
        <v>325</v>
      </c>
      <c r="S204" s="369">
        <f t="shared" ref="S204" si="137">ROUND(R204*$S$5,2)</f>
        <v>65</v>
      </c>
      <c r="T204" s="369">
        <f>ROUND((P204+Q204)*(1+AC204)*1.2,0)</f>
        <v>390</v>
      </c>
      <c r="U204" s="121">
        <v>336</v>
      </c>
      <c r="V204" s="127">
        <f t="shared" si="62"/>
        <v>16.071428571428584</v>
      </c>
      <c r="W204" s="377">
        <v>347</v>
      </c>
      <c r="X204" s="367">
        <f t="shared" ref="X204:X267" si="138">T204/W204*100-100</f>
        <v>12.391930835734868</v>
      </c>
      <c r="Y204" s="117">
        <v>347</v>
      </c>
      <c r="Z204" s="368">
        <v>1.125</v>
      </c>
      <c r="AA204" s="152">
        <f>ROUND(W204*Z204,2)</f>
        <v>390.38</v>
      </c>
      <c r="AB204" s="157">
        <f>ROUND((P204+Q204)*1.2,2)</f>
        <v>565.09</v>
      </c>
      <c r="AC204" s="170">
        <f>ROUND((AA204/AB204)*100%-100%,4)</f>
        <v>-0.30919999999999997</v>
      </c>
      <c r="AD204" s="366">
        <f t="shared" ref="AD204:AD267" si="139">AB204*AC204</f>
        <v>-174.72582800000001</v>
      </c>
      <c r="AF204">
        <v>358.798</v>
      </c>
      <c r="AG204" s="379">
        <v>359</v>
      </c>
      <c r="AH204" s="358">
        <f t="shared" ref="AH204:AH267" si="140">T204-AG204</f>
        <v>31</v>
      </c>
      <c r="AJ204" s="379">
        <v>-3.5700000000000003E-2</v>
      </c>
      <c r="AK204" s="366">
        <f t="shared" ref="AK204:AK267" si="141">IF(AJ204&lt;0,-AJ204+1,AJ204)</f>
        <v>1.0357000000000001</v>
      </c>
      <c r="AL204" s="366">
        <v>1.071</v>
      </c>
      <c r="AN204" s="152">
        <f t="shared" si="115"/>
        <v>371.64</v>
      </c>
      <c r="AP204" s="379">
        <v>1.034</v>
      </c>
      <c r="AQ204" s="243">
        <v>-3.5700000000000003E-2</v>
      </c>
      <c r="AR204" s="366">
        <f t="shared" ref="AR204:AR267" si="142">Z204-AP204</f>
        <v>9.099999999999997E-2</v>
      </c>
      <c r="AT204" s="241">
        <f t="shared" ref="AT204:AT267" si="143">AC204-AQ204</f>
        <v>-0.27349999999999997</v>
      </c>
    </row>
    <row r="205" spans="1:46" x14ac:dyDescent="0.25">
      <c r="A205" s="361"/>
      <c r="B205" s="361"/>
      <c r="C205" s="362"/>
      <c r="D205" s="359"/>
      <c r="E205" s="373"/>
      <c r="F205" s="359"/>
      <c r="G205" s="364"/>
      <c r="H205" s="359"/>
      <c r="I205" s="359"/>
      <c r="J205" s="178" t="s">
        <v>385</v>
      </c>
      <c r="K205" s="363" t="s">
        <v>629</v>
      </c>
      <c r="L205" s="359" t="s">
        <v>36</v>
      </c>
      <c r="M205" s="359">
        <v>33.049999999999997</v>
      </c>
      <c r="N205" s="359">
        <v>0.5</v>
      </c>
      <c r="O205" s="359">
        <f>ROUND(M205*N205,2)</f>
        <v>16.53</v>
      </c>
      <c r="P205" s="359"/>
      <c r="Q205" s="359"/>
      <c r="R205" s="369"/>
      <c r="S205" s="369"/>
      <c r="T205" s="369"/>
      <c r="U205" s="121"/>
      <c r="V205" s="127"/>
      <c r="W205" s="377"/>
      <c r="X205" s="367"/>
      <c r="Z205" s="356"/>
      <c r="AA205" s="366"/>
      <c r="AB205" s="158"/>
      <c r="AC205" s="170"/>
      <c r="AD205" s="366"/>
      <c r="AG205" s="379"/>
      <c r="AH205" s="358"/>
      <c r="AJ205" s="379"/>
      <c r="AK205" s="366"/>
      <c r="AL205" s="366"/>
      <c r="AN205" s="152"/>
      <c r="AP205" s="379"/>
      <c r="AQ205" s="243"/>
      <c r="AR205" s="366"/>
      <c r="AT205" s="241"/>
    </row>
    <row r="206" spans="1:46" x14ac:dyDescent="0.25">
      <c r="A206" s="361"/>
      <c r="B206" s="361"/>
      <c r="C206" s="362"/>
      <c r="D206" s="359"/>
      <c r="E206" s="373"/>
      <c r="F206" s="359"/>
      <c r="G206" s="364"/>
      <c r="H206" s="359"/>
      <c r="I206" s="359"/>
      <c r="J206" s="359"/>
      <c r="K206" s="363" t="s">
        <v>630</v>
      </c>
      <c r="L206" s="359" t="s">
        <v>27</v>
      </c>
      <c r="M206" s="359">
        <v>8.15</v>
      </c>
      <c r="N206" s="359">
        <v>2</v>
      </c>
      <c r="O206" s="359">
        <f>ROUND(M206*N206,2)</f>
        <v>16.3</v>
      </c>
      <c r="P206" s="359"/>
      <c r="Q206" s="359"/>
      <c r="R206" s="369"/>
      <c r="S206" s="369"/>
      <c r="T206" s="369"/>
      <c r="U206" s="121"/>
      <c r="V206" s="127"/>
      <c r="W206" s="377"/>
      <c r="X206" s="367"/>
      <c r="Z206" s="356"/>
      <c r="AA206" s="366"/>
      <c r="AB206" s="158"/>
      <c r="AC206" s="170"/>
      <c r="AD206" s="366"/>
      <c r="AG206" s="379"/>
      <c r="AH206" s="358"/>
      <c r="AJ206" s="379"/>
      <c r="AK206" s="366"/>
      <c r="AL206" s="366"/>
      <c r="AN206" s="152"/>
      <c r="AP206" s="379"/>
      <c r="AQ206" s="243"/>
      <c r="AR206" s="366"/>
      <c r="AT206" s="241"/>
    </row>
    <row r="207" spans="1:46" ht="25.5" x14ac:dyDescent="0.25">
      <c r="A207" s="361"/>
      <c r="B207" s="361"/>
      <c r="C207" s="362"/>
      <c r="D207" s="359"/>
      <c r="E207" s="373"/>
      <c r="F207" s="359"/>
      <c r="G207" s="364"/>
      <c r="H207" s="359"/>
      <c r="I207" s="359"/>
      <c r="J207" s="178" t="s">
        <v>385</v>
      </c>
      <c r="K207" s="92" t="s">
        <v>341</v>
      </c>
      <c r="L207" s="364" t="str">
        <f>VLOOKUP(K207,[2]материалы!$A$5:$G$31,5, FALSE)</f>
        <v>кг</v>
      </c>
      <c r="M207" s="359">
        <f>VLOOKUP(K207,[2]материалы!$A$5:$G$31,7, FALSE)</f>
        <v>712.76</v>
      </c>
      <c r="N207" s="359">
        <v>5.0000000000000001E-3</v>
      </c>
      <c r="O207" s="359">
        <f>ROUND(M207*N207,2)</f>
        <v>3.56</v>
      </c>
      <c r="P207" s="359"/>
      <c r="Q207" s="359"/>
      <c r="R207" s="369"/>
      <c r="S207" s="369"/>
      <c r="T207" s="369"/>
      <c r="U207" s="121"/>
      <c r="V207" s="127"/>
      <c r="W207" s="377"/>
      <c r="X207" s="367"/>
      <c r="Z207" s="356"/>
      <c r="AA207" s="366"/>
      <c r="AB207" s="158"/>
      <c r="AC207" s="170"/>
      <c r="AD207" s="366"/>
      <c r="AG207" s="379"/>
      <c r="AH207" s="358"/>
      <c r="AJ207" s="379"/>
      <c r="AK207" s="366"/>
      <c r="AL207" s="366"/>
      <c r="AN207" s="152"/>
      <c r="AP207" s="379"/>
      <c r="AQ207" s="243"/>
      <c r="AR207" s="366"/>
      <c r="AT207" s="241"/>
    </row>
    <row r="208" spans="1:46" x14ac:dyDescent="0.25">
      <c r="A208" s="361"/>
      <c r="B208" s="361"/>
      <c r="C208" s="362"/>
      <c r="D208" s="359"/>
      <c r="E208" s="373"/>
      <c r="F208" s="359"/>
      <c r="G208" s="364"/>
      <c r="H208" s="359"/>
      <c r="I208" s="359"/>
      <c r="J208" s="359"/>
      <c r="K208" s="184" t="s">
        <v>335</v>
      </c>
      <c r="L208" s="364" t="str">
        <f>VLOOKUP(K208,[2]материалы!$A$5:$G$31,5, FALSE)</f>
        <v>кг</v>
      </c>
      <c r="M208" s="359">
        <f>VLOOKUP(K208,[2]материалы!$A$5:$G$31,7, FALSE)</f>
        <v>65.599999999999994</v>
      </c>
      <c r="N208" s="359">
        <v>1E-3</v>
      </c>
      <c r="O208" s="359">
        <f t="shared" ref="O208:O210" si="144">ROUND(M208*N208,2)</f>
        <v>7.0000000000000007E-2</v>
      </c>
      <c r="P208" s="359"/>
      <c r="Q208" s="359"/>
      <c r="R208" s="369"/>
      <c r="S208" s="369"/>
      <c r="T208" s="369"/>
      <c r="U208" s="121"/>
      <c r="V208" s="127"/>
      <c r="W208" s="377"/>
      <c r="X208" s="367"/>
      <c r="Z208" s="356"/>
      <c r="AA208" s="366"/>
      <c r="AB208" s="158"/>
      <c r="AC208" s="170"/>
      <c r="AD208" s="366"/>
      <c r="AG208" s="379"/>
      <c r="AH208" s="358"/>
      <c r="AJ208" s="379"/>
      <c r="AK208" s="366"/>
      <c r="AL208" s="366"/>
      <c r="AN208" s="152"/>
      <c r="AP208" s="379"/>
      <c r="AQ208" s="243"/>
      <c r="AR208" s="366"/>
      <c r="AT208" s="241"/>
    </row>
    <row r="209" spans="1:46" x14ac:dyDescent="0.25">
      <c r="A209" s="361"/>
      <c r="B209" s="361"/>
      <c r="C209" s="362"/>
      <c r="D209" s="359"/>
      <c r="E209" s="373"/>
      <c r="F209" s="359"/>
      <c r="G209" s="364"/>
      <c r="H209" s="359"/>
      <c r="I209" s="359"/>
      <c r="J209" s="359"/>
      <c r="K209" s="184" t="s">
        <v>336</v>
      </c>
      <c r="L209" s="364" t="str">
        <f>VLOOKUP(K209,[2]материалы!$A$5:$G$31,5, FALSE)</f>
        <v>кг</v>
      </c>
      <c r="M209" s="359">
        <f>VLOOKUP(K209,[2]материалы!$A$5:$G$31,7, FALSE)</f>
        <v>39.82</v>
      </c>
      <c r="N209" s="359">
        <v>0.01</v>
      </c>
      <c r="O209" s="359">
        <f t="shared" si="144"/>
        <v>0.4</v>
      </c>
      <c r="P209" s="359"/>
      <c r="Q209" s="359"/>
      <c r="R209" s="369"/>
      <c r="S209" s="369"/>
      <c r="T209" s="369"/>
      <c r="U209" s="121"/>
      <c r="V209" s="127"/>
      <c r="W209" s="377"/>
      <c r="X209" s="367"/>
      <c r="Z209" s="356"/>
      <c r="AA209" s="366"/>
      <c r="AB209" s="158"/>
      <c r="AC209" s="170"/>
      <c r="AD209" s="366"/>
      <c r="AG209" s="379"/>
      <c r="AH209" s="358"/>
      <c r="AJ209" s="379"/>
      <c r="AK209" s="366"/>
      <c r="AL209" s="366"/>
      <c r="AN209" s="152"/>
      <c r="AP209" s="379"/>
      <c r="AQ209" s="243"/>
      <c r="AR209" s="366"/>
      <c r="AT209" s="241"/>
    </row>
    <row r="210" spans="1:46" ht="25.5" x14ac:dyDescent="0.25">
      <c r="A210" s="361"/>
      <c r="B210" s="361"/>
      <c r="C210" s="362"/>
      <c r="D210" s="359"/>
      <c r="E210" s="373"/>
      <c r="F210" s="359"/>
      <c r="G210" s="364"/>
      <c r="H210" s="359"/>
      <c r="I210" s="359"/>
      <c r="J210" s="359"/>
      <c r="K210" s="184" t="s">
        <v>338</v>
      </c>
      <c r="L210" s="364" t="str">
        <f>VLOOKUP(K210,[2]материалы!$A$5:$G$31,5, FALSE)</f>
        <v>шт.</v>
      </c>
      <c r="M210" s="359">
        <f>VLOOKUP(K210,[2]материалы!$A$5:$G$31,7, FALSE)</f>
        <v>7.49</v>
      </c>
      <c r="N210" s="359">
        <v>1</v>
      </c>
      <c r="O210" s="359">
        <f t="shared" si="144"/>
        <v>7.49</v>
      </c>
      <c r="P210" s="359"/>
      <c r="Q210" s="359"/>
      <c r="R210" s="369"/>
      <c r="S210" s="369"/>
      <c r="T210" s="369"/>
      <c r="U210" s="121"/>
      <c r="V210" s="127"/>
      <c r="W210" s="377"/>
      <c r="X210" s="367"/>
      <c r="Z210" s="356"/>
      <c r="AA210" s="366"/>
      <c r="AB210" s="158"/>
      <c r="AC210" s="170"/>
      <c r="AD210" s="366"/>
      <c r="AG210" s="379"/>
      <c r="AH210" s="358"/>
      <c r="AJ210" s="379"/>
      <c r="AK210" s="366"/>
      <c r="AL210" s="366"/>
      <c r="AN210" s="152"/>
      <c r="AP210" s="379"/>
      <c r="AQ210" s="243"/>
      <c r="AR210" s="366"/>
      <c r="AT210" s="241"/>
    </row>
    <row r="211" spans="1:46" ht="22.7" customHeight="1" x14ac:dyDescent="0.25">
      <c r="A211" s="1026" t="s">
        <v>240</v>
      </c>
      <c r="B211" s="1027"/>
      <c r="C211" s="1027"/>
      <c r="D211" s="1027"/>
      <c r="E211" s="1027"/>
      <c r="F211" s="1027"/>
      <c r="G211" s="1027"/>
      <c r="H211" s="1027"/>
      <c r="I211" s="1027"/>
      <c r="J211" s="1027"/>
      <c r="K211" s="1027"/>
      <c r="L211" s="1027"/>
      <c r="M211" s="1027"/>
      <c r="N211" s="1027"/>
      <c r="O211" s="1027"/>
      <c r="P211" s="1027"/>
      <c r="Q211" s="1027"/>
      <c r="R211" s="348"/>
      <c r="S211" s="348"/>
      <c r="T211" s="348"/>
      <c r="U211" s="131"/>
      <c r="V211" s="127"/>
      <c r="W211" s="377"/>
      <c r="X211" s="367"/>
      <c r="Z211" s="356"/>
      <c r="AA211" s="366"/>
      <c r="AB211" s="158"/>
      <c r="AC211" s="170"/>
      <c r="AD211" s="366"/>
      <c r="AG211" s="379"/>
      <c r="AH211" s="358"/>
      <c r="AJ211" s="379"/>
      <c r="AK211" s="366"/>
      <c r="AL211" s="366"/>
      <c r="AN211" s="152"/>
      <c r="AP211" s="379"/>
      <c r="AQ211" s="243"/>
      <c r="AR211" s="366"/>
      <c r="AT211" s="241"/>
    </row>
    <row r="212" spans="1:46" ht="49.7" customHeight="1" x14ac:dyDescent="0.25">
      <c r="A212" s="361" t="s">
        <v>509</v>
      </c>
      <c r="B212" s="361" t="s">
        <v>232</v>
      </c>
      <c r="C212" s="362" t="s">
        <v>395</v>
      </c>
      <c r="D212" s="373" t="s">
        <v>244</v>
      </c>
      <c r="E212" s="373" t="s">
        <v>169</v>
      </c>
      <c r="F212" s="359">
        <f>VLOOKUP(E212,'условия, ФОТ'!$A$14:$I$28,9, FALSE)</f>
        <v>326.24</v>
      </c>
      <c r="G212" s="364">
        <v>3</v>
      </c>
      <c r="H212" s="359">
        <f t="shared" si="114"/>
        <v>978.72</v>
      </c>
      <c r="I212" s="359">
        <f t="shared" si="111"/>
        <v>295.57</v>
      </c>
      <c r="J212" s="359">
        <f t="shared" si="112"/>
        <v>1274.29</v>
      </c>
      <c r="K212" s="363"/>
      <c r="L212" s="359"/>
      <c r="M212" s="359"/>
      <c r="N212" s="359"/>
      <c r="O212" s="359">
        <f>SUM(O213:O217)</f>
        <v>30.98</v>
      </c>
      <c r="P212" s="359">
        <f>J212+O212</f>
        <v>1305.27</v>
      </c>
      <c r="Q212" s="359">
        <f t="shared" si="16"/>
        <v>1011.58</v>
      </c>
      <c r="R212" s="369">
        <f>ROUND(T212/1.2,2)</f>
        <v>1263.33</v>
      </c>
      <c r="S212" s="369">
        <f t="shared" si="17"/>
        <v>252.67</v>
      </c>
      <c r="T212" s="369">
        <f>ROUND((P212+Q212)*(1+AC212)*1.2,0)</f>
        <v>1516</v>
      </c>
      <c r="U212" s="121">
        <v>1330</v>
      </c>
      <c r="V212" s="127">
        <f t="shared" si="62"/>
        <v>13.984962406015029</v>
      </c>
      <c r="W212" s="377">
        <v>1372</v>
      </c>
      <c r="X212" s="367">
        <f t="shared" si="138"/>
        <v>10.495626822157433</v>
      </c>
      <c r="Y212" s="117">
        <v>1372</v>
      </c>
      <c r="Z212" s="368">
        <v>1.105</v>
      </c>
      <c r="AA212" s="152">
        <f>ROUND(W212*Z212,2)</f>
        <v>1516.06</v>
      </c>
      <c r="AB212" s="157">
        <f>ROUND((P212+Q212)*1.2,2)</f>
        <v>2780.22</v>
      </c>
      <c r="AC212" s="170">
        <f>ROUND((AA212/AB212)*100%-100%,4)</f>
        <v>-0.45469999999999999</v>
      </c>
      <c r="AD212" s="366">
        <f t="shared" si="139"/>
        <v>-1264.1660339999999</v>
      </c>
      <c r="AF212">
        <v>1418.6480000000001</v>
      </c>
      <c r="AG212" s="379">
        <v>1419</v>
      </c>
      <c r="AH212" s="358">
        <f t="shared" si="140"/>
        <v>97</v>
      </c>
      <c r="AJ212" s="379">
        <v>-1.78E-2</v>
      </c>
      <c r="AK212" s="366">
        <f t="shared" si="141"/>
        <v>1.0178</v>
      </c>
      <c r="AL212" s="366">
        <v>1.052</v>
      </c>
      <c r="AN212" s="152">
        <f t="shared" si="115"/>
        <v>1443.34</v>
      </c>
      <c r="AP212" s="379">
        <v>1.034</v>
      </c>
      <c r="AQ212" s="243">
        <v>-1.78E-2</v>
      </c>
      <c r="AR212" s="366">
        <f t="shared" si="142"/>
        <v>7.0999999999999952E-2</v>
      </c>
      <c r="AT212" s="241">
        <f t="shared" si="143"/>
        <v>-0.43690000000000001</v>
      </c>
    </row>
    <row r="213" spans="1:46" ht="29.25" customHeight="1" outlineLevel="1" x14ac:dyDescent="0.25">
      <c r="A213" s="361"/>
      <c r="B213" s="361"/>
      <c r="C213" s="362"/>
      <c r="D213" s="373"/>
      <c r="E213" s="373"/>
      <c r="F213" s="359"/>
      <c r="G213" s="364"/>
      <c r="H213" s="359"/>
      <c r="I213" s="359"/>
      <c r="J213" s="178" t="s">
        <v>385</v>
      </c>
      <c r="K213" s="92" t="s">
        <v>339</v>
      </c>
      <c r="L213" s="364" t="str">
        <f>VLOOKUP(K213,материалы!$A$5:$G$31,5, FALSE)</f>
        <v>кг</v>
      </c>
      <c r="M213" s="359">
        <f>VLOOKUP(K213,материалы!$A$5:$G$31,7, FALSE)</f>
        <v>281.57</v>
      </c>
      <c r="N213" s="359">
        <v>0.05</v>
      </c>
      <c r="O213" s="359">
        <f>ROUND(M213*N213,2)</f>
        <v>14.08</v>
      </c>
      <c r="P213" s="359"/>
      <c r="Q213" s="359"/>
      <c r="R213" s="369"/>
      <c r="S213" s="369"/>
      <c r="T213" s="369"/>
      <c r="U213" s="121"/>
      <c r="V213" s="127"/>
      <c r="W213" s="377"/>
      <c r="X213" s="367"/>
      <c r="Z213" s="356"/>
      <c r="AA213" s="366"/>
      <c r="AB213" s="158"/>
      <c r="AC213" s="170"/>
      <c r="AD213" s="366"/>
      <c r="AG213" s="379"/>
      <c r="AH213" s="358"/>
      <c r="AJ213" s="379"/>
      <c r="AK213" s="366"/>
      <c r="AL213" s="366"/>
      <c r="AN213" s="152"/>
      <c r="AP213" s="379"/>
      <c r="AQ213" s="243"/>
      <c r="AR213" s="366"/>
      <c r="AT213" s="241"/>
    </row>
    <row r="214" spans="1:46" ht="24" customHeight="1" outlineLevel="1" x14ac:dyDescent="0.25">
      <c r="A214" s="361"/>
      <c r="B214" s="361"/>
      <c r="C214" s="362"/>
      <c r="D214" s="373"/>
      <c r="E214" s="373"/>
      <c r="F214" s="359"/>
      <c r="G214" s="364"/>
      <c r="H214" s="359"/>
      <c r="I214" s="359"/>
      <c r="J214" s="376"/>
      <c r="K214" s="92" t="s">
        <v>341</v>
      </c>
      <c r="L214" s="364" t="str">
        <f>VLOOKUP(K214,материалы!$A$5:$G$31,5, FALSE)</f>
        <v>кг</v>
      </c>
      <c r="M214" s="359">
        <f>VLOOKUP(K214,материалы!$A$5:$G$31,7, FALSE)</f>
        <v>950</v>
      </c>
      <c r="N214" s="359">
        <v>5.0000000000000001E-3</v>
      </c>
      <c r="O214" s="359">
        <f>ROUND(M214*N214,2)</f>
        <v>4.75</v>
      </c>
      <c r="P214" s="359"/>
      <c r="Q214" s="359"/>
      <c r="R214" s="369"/>
      <c r="S214" s="369"/>
      <c r="T214" s="369"/>
      <c r="U214" s="121"/>
      <c r="V214" s="127"/>
      <c r="W214" s="377"/>
      <c r="X214" s="367"/>
      <c r="Z214" s="356"/>
      <c r="AA214" s="366"/>
      <c r="AB214" s="158"/>
      <c r="AC214" s="170"/>
      <c r="AD214" s="366"/>
      <c r="AG214" s="379"/>
      <c r="AH214" s="358"/>
      <c r="AJ214" s="379"/>
      <c r="AK214" s="366"/>
      <c r="AL214" s="366"/>
      <c r="AN214" s="152"/>
      <c r="AP214" s="379"/>
      <c r="AQ214" s="243"/>
      <c r="AR214" s="366"/>
      <c r="AT214" s="241"/>
    </row>
    <row r="215" spans="1:46" ht="24.75" customHeight="1" outlineLevel="1" x14ac:dyDescent="0.25">
      <c r="A215" s="361"/>
      <c r="B215" s="361"/>
      <c r="C215" s="362"/>
      <c r="D215" s="373"/>
      <c r="E215" s="373"/>
      <c r="F215" s="359"/>
      <c r="G215" s="364"/>
      <c r="H215" s="359"/>
      <c r="I215" s="359"/>
      <c r="J215" s="359"/>
      <c r="K215" s="92" t="s">
        <v>348</v>
      </c>
      <c r="L215" s="364" t="str">
        <f>VLOOKUP(K215,материалы!$A$5:$G$31,5, FALSE)</f>
        <v>шт.</v>
      </c>
      <c r="M215" s="359">
        <f>VLOOKUP(K215,материалы!$A$5:$G$31,7, FALSE)</f>
        <v>45</v>
      </c>
      <c r="N215" s="359">
        <v>0.25</v>
      </c>
      <c r="O215" s="359">
        <f>ROUND(M215*N215,2)</f>
        <v>11.25</v>
      </c>
      <c r="P215" s="359"/>
      <c r="Q215" s="359"/>
      <c r="R215" s="369"/>
      <c r="S215" s="369"/>
      <c r="T215" s="369"/>
      <c r="U215" s="121"/>
      <c r="V215" s="127"/>
      <c r="W215" s="377"/>
      <c r="X215" s="367"/>
      <c r="Z215" s="356"/>
      <c r="AA215" s="366"/>
      <c r="AB215" s="158"/>
      <c r="AC215" s="170"/>
      <c r="AD215" s="366"/>
      <c r="AG215" s="379"/>
      <c r="AH215" s="358"/>
      <c r="AJ215" s="379"/>
      <c r="AK215" s="366"/>
      <c r="AL215" s="366"/>
      <c r="AN215" s="152"/>
      <c r="AP215" s="379"/>
      <c r="AQ215" s="243"/>
      <c r="AR215" s="366"/>
      <c r="AT215" s="241"/>
    </row>
    <row r="216" spans="1:46" outlineLevel="1" x14ac:dyDescent="0.25">
      <c r="A216" s="361"/>
      <c r="B216" s="361"/>
      <c r="C216" s="362"/>
      <c r="D216" s="373"/>
      <c r="E216" s="373"/>
      <c r="F216" s="359"/>
      <c r="G216" s="364"/>
      <c r="H216" s="359"/>
      <c r="I216" s="359"/>
      <c r="J216" s="359"/>
      <c r="K216" s="184" t="s">
        <v>335</v>
      </c>
      <c r="L216" s="364" t="str">
        <f>VLOOKUP(K216,материалы!$A$5:$G$31,5, FALSE)</f>
        <v>кг</v>
      </c>
      <c r="M216" s="359">
        <f>VLOOKUP(K216,материалы!$A$5:$G$31,7, FALSE)</f>
        <v>95</v>
      </c>
      <c r="N216" s="359">
        <v>1E-3</v>
      </c>
      <c r="O216" s="359">
        <f t="shared" ref="O216:O217" si="145">ROUND(M216*N216,2)</f>
        <v>0.1</v>
      </c>
      <c r="P216" s="359"/>
      <c r="Q216" s="359"/>
      <c r="R216" s="369"/>
      <c r="S216" s="369"/>
      <c r="T216" s="369"/>
      <c r="U216" s="121"/>
      <c r="V216" s="127"/>
      <c r="W216" s="377"/>
      <c r="X216" s="367"/>
      <c r="Z216" s="356"/>
      <c r="AA216" s="366"/>
      <c r="AB216" s="158"/>
      <c r="AC216" s="170"/>
      <c r="AD216" s="366"/>
      <c r="AG216" s="379"/>
      <c r="AH216" s="358"/>
      <c r="AJ216" s="379"/>
      <c r="AK216" s="366"/>
      <c r="AL216" s="366"/>
      <c r="AN216" s="152"/>
      <c r="AP216" s="379"/>
      <c r="AQ216" s="243"/>
      <c r="AR216" s="366"/>
      <c r="AT216" s="241"/>
    </row>
    <row r="217" spans="1:46" outlineLevel="1" x14ac:dyDescent="0.25">
      <c r="A217" s="361"/>
      <c r="B217" s="361"/>
      <c r="C217" s="362"/>
      <c r="D217" s="373"/>
      <c r="E217" s="373"/>
      <c r="F217" s="359"/>
      <c r="G217" s="364"/>
      <c r="H217" s="359"/>
      <c r="I217" s="359"/>
      <c r="J217" s="359"/>
      <c r="K217" s="184" t="s">
        <v>336</v>
      </c>
      <c r="L217" s="364" t="str">
        <f>VLOOKUP(K217,материалы!$A$5:$G$31,5, FALSE)</f>
        <v>кг</v>
      </c>
      <c r="M217" s="359">
        <f>VLOOKUP(K217,материалы!$A$5:$G$31,7, FALSE)</f>
        <v>80</v>
      </c>
      <c r="N217" s="359">
        <v>0.01</v>
      </c>
      <c r="O217" s="359">
        <f t="shared" si="145"/>
        <v>0.8</v>
      </c>
      <c r="P217" s="359"/>
      <c r="Q217" s="359"/>
      <c r="R217" s="369"/>
      <c r="S217" s="369"/>
      <c r="T217" s="369"/>
      <c r="U217" s="121"/>
      <c r="V217" s="127"/>
      <c r="W217" s="377"/>
      <c r="X217" s="367"/>
      <c r="Z217" s="356"/>
      <c r="AA217" s="366"/>
      <c r="AB217" s="158"/>
      <c r="AC217" s="170"/>
      <c r="AD217" s="366"/>
      <c r="AG217" s="379"/>
      <c r="AH217" s="358"/>
      <c r="AJ217" s="379"/>
      <c r="AK217" s="366"/>
      <c r="AL217" s="366"/>
      <c r="AN217" s="152"/>
      <c r="AP217" s="379"/>
      <c r="AQ217" s="243"/>
      <c r="AR217" s="366"/>
      <c r="AT217" s="241"/>
    </row>
    <row r="218" spans="1:46" ht="42" customHeight="1" x14ac:dyDescent="0.25">
      <c r="A218" s="361" t="s">
        <v>510</v>
      </c>
      <c r="B218" s="361" t="s">
        <v>232</v>
      </c>
      <c r="C218" s="362" t="s">
        <v>241</v>
      </c>
      <c r="D218" s="373" t="s">
        <v>244</v>
      </c>
      <c r="E218" s="373" t="s">
        <v>169</v>
      </c>
      <c r="F218" s="359">
        <f>VLOOKUP(E218,'условия, ФОТ'!$A$14:$I$28,9, FALSE)</f>
        <v>326.24</v>
      </c>
      <c r="G218" s="364">
        <v>2.5</v>
      </c>
      <c r="H218" s="359">
        <f t="shared" si="114"/>
        <v>815.6</v>
      </c>
      <c r="I218" s="359">
        <f t="shared" si="111"/>
        <v>246.31</v>
      </c>
      <c r="J218" s="359">
        <f t="shared" si="112"/>
        <v>1061.9100000000001</v>
      </c>
      <c r="K218" s="363"/>
      <c r="L218" s="359"/>
      <c r="M218" s="359"/>
      <c r="N218" s="359"/>
      <c r="O218" s="359">
        <f>SUM(O219:O223)</f>
        <v>30.98</v>
      </c>
      <c r="P218" s="359">
        <f t="shared" si="117"/>
        <v>1092.8900000000001</v>
      </c>
      <c r="Q218" s="359">
        <f t="shared" si="16"/>
        <v>846.99</v>
      </c>
      <c r="R218" s="369">
        <f>ROUND(T218/1.2,2)</f>
        <v>1061.67</v>
      </c>
      <c r="S218" s="369">
        <f t="shared" si="17"/>
        <v>212.33</v>
      </c>
      <c r="T218" s="369">
        <f>ROUND((P218+Q218)*(1+AC218)*1.2,0)</f>
        <v>1274</v>
      </c>
      <c r="U218" s="121">
        <v>1119</v>
      </c>
      <c r="V218" s="127">
        <f t="shared" si="62"/>
        <v>13.851653261840923</v>
      </c>
      <c r="W218" s="377">
        <v>1155</v>
      </c>
      <c r="X218" s="367">
        <f t="shared" si="138"/>
        <v>10.303030303030297</v>
      </c>
      <c r="Y218" s="117">
        <v>1155</v>
      </c>
      <c r="Z218" s="368">
        <v>1.103</v>
      </c>
      <c r="AA218" s="152">
        <f>ROUND(W218*Z218,2)</f>
        <v>1273.97</v>
      </c>
      <c r="AB218" s="157">
        <f>ROUND((P218+Q218)*1.2,2)</f>
        <v>2327.86</v>
      </c>
      <c r="AC218" s="170">
        <f>ROUND((AA218/AB218)*100%-100%,4)</f>
        <v>-0.45269999999999999</v>
      </c>
      <c r="AD218" s="366">
        <f t="shared" si="139"/>
        <v>-1053.822222</v>
      </c>
      <c r="AF218">
        <v>1194.27</v>
      </c>
      <c r="AG218" s="379">
        <v>1194</v>
      </c>
      <c r="AH218" s="358">
        <f t="shared" si="140"/>
        <v>80</v>
      </c>
      <c r="AJ218" s="379">
        <v>-1.5699999999999999E-2</v>
      </c>
      <c r="AK218" s="366">
        <f t="shared" si="141"/>
        <v>1.0157</v>
      </c>
      <c r="AL218" s="366">
        <v>1.05</v>
      </c>
      <c r="AN218" s="152">
        <f t="shared" ref="AN218:AN281" si="146">ROUND(W218*AL218,2)</f>
        <v>1212.75</v>
      </c>
      <c r="AP218" s="379">
        <v>1.034</v>
      </c>
      <c r="AQ218" s="243">
        <v>-1.5699999999999999E-2</v>
      </c>
      <c r="AR218" s="366">
        <f t="shared" si="142"/>
        <v>6.899999999999995E-2</v>
      </c>
      <c r="AT218" s="241">
        <f t="shared" si="143"/>
        <v>-0.437</v>
      </c>
    </row>
    <row r="219" spans="1:46" ht="24.75" customHeight="1" outlineLevel="1" x14ac:dyDescent="0.25">
      <c r="A219" s="361"/>
      <c r="B219" s="361"/>
      <c r="C219" s="362"/>
      <c r="D219" s="373"/>
      <c r="E219" s="373"/>
      <c r="F219" s="359"/>
      <c r="G219" s="364"/>
      <c r="H219" s="359"/>
      <c r="I219" s="359"/>
      <c r="J219" s="178" t="s">
        <v>385</v>
      </c>
      <c r="K219" s="92" t="s">
        <v>341</v>
      </c>
      <c r="L219" s="364" t="str">
        <f>VLOOKUP(K219,материалы!$A$5:$G$31,5, FALSE)</f>
        <v>кг</v>
      </c>
      <c r="M219" s="359">
        <f>VLOOKUP(K219,материалы!$A$5:$G$31,7, FALSE)</f>
        <v>950</v>
      </c>
      <c r="N219" s="359">
        <v>5.0000000000000001E-3</v>
      </c>
      <c r="O219" s="359">
        <f>ROUND(M219*N219,2)</f>
        <v>4.75</v>
      </c>
      <c r="P219" s="359"/>
      <c r="Q219" s="359"/>
      <c r="R219" s="369"/>
      <c r="S219" s="369"/>
      <c r="T219" s="369"/>
      <c r="U219" s="121"/>
      <c r="V219" s="127"/>
      <c r="W219" s="377"/>
      <c r="X219" s="367"/>
      <c r="Z219" s="356"/>
      <c r="AA219" s="366"/>
      <c r="AB219" s="158"/>
      <c r="AC219" s="170"/>
      <c r="AD219" s="366"/>
      <c r="AG219" s="379"/>
      <c r="AH219" s="358"/>
      <c r="AJ219" s="379"/>
      <c r="AK219" s="366"/>
      <c r="AL219" s="366"/>
      <c r="AN219" s="152"/>
      <c r="AP219" s="379"/>
      <c r="AQ219" s="243"/>
      <c r="AR219" s="366"/>
      <c r="AT219" s="241"/>
    </row>
    <row r="220" spans="1:46" ht="24.75" customHeight="1" outlineLevel="1" x14ac:dyDescent="0.25">
      <c r="A220" s="361"/>
      <c r="B220" s="361"/>
      <c r="C220" s="362"/>
      <c r="D220" s="373"/>
      <c r="E220" s="373"/>
      <c r="F220" s="359"/>
      <c r="G220" s="364"/>
      <c r="H220" s="359"/>
      <c r="I220" s="359"/>
      <c r="J220" s="178"/>
      <c r="K220" s="92" t="s">
        <v>339</v>
      </c>
      <c r="L220" s="364" t="str">
        <f>VLOOKUP(K220,материалы!$A$5:$G$31,5, FALSE)</f>
        <v>кг</v>
      </c>
      <c r="M220" s="359">
        <f>VLOOKUP(K220,материалы!$A$5:$G$31,7, FALSE)</f>
        <v>281.57</v>
      </c>
      <c r="N220" s="359">
        <v>0.05</v>
      </c>
      <c r="O220" s="359">
        <f>ROUND(M220*N220,2)</f>
        <v>14.08</v>
      </c>
      <c r="P220" s="359"/>
      <c r="Q220" s="359"/>
      <c r="R220" s="369"/>
      <c r="S220" s="369"/>
      <c r="T220" s="369"/>
      <c r="U220" s="121"/>
      <c r="V220" s="127"/>
      <c r="W220" s="377"/>
      <c r="X220" s="367"/>
      <c r="Z220" s="356"/>
      <c r="AA220" s="366"/>
      <c r="AB220" s="158"/>
      <c r="AC220" s="170"/>
      <c r="AD220" s="366"/>
      <c r="AG220" s="379"/>
      <c r="AH220" s="358"/>
      <c r="AJ220" s="379"/>
      <c r="AK220" s="366"/>
      <c r="AL220" s="366"/>
      <c r="AN220" s="152"/>
      <c r="AP220" s="379"/>
      <c r="AQ220" s="243"/>
      <c r="AR220" s="366"/>
      <c r="AT220" s="241"/>
    </row>
    <row r="221" spans="1:46" ht="29.25" customHeight="1" outlineLevel="1" x14ac:dyDescent="0.25">
      <c r="A221" s="361"/>
      <c r="B221" s="361"/>
      <c r="C221" s="362"/>
      <c r="D221" s="373"/>
      <c r="E221" s="373"/>
      <c r="F221" s="359"/>
      <c r="G221" s="364"/>
      <c r="H221" s="359"/>
      <c r="I221" s="359"/>
      <c r="J221" s="359"/>
      <c r="K221" s="92" t="s">
        <v>348</v>
      </c>
      <c r="L221" s="364" t="str">
        <f>VLOOKUP(K221,материалы!$A$5:$G$31,5, FALSE)</f>
        <v>шт.</v>
      </c>
      <c r="M221" s="359">
        <f>VLOOKUP(K221,материалы!$A$5:$G$31,7, FALSE)</f>
        <v>45</v>
      </c>
      <c r="N221" s="359">
        <v>0.25</v>
      </c>
      <c r="O221" s="359">
        <f>ROUND(M221*N221,2)</f>
        <v>11.25</v>
      </c>
      <c r="P221" s="359"/>
      <c r="Q221" s="359"/>
      <c r="R221" s="369"/>
      <c r="S221" s="369"/>
      <c r="T221" s="369"/>
      <c r="U221" s="121"/>
      <c r="V221" s="127"/>
      <c r="W221" s="377"/>
      <c r="X221" s="367"/>
      <c r="Z221" s="356"/>
      <c r="AA221" s="366"/>
      <c r="AB221" s="158"/>
      <c r="AC221" s="170"/>
      <c r="AD221" s="366"/>
      <c r="AG221" s="379"/>
      <c r="AH221" s="358"/>
      <c r="AJ221" s="379"/>
      <c r="AK221" s="366"/>
      <c r="AL221" s="366"/>
      <c r="AN221" s="152"/>
      <c r="AP221" s="379"/>
      <c r="AQ221" s="243"/>
      <c r="AR221" s="366"/>
      <c r="AT221" s="241"/>
    </row>
    <row r="222" spans="1:46" outlineLevel="1" x14ac:dyDescent="0.25">
      <c r="A222" s="361"/>
      <c r="B222" s="361"/>
      <c r="C222" s="362"/>
      <c r="D222" s="373"/>
      <c r="E222" s="373"/>
      <c r="F222" s="359"/>
      <c r="G222" s="364"/>
      <c r="H222" s="359"/>
      <c r="I222" s="359"/>
      <c r="J222" s="359"/>
      <c r="K222" s="184" t="s">
        <v>335</v>
      </c>
      <c r="L222" s="364" t="str">
        <f>VLOOKUP(K222,материалы!$A$5:$G$31,5, FALSE)</f>
        <v>кг</v>
      </c>
      <c r="M222" s="359">
        <f>VLOOKUP(K222,материалы!$A$5:$G$31,7, FALSE)</f>
        <v>95</v>
      </c>
      <c r="N222" s="359">
        <v>1E-3</v>
      </c>
      <c r="O222" s="359">
        <f t="shared" ref="O222:O223" si="147">ROUND(M222*N222,2)</f>
        <v>0.1</v>
      </c>
      <c r="P222" s="359"/>
      <c r="Q222" s="359"/>
      <c r="R222" s="369"/>
      <c r="S222" s="369"/>
      <c r="T222" s="369"/>
      <c r="U222" s="121"/>
      <c r="V222" s="127"/>
      <c r="W222" s="377"/>
      <c r="X222" s="367"/>
      <c r="Z222" s="356"/>
      <c r="AA222" s="366"/>
      <c r="AB222" s="158"/>
      <c r="AC222" s="170"/>
      <c r="AD222" s="366"/>
      <c r="AG222" s="379"/>
      <c r="AH222" s="358"/>
      <c r="AJ222" s="379"/>
      <c r="AK222" s="366"/>
      <c r="AL222" s="366"/>
      <c r="AN222" s="152"/>
      <c r="AP222" s="379"/>
      <c r="AQ222" s="243"/>
      <c r="AR222" s="366"/>
      <c r="AT222" s="241"/>
    </row>
    <row r="223" spans="1:46" outlineLevel="1" x14ac:dyDescent="0.25">
      <c r="A223" s="361"/>
      <c r="B223" s="361"/>
      <c r="C223" s="362"/>
      <c r="D223" s="373"/>
      <c r="E223" s="373"/>
      <c r="F223" s="359"/>
      <c r="G223" s="364"/>
      <c r="H223" s="359"/>
      <c r="I223" s="359"/>
      <c r="J223" s="359"/>
      <c r="K223" s="184" t="s">
        <v>336</v>
      </c>
      <c r="L223" s="364" t="str">
        <f>VLOOKUP(K223,материалы!$A$5:$G$31,5, FALSE)</f>
        <v>кг</v>
      </c>
      <c r="M223" s="359">
        <f>VLOOKUP(K223,материалы!$A$5:$G$31,7, FALSE)</f>
        <v>80</v>
      </c>
      <c r="N223" s="359">
        <v>0.01</v>
      </c>
      <c r="O223" s="359">
        <f t="shared" si="147"/>
        <v>0.8</v>
      </c>
      <c r="P223" s="359"/>
      <c r="Q223" s="359"/>
      <c r="R223" s="369"/>
      <c r="S223" s="369"/>
      <c r="T223" s="369"/>
      <c r="U223" s="121"/>
      <c r="V223" s="127"/>
      <c r="W223" s="377"/>
      <c r="X223" s="367"/>
      <c r="Z223" s="356"/>
      <c r="AA223" s="366"/>
      <c r="AB223" s="158"/>
      <c r="AC223" s="170"/>
      <c r="AD223" s="366"/>
      <c r="AG223" s="379"/>
      <c r="AH223" s="358"/>
      <c r="AJ223" s="379"/>
      <c r="AK223" s="366"/>
      <c r="AL223" s="366"/>
      <c r="AN223" s="152"/>
      <c r="AP223" s="379"/>
      <c r="AQ223" s="243"/>
      <c r="AR223" s="366"/>
      <c r="AT223" s="241"/>
    </row>
    <row r="224" spans="1:46" ht="21.75" customHeight="1" x14ac:dyDescent="0.25">
      <c r="A224" s="361" t="s">
        <v>511</v>
      </c>
      <c r="B224" s="361" t="s">
        <v>233</v>
      </c>
      <c r="C224" s="362" t="s">
        <v>242</v>
      </c>
      <c r="D224" s="359" t="s">
        <v>244</v>
      </c>
      <c r="E224" s="373" t="s">
        <v>169</v>
      </c>
      <c r="F224" s="359">
        <f>VLOOKUP(E224,'условия, ФОТ'!$A$14:$I$28,9, FALSE)</f>
        <v>326.24</v>
      </c>
      <c r="G224" s="364">
        <v>1.2</v>
      </c>
      <c r="H224" s="359">
        <f t="shared" si="114"/>
        <v>391.49</v>
      </c>
      <c r="I224" s="359">
        <f t="shared" si="111"/>
        <v>118.23</v>
      </c>
      <c r="J224" s="359">
        <f t="shared" si="112"/>
        <v>509.72</v>
      </c>
      <c r="K224" s="363"/>
      <c r="L224" s="359"/>
      <c r="M224" s="359"/>
      <c r="N224" s="359"/>
      <c r="O224" s="359"/>
      <c r="P224" s="359">
        <f t="shared" si="117"/>
        <v>509.72</v>
      </c>
      <c r="Q224" s="359">
        <f t="shared" si="16"/>
        <v>395.03</v>
      </c>
      <c r="R224" s="369">
        <f>ROUND(T224/1.2,2)</f>
        <v>485</v>
      </c>
      <c r="S224" s="369">
        <f t="shared" si="17"/>
        <v>97</v>
      </c>
      <c r="T224" s="369">
        <f>ROUND((P224+Q224)*(1+AC224)*1.2,0)</f>
        <v>582</v>
      </c>
      <c r="U224" s="121">
        <v>504</v>
      </c>
      <c r="V224" s="127">
        <f t="shared" si="62"/>
        <v>15.476190476190467</v>
      </c>
      <c r="W224" s="377">
        <v>520</v>
      </c>
      <c r="X224" s="367">
        <f t="shared" si="138"/>
        <v>11.92307692307692</v>
      </c>
      <c r="Y224" s="117">
        <v>520</v>
      </c>
      <c r="Z224" s="368">
        <v>1.1200000000000001</v>
      </c>
      <c r="AA224" s="152">
        <f>ROUND(W224*Z224,2)</f>
        <v>582.4</v>
      </c>
      <c r="AB224" s="157">
        <f>ROUND((P224+Q224)*1.2,2)</f>
        <v>1085.7</v>
      </c>
      <c r="AC224" s="170">
        <f>ROUND((AA224/AB224)*100%-100%,4)</f>
        <v>-0.46360000000000001</v>
      </c>
      <c r="AD224" s="366">
        <f t="shared" si="139"/>
        <v>-503.33052000000004</v>
      </c>
      <c r="AF224">
        <v>537.68000000000006</v>
      </c>
      <c r="AG224" s="379">
        <v>538</v>
      </c>
      <c r="AH224" s="358">
        <f t="shared" si="140"/>
        <v>44</v>
      </c>
      <c r="AJ224" s="379">
        <v>-3.09E-2</v>
      </c>
      <c r="AK224" s="366">
        <f t="shared" si="141"/>
        <v>1.0308999999999999</v>
      </c>
      <c r="AL224" s="366">
        <v>1.0660000000000001</v>
      </c>
      <c r="AN224" s="152">
        <f t="shared" si="146"/>
        <v>554.32000000000005</v>
      </c>
      <c r="AP224" s="379">
        <v>1.034</v>
      </c>
      <c r="AQ224" s="243">
        <v>-3.09E-2</v>
      </c>
      <c r="AR224" s="366">
        <f t="shared" si="142"/>
        <v>8.6000000000000076E-2</v>
      </c>
      <c r="AT224" s="241">
        <f t="shared" si="143"/>
        <v>-0.43270000000000003</v>
      </c>
    </row>
    <row r="225" spans="1:46" ht="14.25" customHeight="1" x14ac:dyDescent="0.25">
      <c r="A225" s="979" t="s">
        <v>512</v>
      </c>
      <c r="B225" s="978" t="s">
        <v>235</v>
      </c>
      <c r="C225" s="995" t="s">
        <v>243</v>
      </c>
      <c r="D225" s="983" t="s">
        <v>244</v>
      </c>
      <c r="E225" s="373" t="s">
        <v>169</v>
      </c>
      <c r="F225" s="359">
        <f>VLOOKUP(E225,'условия, ФОТ'!$A$14:$I$28,9, FALSE)</f>
        <v>326.24</v>
      </c>
      <c r="G225" s="364">
        <f>1.2+0.68</f>
        <v>1.88</v>
      </c>
      <c r="H225" s="985">
        <f>ROUND((F225*G225+F226*G226),2)</f>
        <v>923.42</v>
      </c>
      <c r="I225" s="985">
        <f>ROUND(H225*$I$5,2)</f>
        <v>278.87</v>
      </c>
      <c r="J225" s="985">
        <f>H225+I225</f>
        <v>1202.29</v>
      </c>
      <c r="K225" s="986"/>
      <c r="L225" s="985"/>
      <c r="M225" s="985"/>
      <c r="N225" s="985"/>
      <c r="O225" s="985">
        <f>SUM(O227:O233)</f>
        <v>185.07000000000002</v>
      </c>
      <c r="P225" s="985">
        <f>J225+O225</f>
        <v>1387.36</v>
      </c>
      <c r="Q225" s="985">
        <f t="shared" si="16"/>
        <v>1075.2</v>
      </c>
      <c r="R225" s="1020">
        <f>ROUND(T225/1.2,2)</f>
        <v>1255</v>
      </c>
      <c r="S225" s="1004">
        <f t="shared" si="17"/>
        <v>251</v>
      </c>
      <c r="T225" s="1004">
        <f>ROUND((P225+Q225)*(1+AC225)*1.2,0)</f>
        <v>1506</v>
      </c>
      <c r="U225" s="794">
        <v>1412</v>
      </c>
      <c r="V225" s="1022">
        <f t="shared" si="62"/>
        <v>6.6572237960339891</v>
      </c>
      <c r="W225" s="1001">
        <v>1456</v>
      </c>
      <c r="X225" s="1028">
        <f t="shared" si="138"/>
        <v>3.4340659340659414</v>
      </c>
      <c r="Y225" s="117">
        <v>1456</v>
      </c>
      <c r="Z225" s="751">
        <v>1.034</v>
      </c>
      <c r="AA225" s="1003">
        <f>ROUND(W225*Z225,2)</f>
        <v>1505.5</v>
      </c>
      <c r="AB225" s="1005">
        <f>ROUND((P225+Q225)*1.2,2)</f>
        <v>2955.07</v>
      </c>
      <c r="AC225" s="1006">
        <f>ROUND((AA225/AB225)*100%-100%,4)</f>
        <v>-0.49049999999999999</v>
      </c>
      <c r="AD225" s="751">
        <f t="shared" si="139"/>
        <v>-1449.4618350000001</v>
      </c>
      <c r="AF225">
        <v>1505.5040000000001</v>
      </c>
      <c r="AG225" s="759">
        <v>1505</v>
      </c>
      <c r="AH225" s="1008">
        <f t="shared" si="140"/>
        <v>1</v>
      </c>
      <c r="AJ225" s="759">
        <v>7.3200000000000001E-2</v>
      </c>
      <c r="AK225" s="751">
        <f t="shared" si="141"/>
        <v>7.3200000000000001E-2</v>
      </c>
      <c r="AL225" s="751">
        <v>0</v>
      </c>
      <c r="AN225" s="879"/>
      <c r="AP225" s="759">
        <v>1.034</v>
      </c>
      <c r="AQ225" s="877">
        <v>7.3200000000000001E-2</v>
      </c>
      <c r="AR225" s="751">
        <f t="shared" si="142"/>
        <v>0</v>
      </c>
      <c r="AT225" s="747">
        <f t="shared" si="143"/>
        <v>-0.56369999999999998</v>
      </c>
    </row>
    <row r="226" spans="1:46" ht="15.75" customHeight="1" x14ac:dyDescent="0.25">
      <c r="A226" s="979"/>
      <c r="B226" s="978"/>
      <c r="C226" s="995"/>
      <c r="D226" s="983"/>
      <c r="E226" s="373" t="s">
        <v>174</v>
      </c>
      <c r="F226" s="359">
        <f>VLOOKUP(E226,'условия, ФОТ'!$A$14:$I$28,9, FALSE)</f>
        <v>456.01</v>
      </c>
      <c r="G226" s="364">
        <v>0.68</v>
      </c>
      <c r="H226" s="985">
        <f t="shared" ref="H226:H235" si="148">ROUND(F226*G226,2)</f>
        <v>310.08999999999997</v>
      </c>
      <c r="I226" s="985">
        <f t="shared" ref="I226" si="149">ROUND(H226*$I$5,2)</f>
        <v>93.65</v>
      </c>
      <c r="J226" s="985">
        <f t="shared" ref="J226" si="150">H226+I226</f>
        <v>403.74</v>
      </c>
      <c r="K226" s="986"/>
      <c r="L226" s="985"/>
      <c r="M226" s="985"/>
      <c r="N226" s="985"/>
      <c r="O226" s="985"/>
      <c r="P226" s="985"/>
      <c r="Q226" s="985">
        <f t="shared" si="16"/>
        <v>0</v>
      </c>
      <c r="R226" s="1030"/>
      <c r="S226" s="1004">
        <f t="shared" si="17"/>
        <v>0</v>
      </c>
      <c r="T226" s="1004">
        <f>ROUND((P226+Q226)*(1+$R$5)*1.18,0)</f>
        <v>0</v>
      </c>
      <c r="U226" s="1009"/>
      <c r="V226" s="1022"/>
      <c r="W226" s="1001"/>
      <c r="X226" s="1029"/>
      <c r="Y226" s="117">
        <v>0</v>
      </c>
      <c r="Z226" s="752"/>
      <c r="AA226" s="1003"/>
      <c r="AB226" s="1005"/>
      <c r="AC226" s="1007"/>
      <c r="AD226" s="752"/>
      <c r="AG226" s="760"/>
      <c r="AH226" s="1008"/>
      <c r="AJ226" s="760"/>
      <c r="AK226" s="752"/>
      <c r="AL226" s="752"/>
      <c r="AN226" s="880"/>
      <c r="AP226" s="760"/>
      <c r="AQ226" s="878"/>
      <c r="AR226" s="752"/>
      <c r="AT226" s="748"/>
    </row>
    <row r="227" spans="1:46" ht="15.75" customHeight="1" outlineLevel="1" x14ac:dyDescent="0.25">
      <c r="A227" s="361"/>
      <c r="B227" s="365"/>
      <c r="C227" s="362"/>
      <c r="D227" s="373"/>
      <c r="E227" s="373"/>
      <c r="F227" s="359"/>
      <c r="G227" s="364"/>
      <c r="H227" s="359"/>
      <c r="I227" s="359"/>
      <c r="J227" s="178" t="s">
        <v>385</v>
      </c>
      <c r="K227" s="92" t="s">
        <v>330</v>
      </c>
      <c r="L227" s="364" t="str">
        <f>VLOOKUP(K227,материалы!$A$5:$G$31,5, FALSE)</f>
        <v>м3</v>
      </c>
      <c r="M227" s="359">
        <f>VLOOKUP(K227,материалы!$A$5:$G$31,7, FALSE)</f>
        <v>116.67</v>
      </c>
      <c r="N227" s="359">
        <v>0.15</v>
      </c>
      <c r="O227" s="359">
        <f t="shared" ref="O227:O233" si="151">ROUND(M227*N227,2)</f>
        <v>17.5</v>
      </c>
      <c r="P227" s="359"/>
      <c r="Q227" s="359"/>
      <c r="R227" s="369"/>
      <c r="S227" s="369"/>
      <c r="T227" s="369"/>
      <c r="U227" s="121"/>
      <c r="V227" s="127"/>
      <c r="W227" s="377"/>
      <c r="X227" s="367"/>
      <c r="Z227" s="356"/>
      <c r="AA227" s="366"/>
      <c r="AB227" s="158"/>
      <c r="AC227" s="170"/>
      <c r="AD227" s="366"/>
      <c r="AG227" s="379"/>
      <c r="AH227" s="358"/>
      <c r="AJ227" s="379"/>
      <c r="AK227" s="366"/>
      <c r="AL227" s="366"/>
      <c r="AN227" s="152"/>
      <c r="AP227" s="379"/>
      <c r="AQ227" s="243"/>
      <c r="AR227" s="366"/>
      <c r="AT227" s="241"/>
    </row>
    <row r="228" spans="1:46" ht="12" customHeight="1" outlineLevel="1" x14ac:dyDescent="0.25">
      <c r="A228" s="361"/>
      <c r="B228" s="365"/>
      <c r="C228" s="362"/>
      <c r="D228" s="373"/>
      <c r="E228" s="373"/>
      <c r="F228" s="359"/>
      <c r="G228" s="364"/>
      <c r="H228" s="359"/>
      <c r="I228" s="359"/>
      <c r="J228" s="359"/>
      <c r="K228" s="92" t="s">
        <v>329</v>
      </c>
      <c r="L228" s="364" t="str">
        <f>VLOOKUP(K228,материалы!$A$5:$G$31,5, FALSE)</f>
        <v>м3</v>
      </c>
      <c r="M228" s="359">
        <f>VLOOKUP(K228,материалы!$A$5:$G$31,7, FALSE)</f>
        <v>1033.33</v>
      </c>
      <c r="N228" s="364">
        <v>8.7499999999999994E-2</v>
      </c>
      <c r="O228" s="359">
        <f t="shared" si="151"/>
        <v>90.42</v>
      </c>
      <c r="P228" s="359"/>
      <c r="Q228" s="359"/>
      <c r="R228" s="369"/>
      <c r="S228" s="369"/>
      <c r="T228" s="369"/>
      <c r="U228" s="121"/>
      <c r="V228" s="127"/>
      <c r="W228" s="377"/>
      <c r="X228" s="367"/>
      <c r="Z228" s="356"/>
      <c r="AA228" s="366"/>
      <c r="AB228" s="158"/>
      <c r="AC228" s="170"/>
      <c r="AD228" s="366"/>
      <c r="AG228" s="379"/>
      <c r="AH228" s="358"/>
      <c r="AJ228" s="379"/>
      <c r="AK228" s="366"/>
      <c r="AL228" s="366"/>
      <c r="AN228" s="152"/>
      <c r="AP228" s="379"/>
      <c r="AQ228" s="243"/>
      <c r="AR228" s="366"/>
      <c r="AT228" s="241"/>
    </row>
    <row r="229" spans="1:46" ht="35.25" customHeight="1" outlineLevel="1" x14ac:dyDescent="0.25">
      <c r="A229" s="361"/>
      <c r="B229" s="365"/>
      <c r="C229" s="362"/>
      <c r="D229" s="373"/>
      <c r="E229" s="373"/>
      <c r="F229" s="359"/>
      <c r="G229" s="364"/>
      <c r="H229" s="359"/>
      <c r="I229" s="359"/>
      <c r="J229" s="359"/>
      <c r="K229" s="92" t="s">
        <v>347</v>
      </c>
      <c r="L229" s="364" t="str">
        <f>VLOOKUP(K229,материалы!$A$5:$G$31,5, FALSE)</f>
        <v>кг</v>
      </c>
      <c r="M229" s="359">
        <f>VLOOKUP(K229,материалы!$A$5:$G$31,7, FALSE)</f>
        <v>300</v>
      </c>
      <c r="N229" s="359">
        <v>0.1</v>
      </c>
      <c r="O229" s="359">
        <f t="shared" si="151"/>
        <v>30</v>
      </c>
      <c r="P229" s="359"/>
      <c r="Q229" s="359"/>
      <c r="R229" s="369"/>
      <c r="S229" s="369"/>
      <c r="T229" s="369"/>
      <c r="U229" s="121"/>
      <c r="V229" s="127"/>
      <c r="W229" s="377"/>
      <c r="X229" s="367"/>
      <c r="Z229" s="356"/>
      <c r="AA229" s="366"/>
      <c r="AB229" s="158"/>
      <c r="AC229" s="170"/>
      <c r="AD229" s="366"/>
      <c r="AG229" s="379"/>
      <c r="AH229" s="358"/>
      <c r="AJ229" s="379"/>
      <c r="AK229" s="366"/>
      <c r="AL229" s="366"/>
      <c r="AN229" s="152"/>
      <c r="AP229" s="379"/>
      <c r="AQ229" s="243"/>
      <c r="AR229" s="366"/>
      <c r="AT229" s="241"/>
    </row>
    <row r="230" spans="1:46" ht="26.25" customHeight="1" outlineLevel="1" x14ac:dyDescent="0.25">
      <c r="A230" s="361"/>
      <c r="B230" s="365"/>
      <c r="C230" s="362"/>
      <c r="D230" s="373"/>
      <c r="E230" s="373"/>
      <c r="F230" s="359"/>
      <c r="G230" s="364"/>
      <c r="H230" s="359"/>
      <c r="I230" s="359"/>
      <c r="J230" s="359"/>
      <c r="K230" s="92" t="s">
        <v>348</v>
      </c>
      <c r="L230" s="364" t="str">
        <f>VLOOKUP(K230,материалы!$A$5:$G$31,5, FALSE)</f>
        <v>шт.</v>
      </c>
      <c r="M230" s="359">
        <f>VLOOKUP(K230,материалы!$A$5:$G$31,7, FALSE)</f>
        <v>45</v>
      </c>
      <c r="N230" s="359">
        <v>0.25</v>
      </c>
      <c r="O230" s="359">
        <f t="shared" si="151"/>
        <v>11.25</v>
      </c>
      <c r="P230" s="359"/>
      <c r="Q230" s="359"/>
      <c r="R230" s="369"/>
      <c r="S230" s="369"/>
      <c r="T230" s="369"/>
      <c r="U230" s="121"/>
      <c r="V230" s="127"/>
      <c r="W230" s="377"/>
      <c r="X230" s="367"/>
      <c r="Z230" s="356"/>
      <c r="AA230" s="366"/>
      <c r="AB230" s="158"/>
      <c r="AC230" s="170"/>
      <c r="AD230" s="366"/>
      <c r="AG230" s="379"/>
      <c r="AH230" s="358"/>
      <c r="AJ230" s="379"/>
      <c r="AK230" s="366"/>
      <c r="AL230" s="366"/>
      <c r="AN230" s="152"/>
      <c r="AP230" s="379"/>
      <c r="AQ230" s="243"/>
      <c r="AR230" s="366"/>
      <c r="AT230" s="241"/>
    </row>
    <row r="231" spans="1:46" ht="24.75" customHeight="1" outlineLevel="1" x14ac:dyDescent="0.25">
      <c r="A231" s="361"/>
      <c r="B231" s="365"/>
      <c r="C231" s="362"/>
      <c r="D231" s="373"/>
      <c r="E231" s="373"/>
      <c r="F231" s="359"/>
      <c r="G231" s="364"/>
      <c r="H231" s="359"/>
      <c r="I231" s="359"/>
      <c r="J231" s="359"/>
      <c r="K231" s="92" t="s">
        <v>358</v>
      </c>
      <c r="L231" s="364" t="str">
        <f>VLOOKUP(K231,материалы!$A$5:$G$31,5, FALSE)</f>
        <v>шт.</v>
      </c>
      <c r="M231" s="359">
        <f>VLOOKUP(K231,материалы!$A$5:$G$31,7, FALSE)</f>
        <v>35</v>
      </c>
      <c r="N231" s="359">
        <v>1</v>
      </c>
      <c r="O231" s="359">
        <f t="shared" si="151"/>
        <v>35</v>
      </c>
      <c r="P231" s="359"/>
      <c r="Q231" s="359"/>
      <c r="R231" s="369"/>
      <c r="S231" s="369"/>
      <c r="T231" s="369"/>
      <c r="U231" s="121"/>
      <c r="V231" s="127"/>
      <c r="W231" s="377"/>
      <c r="X231" s="367"/>
      <c r="Z231" s="356"/>
      <c r="AA231" s="366"/>
      <c r="AB231" s="158"/>
      <c r="AC231" s="170"/>
      <c r="AD231" s="366"/>
      <c r="AG231" s="379"/>
      <c r="AH231" s="358"/>
      <c r="AJ231" s="379"/>
      <c r="AK231" s="366"/>
      <c r="AL231" s="366"/>
      <c r="AN231" s="152"/>
      <c r="AP231" s="379"/>
      <c r="AQ231" s="243"/>
      <c r="AR231" s="366"/>
      <c r="AT231" s="241"/>
    </row>
    <row r="232" spans="1:46" ht="15.75" customHeight="1" outlineLevel="1" x14ac:dyDescent="0.25">
      <c r="A232" s="361"/>
      <c r="B232" s="365"/>
      <c r="C232" s="362"/>
      <c r="D232" s="373"/>
      <c r="E232" s="373"/>
      <c r="F232" s="359"/>
      <c r="G232" s="364"/>
      <c r="H232" s="359"/>
      <c r="I232" s="359"/>
      <c r="J232" s="359"/>
      <c r="K232" s="184" t="s">
        <v>335</v>
      </c>
      <c r="L232" s="364" t="str">
        <f>VLOOKUP(K232,материалы!$A$5:$G$31,5, FALSE)</f>
        <v>кг</v>
      </c>
      <c r="M232" s="359">
        <f>VLOOKUP(K232,материалы!$A$5:$G$31,7, FALSE)</f>
        <v>95</v>
      </c>
      <c r="N232" s="359">
        <v>1E-3</v>
      </c>
      <c r="O232" s="359">
        <f t="shared" si="151"/>
        <v>0.1</v>
      </c>
      <c r="P232" s="359"/>
      <c r="Q232" s="359"/>
      <c r="R232" s="369"/>
      <c r="S232" s="369"/>
      <c r="T232" s="369"/>
      <c r="U232" s="121"/>
      <c r="V232" s="127"/>
      <c r="W232" s="377"/>
      <c r="X232" s="367"/>
      <c r="Z232" s="356"/>
      <c r="AA232" s="366"/>
      <c r="AB232" s="158"/>
      <c r="AC232" s="170"/>
      <c r="AD232" s="366"/>
      <c r="AG232" s="379"/>
      <c r="AH232" s="358"/>
      <c r="AJ232" s="379"/>
      <c r="AK232" s="366"/>
      <c r="AL232" s="366"/>
      <c r="AN232" s="152"/>
      <c r="AP232" s="379"/>
      <c r="AQ232" s="243"/>
      <c r="AR232" s="366"/>
      <c r="AT232" s="241"/>
    </row>
    <row r="233" spans="1:46" ht="15.75" customHeight="1" outlineLevel="1" x14ac:dyDescent="0.25">
      <c r="A233" s="361"/>
      <c r="B233" s="365"/>
      <c r="C233" s="362"/>
      <c r="D233" s="373"/>
      <c r="E233" s="373"/>
      <c r="F233" s="359"/>
      <c r="G233" s="364"/>
      <c r="H233" s="359"/>
      <c r="I233" s="359"/>
      <c r="J233" s="359"/>
      <c r="K233" s="184" t="s">
        <v>336</v>
      </c>
      <c r="L233" s="364" t="str">
        <f>VLOOKUP(K233,материалы!$A$5:$G$31,5, FALSE)</f>
        <v>кг</v>
      </c>
      <c r="M233" s="359">
        <f>VLOOKUP(K233,материалы!$A$5:$G$31,7, FALSE)</f>
        <v>80</v>
      </c>
      <c r="N233" s="359">
        <v>0.01</v>
      </c>
      <c r="O233" s="359">
        <f t="shared" si="151"/>
        <v>0.8</v>
      </c>
      <c r="P233" s="359"/>
      <c r="Q233" s="359"/>
      <c r="R233" s="369"/>
      <c r="S233" s="369"/>
      <c r="T233" s="369"/>
      <c r="U233" s="121"/>
      <c r="V233" s="127"/>
      <c r="W233" s="377"/>
      <c r="X233" s="367"/>
      <c r="Z233" s="356"/>
      <c r="AA233" s="366"/>
      <c r="AB233" s="158"/>
      <c r="AC233" s="170"/>
      <c r="AD233" s="366"/>
      <c r="AG233" s="379"/>
      <c r="AH233" s="358"/>
      <c r="AJ233" s="379"/>
      <c r="AK233" s="366"/>
      <c r="AL233" s="366"/>
      <c r="AN233" s="152"/>
      <c r="AP233" s="379"/>
      <c r="AQ233" s="243"/>
      <c r="AR233" s="366"/>
      <c r="AT233" s="241"/>
    </row>
    <row r="234" spans="1:46" ht="17.25" customHeight="1" x14ac:dyDescent="0.25">
      <c r="A234" s="979" t="s">
        <v>513</v>
      </c>
      <c r="B234" s="978" t="s">
        <v>237</v>
      </c>
      <c r="C234" s="995" t="s">
        <v>70</v>
      </c>
      <c r="D234" s="983" t="s">
        <v>236</v>
      </c>
      <c r="E234" s="373" t="s">
        <v>169</v>
      </c>
      <c r="F234" s="359">
        <f>VLOOKUP(E234,'условия, ФОТ'!$A$14:$I$28,9, FALSE)</f>
        <v>326.24</v>
      </c>
      <c r="G234" s="364">
        <f>0.72+1.2</f>
        <v>1.92</v>
      </c>
      <c r="H234" s="985">
        <f>ROUND((F234*G234+F235*G235),2)</f>
        <v>936.47</v>
      </c>
      <c r="I234" s="985">
        <f t="shared" si="111"/>
        <v>282.81</v>
      </c>
      <c r="J234" s="985">
        <f t="shared" si="112"/>
        <v>1219.28</v>
      </c>
      <c r="K234" s="986"/>
      <c r="L234" s="985"/>
      <c r="M234" s="985"/>
      <c r="N234" s="985"/>
      <c r="O234" s="985">
        <f>SUM(O236:O242)</f>
        <v>185.07000000000002</v>
      </c>
      <c r="P234" s="1023">
        <f t="shared" si="117"/>
        <v>1404.35</v>
      </c>
      <c r="Q234" s="1023">
        <f t="shared" si="16"/>
        <v>1088.3699999999999</v>
      </c>
      <c r="R234" s="1004">
        <f>ROUND(T234/1.2,2)</f>
        <v>1270</v>
      </c>
      <c r="S234" s="1004">
        <f>ROUND(R234*$S$5,2)</f>
        <v>254</v>
      </c>
      <c r="T234" s="1004">
        <f>ROUND((P234+Q234)*(1+AC234)*1.2,0)</f>
        <v>1524</v>
      </c>
      <c r="U234" s="794">
        <v>1428</v>
      </c>
      <c r="V234" s="1022">
        <f t="shared" si="62"/>
        <v>6.7226890756302566</v>
      </c>
      <c r="W234" s="1031">
        <v>1474</v>
      </c>
      <c r="X234" s="1002">
        <f t="shared" si="138"/>
        <v>3.3921302578018953</v>
      </c>
      <c r="Y234" s="117">
        <v>1474</v>
      </c>
      <c r="Z234" s="751">
        <v>1.034</v>
      </c>
      <c r="AA234" s="1003">
        <f>ROUND(W234*Z234,2)</f>
        <v>1524.12</v>
      </c>
      <c r="AB234" s="1005">
        <f>ROUND((P234+Q234)*1.2,2)</f>
        <v>2991.26</v>
      </c>
      <c r="AC234" s="1006">
        <f>ROUND((AA234/AB234)*100%-100%,4)</f>
        <v>-0.49049999999999999</v>
      </c>
      <c r="AD234" s="751">
        <f t="shared" si="139"/>
        <v>-1467.2130300000001</v>
      </c>
      <c r="AF234">
        <v>1524.116</v>
      </c>
      <c r="AG234" s="759">
        <v>1524</v>
      </c>
      <c r="AH234" s="1008">
        <f t="shared" si="140"/>
        <v>0</v>
      </c>
      <c r="AJ234" s="759">
        <v>7.2400000000000006E-2</v>
      </c>
      <c r="AK234" s="751">
        <f t="shared" si="141"/>
        <v>7.2400000000000006E-2</v>
      </c>
      <c r="AL234" s="751">
        <v>0</v>
      </c>
      <c r="AN234" s="879"/>
      <c r="AP234" s="759">
        <v>1.034</v>
      </c>
      <c r="AQ234" s="877">
        <v>7.2400000000000006E-2</v>
      </c>
      <c r="AR234" s="751">
        <f t="shared" si="142"/>
        <v>0</v>
      </c>
      <c r="AT234" s="747">
        <f t="shared" si="143"/>
        <v>-0.56289999999999996</v>
      </c>
    </row>
    <row r="235" spans="1:46" ht="26.25" customHeight="1" x14ac:dyDescent="0.25">
      <c r="A235" s="979"/>
      <c r="B235" s="978"/>
      <c r="C235" s="995"/>
      <c r="D235" s="983"/>
      <c r="E235" s="373" t="s">
        <v>174</v>
      </c>
      <c r="F235" s="359">
        <f>VLOOKUP(E235,'условия, ФОТ'!$A$14:$I$28,9, FALSE)</f>
        <v>456.01</v>
      </c>
      <c r="G235" s="364">
        <v>0.68</v>
      </c>
      <c r="H235" s="985">
        <f t="shared" si="148"/>
        <v>310.08999999999997</v>
      </c>
      <c r="I235" s="985">
        <f t="shared" si="111"/>
        <v>93.65</v>
      </c>
      <c r="J235" s="985">
        <f t="shared" si="112"/>
        <v>403.74</v>
      </c>
      <c r="K235" s="986"/>
      <c r="L235" s="985"/>
      <c r="M235" s="985"/>
      <c r="N235" s="985"/>
      <c r="O235" s="985"/>
      <c r="P235" s="1032"/>
      <c r="Q235" s="1032"/>
      <c r="R235" s="1004">
        <f t="shared" ref="R235" si="152">ROUND(T235/1.18,2)</f>
        <v>0</v>
      </c>
      <c r="S235" s="1004">
        <f t="shared" si="17"/>
        <v>0</v>
      </c>
      <c r="T235" s="1004">
        <f>ROUND((P235+Q235)*(1+$R$5)*1.18,0)</f>
        <v>0</v>
      </c>
      <c r="U235" s="1009"/>
      <c r="V235" s="1022"/>
      <c r="W235" s="1031"/>
      <c r="X235" s="1002"/>
      <c r="Y235" s="135">
        <v>426</v>
      </c>
      <c r="Z235" s="752"/>
      <c r="AA235" s="1003"/>
      <c r="AB235" s="1005"/>
      <c r="AC235" s="1007"/>
      <c r="AD235" s="752"/>
      <c r="AG235" s="760"/>
      <c r="AH235" s="1008"/>
      <c r="AJ235" s="760"/>
      <c r="AK235" s="752"/>
      <c r="AL235" s="752"/>
      <c r="AN235" s="880"/>
      <c r="AP235" s="760"/>
      <c r="AQ235" s="878"/>
      <c r="AR235" s="752"/>
      <c r="AT235" s="748"/>
    </row>
    <row r="236" spans="1:46" ht="19.5" customHeight="1" outlineLevel="1" x14ac:dyDescent="0.25">
      <c r="A236" s="361"/>
      <c r="B236" s="365"/>
      <c r="C236" s="362"/>
      <c r="D236" s="373"/>
      <c r="E236" s="373"/>
      <c r="F236" s="359"/>
      <c r="G236" s="364"/>
      <c r="H236" s="359"/>
      <c r="I236" s="359"/>
      <c r="J236" s="178" t="s">
        <v>385</v>
      </c>
      <c r="K236" s="92" t="s">
        <v>330</v>
      </c>
      <c r="L236" s="364" t="str">
        <f>VLOOKUP(K236,материалы!$A$5:$G$31,5, FALSE)</f>
        <v>м3</v>
      </c>
      <c r="M236" s="359">
        <f>VLOOKUP(K236,материалы!$A$5:$G$31,7, FALSE)</f>
        <v>116.67</v>
      </c>
      <c r="N236" s="359">
        <v>0.15</v>
      </c>
      <c r="O236" s="359">
        <f t="shared" ref="O236:O242" si="153">ROUND(M236*N236,2)</f>
        <v>17.5</v>
      </c>
      <c r="P236" s="359"/>
      <c r="Q236" s="359"/>
      <c r="R236" s="369"/>
      <c r="S236" s="369"/>
      <c r="T236" s="369"/>
      <c r="U236" s="121"/>
      <c r="V236" s="127"/>
      <c r="W236" s="377"/>
      <c r="X236" s="367"/>
      <c r="Z236" s="356"/>
      <c r="AA236" s="366"/>
      <c r="AB236" s="158"/>
      <c r="AC236" s="170"/>
      <c r="AD236" s="366"/>
      <c r="AG236" s="379"/>
      <c r="AH236" s="358"/>
      <c r="AJ236" s="379"/>
      <c r="AK236" s="366"/>
      <c r="AL236" s="366"/>
      <c r="AN236" s="152"/>
      <c r="AP236" s="379"/>
      <c r="AQ236" s="243"/>
      <c r="AR236" s="366"/>
      <c r="AT236" s="241"/>
    </row>
    <row r="237" spans="1:46" ht="19.5" customHeight="1" outlineLevel="1" x14ac:dyDescent="0.25">
      <c r="A237" s="361"/>
      <c r="B237" s="365"/>
      <c r="C237" s="362"/>
      <c r="D237" s="373"/>
      <c r="E237" s="373"/>
      <c r="F237" s="359"/>
      <c r="G237" s="364"/>
      <c r="H237" s="359"/>
      <c r="I237" s="359"/>
      <c r="J237" s="359"/>
      <c r="K237" s="92" t="s">
        <v>329</v>
      </c>
      <c r="L237" s="364" t="str">
        <f>VLOOKUP(K237,материалы!$A$5:$G$31,5, FALSE)</f>
        <v>м3</v>
      </c>
      <c r="M237" s="359">
        <f>VLOOKUP(K237,материалы!$A$5:$G$31,7, FALSE)</f>
        <v>1033.33</v>
      </c>
      <c r="N237" s="364">
        <v>8.7499999999999994E-2</v>
      </c>
      <c r="O237" s="359">
        <f t="shared" si="153"/>
        <v>90.42</v>
      </c>
      <c r="P237" s="359"/>
      <c r="Q237" s="359"/>
      <c r="R237" s="369"/>
      <c r="S237" s="369"/>
      <c r="T237" s="369"/>
      <c r="U237" s="121"/>
      <c r="V237" s="127"/>
      <c r="W237" s="377"/>
      <c r="X237" s="367"/>
      <c r="Z237" s="356"/>
      <c r="AA237" s="366"/>
      <c r="AB237" s="158"/>
      <c r="AC237" s="170"/>
      <c r="AD237" s="366"/>
      <c r="AG237" s="379"/>
      <c r="AH237" s="358"/>
      <c r="AJ237" s="379"/>
      <c r="AK237" s="366"/>
      <c r="AL237" s="366"/>
      <c r="AN237" s="152"/>
      <c r="AP237" s="379"/>
      <c r="AQ237" s="243"/>
      <c r="AR237" s="366"/>
      <c r="AT237" s="241"/>
    </row>
    <row r="238" spans="1:46" ht="36" customHeight="1" outlineLevel="1" x14ac:dyDescent="0.25">
      <c r="A238" s="361"/>
      <c r="B238" s="365"/>
      <c r="C238" s="362"/>
      <c r="D238" s="373"/>
      <c r="E238" s="373"/>
      <c r="F238" s="359"/>
      <c r="G238" s="364"/>
      <c r="H238" s="359"/>
      <c r="I238" s="359"/>
      <c r="J238" s="359"/>
      <c r="K238" s="92" t="s">
        <v>347</v>
      </c>
      <c r="L238" s="364" t="str">
        <f>VLOOKUP(K238,материалы!$A$5:$G$31,5, FALSE)</f>
        <v>кг</v>
      </c>
      <c r="M238" s="359">
        <f>VLOOKUP(K238,материалы!$A$5:$G$31,7, FALSE)</f>
        <v>300</v>
      </c>
      <c r="N238" s="359">
        <v>0.1</v>
      </c>
      <c r="O238" s="359">
        <f t="shared" si="153"/>
        <v>30</v>
      </c>
      <c r="P238" s="359"/>
      <c r="Q238" s="359"/>
      <c r="R238" s="369"/>
      <c r="S238" s="369"/>
      <c r="T238" s="369"/>
      <c r="U238" s="121"/>
      <c r="V238" s="127"/>
      <c r="W238" s="377"/>
      <c r="X238" s="367"/>
      <c r="Z238" s="356"/>
      <c r="AA238" s="366"/>
      <c r="AB238" s="158"/>
      <c r="AC238" s="170"/>
      <c r="AD238" s="366"/>
      <c r="AG238" s="379"/>
      <c r="AH238" s="358"/>
      <c r="AJ238" s="379"/>
      <c r="AK238" s="366"/>
      <c r="AL238" s="366"/>
      <c r="AN238" s="152"/>
      <c r="AP238" s="379"/>
      <c r="AQ238" s="243"/>
      <c r="AR238" s="366"/>
      <c r="AT238" s="241"/>
    </row>
    <row r="239" spans="1:46" ht="24.75" customHeight="1" outlineLevel="1" x14ac:dyDescent="0.25">
      <c r="A239" s="361"/>
      <c r="B239" s="365"/>
      <c r="C239" s="362"/>
      <c r="D239" s="373"/>
      <c r="E239" s="373"/>
      <c r="F239" s="359"/>
      <c r="G239" s="364"/>
      <c r="H239" s="359"/>
      <c r="I239" s="359"/>
      <c r="J239" s="359"/>
      <c r="K239" s="92" t="s">
        <v>348</v>
      </c>
      <c r="L239" s="364" t="str">
        <f>VLOOKUP(K239,материалы!$A$5:$G$31,5, FALSE)</f>
        <v>шт.</v>
      </c>
      <c r="M239" s="359">
        <f>VLOOKUP(K239,материалы!$A$5:$G$31,7, FALSE)</f>
        <v>45</v>
      </c>
      <c r="N239" s="359">
        <v>0.25</v>
      </c>
      <c r="O239" s="359">
        <f t="shared" si="153"/>
        <v>11.25</v>
      </c>
      <c r="P239" s="359"/>
      <c r="Q239" s="359"/>
      <c r="R239" s="369"/>
      <c r="S239" s="369"/>
      <c r="T239" s="369"/>
      <c r="U239" s="121"/>
      <c r="V239" s="127"/>
      <c r="W239" s="377"/>
      <c r="X239" s="367"/>
      <c r="Z239" s="356"/>
      <c r="AA239" s="366"/>
      <c r="AB239" s="158"/>
      <c r="AC239" s="170"/>
      <c r="AD239" s="366"/>
      <c r="AG239" s="379"/>
      <c r="AH239" s="358"/>
      <c r="AJ239" s="379"/>
      <c r="AK239" s="366"/>
      <c r="AL239" s="366"/>
      <c r="AN239" s="152"/>
      <c r="AP239" s="379"/>
      <c r="AQ239" s="243"/>
      <c r="AR239" s="366"/>
      <c r="AT239" s="241"/>
    </row>
    <row r="240" spans="1:46" ht="28.5" customHeight="1" outlineLevel="1" x14ac:dyDescent="0.25">
      <c r="A240" s="361"/>
      <c r="B240" s="365"/>
      <c r="C240" s="362"/>
      <c r="D240" s="373"/>
      <c r="E240" s="373"/>
      <c r="F240" s="359"/>
      <c r="G240" s="364"/>
      <c r="H240" s="359"/>
      <c r="I240" s="359"/>
      <c r="J240" s="359"/>
      <c r="K240" s="92" t="s">
        <v>358</v>
      </c>
      <c r="L240" s="364" t="str">
        <f>VLOOKUP(K240,материалы!$A$5:$G$31,5, FALSE)</f>
        <v>шт.</v>
      </c>
      <c r="M240" s="359">
        <f>VLOOKUP(K240,материалы!$A$5:$G$31,7, FALSE)</f>
        <v>35</v>
      </c>
      <c r="N240" s="359">
        <v>1</v>
      </c>
      <c r="O240" s="359">
        <f t="shared" si="153"/>
        <v>35</v>
      </c>
      <c r="P240" s="359"/>
      <c r="Q240" s="359"/>
      <c r="R240" s="369"/>
      <c r="S240" s="369"/>
      <c r="T240" s="369"/>
      <c r="U240" s="121"/>
      <c r="V240" s="127"/>
      <c r="W240" s="377"/>
      <c r="X240" s="367"/>
      <c r="Z240" s="356"/>
      <c r="AA240" s="366"/>
      <c r="AB240" s="158"/>
      <c r="AC240" s="170"/>
      <c r="AD240" s="366"/>
      <c r="AG240" s="379"/>
      <c r="AH240" s="358"/>
      <c r="AJ240" s="379"/>
      <c r="AK240" s="366"/>
      <c r="AL240" s="366"/>
      <c r="AN240" s="152"/>
      <c r="AP240" s="379"/>
      <c r="AQ240" s="243"/>
      <c r="AR240" s="366"/>
      <c r="AT240" s="241"/>
    </row>
    <row r="241" spans="1:46" ht="19.5" customHeight="1" outlineLevel="1" x14ac:dyDescent="0.25">
      <c r="A241" s="361"/>
      <c r="B241" s="365"/>
      <c r="C241" s="362"/>
      <c r="D241" s="373"/>
      <c r="E241" s="373"/>
      <c r="F241" s="359"/>
      <c r="G241" s="364"/>
      <c r="H241" s="359"/>
      <c r="I241" s="359"/>
      <c r="J241" s="359"/>
      <c r="K241" s="184" t="s">
        <v>335</v>
      </c>
      <c r="L241" s="364" t="str">
        <f>VLOOKUP(K241,материалы!$A$5:$G$31,5, FALSE)</f>
        <v>кг</v>
      </c>
      <c r="M241" s="359">
        <f>VLOOKUP(K241,материалы!$A$5:$G$31,7, FALSE)</f>
        <v>95</v>
      </c>
      <c r="N241" s="359">
        <v>1E-3</v>
      </c>
      <c r="O241" s="359">
        <f t="shared" si="153"/>
        <v>0.1</v>
      </c>
      <c r="P241" s="359"/>
      <c r="Q241" s="359"/>
      <c r="R241" s="369"/>
      <c r="S241" s="369"/>
      <c r="T241" s="369"/>
      <c r="U241" s="121"/>
      <c r="V241" s="127"/>
      <c r="W241" s="377"/>
      <c r="X241" s="367"/>
      <c r="Z241" s="356"/>
      <c r="AA241" s="366"/>
      <c r="AB241" s="158"/>
      <c r="AC241" s="170"/>
      <c r="AD241" s="366"/>
      <c r="AG241" s="379"/>
      <c r="AH241" s="358"/>
      <c r="AJ241" s="379"/>
      <c r="AK241" s="366"/>
      <c r="AL241" s="366"/>
      <c r="AN241" s="152"/>
      <c r="AP241" s="379"/>
      <c r="AQ241" s="243"/>
      <c r="AR241" s="366"/>
      <c r="AT241" s="241"/>
    </row>
    <row r="242" spans="1:46" ht="19.5" customHeight="1" outlineLevel="1" x14ac:dyDescent="0.25">
      <c r="A242" s="361"/>
      <c r="B242" s="365"/>
      <c r="C242" s="362"/>
      <c r="D242" s="373"/>
      <c r="E242" s="373"/>
      <c r="F242" s="359"/>
      <c r="G242" s="364"/>
      <c r="H242" s="359"/>
      <c r="I242" s="359"/>
      <c r="J242" s="359"/>
      <c r="K242" s="184" t="s">
        <v>336</v>
      </c>
      <c r="L242" s="364" t="str">
        <f>VLOOKUP(K242,материалы!$A$5:$G$31,5, FALSE)</f>
        <v>кг</v>
      </c>
      <c r="M242" s="359">
        <f>VLOOKUP(K242,материалы!$A$5:$G$31,7, FALSE)</f>
        <v>80</v>
      </c>
      <c r="N242" s="359">
        <v>0.01</v>
      </c>
      <c r="O242" s="359">
        <f t="shared" si="153"/>
        <v>0.8</v>
      </c>
      <c r="P242" s="359"/>
      <c r="Q242" s="359"/>
      <c r="R242" s="369"/>
      <c r="S242" s="369"/>
      <c r="T242" s="369"/>
      <c r="U242" s="121"/>
      <c r="V242" s="127"/>
      <c r="W242" s="377"/>
      <c r="X242" s="367"/>
      <c r="Z242" s="356"/>
      <c r="AA242" s="366"/>
      <c r="AB242" s="158"/>
      <c r="AC242" s="170"/>
      <c r="AD242" s="366"/>
      <c r="AG242" s="379"/>
      <c r="AH242" s="358"/>
      <c r="AJ242" s="379"/>
      <c r="AK242" s="366"/>
      <c r="AL242" s="366"/>
      <c r="AN242" s="152"/>
      <c r="AP242" s="379"/>
      <c r="AQ242" s="243"/>
      <c r="AR242" s="366"/>
      <c r="AT242" s="241"/>
    </row>
    <row r="243" spans="1:46" x14ac:dyDescent="0.25">
      <c r="A243" s="361" t="s">
        <v>514</v>
      </c>
      <c r="B243" s="361" t="s">
        <v>238</v>
      </c>
      <c r="C243" s="362" t="s">
        <v>245</v>
      </c>
      <c r="D243" s="359" t="s">
        <v>190</v>
      </c>
      <c r="E243" s="373" t="s">
        <v>169</v>
      </c>
      <c r="F243" s="359">
        <f>VLOOKUP(E243,'условия, ФОТ'!$A$14:$I$28,9, FALSE)</f>
        <v>326.24</v>
      </c>
      <c r="G243" s="364">
        <v>0.5</v>
      </c>
      <c r="H243" s="359">
        <f t="shared" si="114"/>
        <v>163.12</v>
      </c>
      <c r="I243" s="359">
        <f t="shared" si="111"/>
        <v>49.26</v>
      </c>
      <c r="J243" s="359">
        <f t="shared" si="112"/>
        <v>212.38</v>
      </c>
      <c r="K243" s="363"/>
      <c r="L243" s="359"/>
      <c r="M243" s="359"/>
      <c r="N243" s="359"/>
      <c r="O243" s="359"/>
      <c r="P243" s="359">
        <f t="shared" si="117"/>
        <v>212.38</v>
      </c>
      <c r="Q243" s="359">
        <f t="shared" ref="Q243:Q334" si="154">ROUND(P243*$Q$5,2)</f>
        <v>164.59</v>
      </c>
      <c r="R243" s="369">
        <f>ROUND(T243/1.2,2)</f>
        <v>202.5</v>
      </c>
      <c r="S243" s="369">
        <f t="shared" ref="S243:S334" si="155">ROUND(R243*$S$5,2)</f>
        <v>40.5</v>
      </c>
      <c r="T243" s="369">
        <f t="shared" ref="T243:T293" si="156">ROUND((P243+Q243)*(1+AC243)*1.2,0)</f>
        <v>243</v>
      </c>
      <c r="U243" s="121">
        <v>210</v>
      </c>
      <c r="V243" s="127">
        <f t="shared" si="62"/>
        <v>15.714285714285722</v>
      </c>
      <c r="W243" s="377">
        <v>217</v>
      </c>
      <c r="X243" s="367">
        <f t="shared" si="138"/>
        <v>11.981566820276484</v>
      </c>
      <c r="Y243" s="117">
        <v>217</v>
      </c>
      <c r="Z243" s="368">
        <v>1.1180000000000001</v>
      </c>
      <c r="AA243" s="152">
        <f t="shared" ref="AA243:AA293" si="157">ROUND(W243*Z243,2)</f>
        <v>242.61</v>
      </c>
      <c r="AB243" s="157">
        <f t="shared" ref="AB243:AB293" si="158">ROUND((P243+Q243)*1.2,2)</f>
        <v>452.36</v>
      </c>
      <c r="AC243" s="170">
        <f t="shared" ref="AC243:AC293" si="159">ROUND((AA243/AB243)*100%-100%,4)</f>
        <v>-0.4637</v>
      </c>
      <c r="AD243" s="366">
        <f t="shared" si="139"/>
        <v>-209.759332</v>
      </c>
      <c r="AF243">
        <v>224.37800000000001</v>
      </c>
      <c r="AG243" s="379">
        <v>224</v>
      </c>
      <c r="AH243" s="358">
        <f t="shared" si="140"/>
        <v>19</v>
      </c>
      <c r="AJ243" s="379">
        <v>-2.9399999999999999E-2</v>
      </c>
      <c r="AK243" s="366">
        <f t="shared" si="141"/>
        <v>1.0294000000000001</v>
      </c>
      <c r="AL243" s="366">
        <v>1.0640000000000001</v>
      </c>
      <c r="AN243" s="152">
        <f t="shared" si="146"/>
        <v>230.89</v>
      </c>
      <c r="AP243" s="379">
        <v>1.034</v>
      </c>
      <c r="AQ243" s="243">
        <v>-2.9399999999999999E-2</v>
      </c>
      <c r="AR243" s="366">
        <f t="shared" si="142"/>
        <v>8.4000000000000075E-2</v>
      </c>
      <c r="AT243" s="241">
        <f t="shared" si="143"/>
        <v>-0.43430000000000002</v>
      </c>
    </row>
    <row r="244" spans="1:46" x14ac:dyDescent="0.25">
      <c r="A244" s="361" t="s">
        <v>516</v>
      </c>
      <c r="B244" s="361" t="s">
        <v>239</v>
      </c>
      <c r="C244" s="362" t="s">
        <v>71</v>
      </c>
      <c r="D244" s="359" t="s">
        <v>246</v>
      </c>
      <c r="E244" s="373" t="s">
        <v>169</v>
      </c>
      <c r="F244" s="359">
        <f>VLOOKUP(E244,'условия, ФОТ'!$A$14:$I$28,9, FALSE)</f>
        <v>326.24</v>
      </c>
      <c r="G244" s="364">
        <v>1.1000000000000001</v>
      </c>
      <c r="H244" s="359">
        <f t="shared" si="114"/>
        <v>358.86</v>
      </c>
      <c r="I244" s="359">
        <f t="shared" si="111"/>
        <v>108.38</v>
      </c>
      <c r="J244" s="359">
        <f t="shared" si="112"/>
        <v>467.24</v>
      </c>
      <c r="K244" s="363"/>
      <c r="L244" s="359"/>
      <c r="M244" s="359"/>
      <c r="N244" s="359"/>
      <c r="O244" s="359"/>
      <c r="P244" s="359">
        <f t="shared" si="117"/>
        <v>467.24</v>
      </c>
      <c r="Q244" s="359">
        <f t="shared" si="154"/>
        <v>362.11</v>
      </c>
      <c r="R244" s="369">
        <f t="shared" ref="R244:R292" si="160">ROUND(T244/1.2,2)</f>
        <v>445</v>
      </c>
      <c r="S244" s="369">
        <f t="shared" si="155"/>
        <v>89</v>
      </c>
      <c r="T244" s="369">
        <f t="shared" si="156"/>
        <v>534</v>
      </c>
      <c r="U244" s="121">
        <v>462</v>
      </c>
      <c r="V244" s="127">
        <f t="shared" si="62"/>
        <v>15.584415584415595</v>
      </c>
      <c r="W244" s="377">
        <v>477</v>
      </c>
      <c r="X244" s="367">
        <f t="shared" si="138"/>
        <v>11.949685534591197</v>
      </c>
      <c r="Y244" s="117">
        <v>477</v>
      </c>
      <c r="Z244" s="368">
        <v>1.119</v>
      </c>
      <c r="AA244" s="152">
        <f t="shared" si="157"/>
        <v>533.76</v>
      </c>
      <c r="AB244" s="157">
        <f t="shared" si="158"/>
        <v>995.22</v>
      </c>
      <c r="AC244" s="170">
        <f t="shared" si="159"/>
        <v>-0.4637</v>
      </c>
      <c r="AD244" s="366">
        <f t="shared" si="139"/>
        <v>-461.48351400000001</v>
      </c>
      <c r="AF244">
        <v>493.21800000000002</v>
      </c>
      <c r="AG244" s="379">
        <v>493</v>
      </c>
      <c r="AH244" s="358">
        <f t="shared" si="140"/>
        <v>41</v>
      </c>
      <c r="AJ244" s="379">
        <v>-3.0200000000000001E-2</v>
      </c>
      <c r="AK244" s="366">
        <f t="shared" si="141"/>
        <v>1.0302</v>
      </c>
      <c r="AL244" s="366">
        <v>1.0649999999999999</v>
      </c>
      <c r="AN244" s="152">
        <f t="shared" si="146"/>
        <v>508.01</v>
      </c>
      <c r="AP244" s="379">
        <v>1.034</v>
      </c>
      <c r="AQ244" s="243">
        <v>-3.0200000000000001E-2</v>
      </c>
      <c r="AR244" s="366">
        <f t="shared" si="142"/>
        <v>8.4999999999999964E-2</v>
      </c>
      <c r="AT244" s="241">
        <f t="shared" si="143"/>
        <v>-0.4335</v>
      </c>
    </row>
    <row r="245" spans="1:46" x14ac:dyDescent="0.25">
      <c r="A245" s="361" t="s">
        <v>515</v>
      </c>
      <c r="B245" s="361" t="s">
        <v>247</v>
      </c>
      <c r="C245" s="362" t="s">
        <v>72</v>
      </c>
      <c r="D245" s="359" t="s">
        <v>203</v>
      </c>
      <c r="E245" s="373" t="s">
        <v>169</v>
      </c>
      <c r="F245" s="359">
        <f>VLOOKUP(E245,'условия, ФОТ'!$A$14:$I$28,9, FALSE)</f>
        <v>326.24</v>
      </c>
      <c r="G245" s="364">
        <v>0.6</v>
      </c>
      <c r="H245" s="359">
        <f t="shared" si="114"/>
        <v>195.74</v>
      </c>
      <c r="I245" s="359">
        <f t="shared" si="111"/>
        <v>59.11</v>
      </c>
      <c r="J245" s="359">
        <f t="shared" si="112"/>
        <v>254.85000000000002</v>
      </c>
      <c r="K245" s="363"/>
      <c r="L245" s="359"/>
      <c r="M245" s="359"/>
      <c r="N245" s="359"/>
      <c r="O245" s="359"/>
      <c r="P245" s="359">
        <f t="shared" si="117"/>
        <v>254.85000000000002</v>
      </c>
      <c r="Q245" s="359">
        <f t="shared" si="154"/>
        <v>197.51</v>
      </c>
      <c r="R245" s="369">
        <f t="shared" si="160"/>
        <v>242.5</v>
      </c>
      <c r="S245" s="369">
        <f t="shared" si="155"/>
        <v>48.5</v>
      </c>
      <c r="T245" s="369">
        <f t="shared" si="156"/>
        <v>291</v>
      </c>
      <c r="U245" s="121">
        <v>252</v>
      </c>
      <c r="V245" s="127">
        <f t="shared" si="62"/>
        <v>15.476190476190467</v>
      </c>
      <c r="W245" s="377">
        <v>260</v>
      </c>
      <c r="X245" s="367">
        <f t="shared" si="138"/>
        <v>11.92307692307692</v>
      </c>
      <c r="Y245" s="117">
        <v>260</v>
      </c>
      <c r="Z245" s="368">
        <v>1.1200000000000001</v>
      </c>
      <c r="AA245" s="152">
        <f t="shared" si="157"/>
        <v>291.2</v>
      </c>
      <c r="AB245" s="157">
        <f t="shared" si="158"/>
        <v>542.83000000000004</v>
      </c>
      <c r="AC245" s="170">
        <f t="shared" si="159"/>
        <v>-0.46360000000000001</v>
      </c>
      <c r="AD245" s="366">
        <f t="shared" si="139"/>
        <v>-251.65598800000004</v>
      </c>
      <c r="AF245">
        <v>268.84000000000003</v>
      </c>
      <c r="AG245" s="379">
        <v>269</v>
      </c>
      <c r="AH245" s="358">
        <f t="shared" si="140"/>
        <v>22</v>
      </c>
      <c r="AJ245" s="379">
        <v>-3.0800000000000001E-2</v>
      </c>
      <c r="AK245" s="366">
        <f t="shared" si="141"/>
        <v>1.0307999999999999</v>
      </c>
      <c r="AL245" s="366">
        <v>1.0660000000000001</v>
      </c>
      <c r="AN245" s="152">
        <f t="shared" si="146"/>
        <v>277.16000000000003</v>
      </c>
      <c r="AP245" s="379">
        <v>1.034</v>
      </c>
      <c r="AQ245" s="243">
        <v>-3.0800000000000001E-2</v>
      </c>
      <c r="AR245" s="366">
        <f t="shared" si="142"/>
        <v>8.6000000000000076E-2</v>
      </c>
      <c r="AT245" s="241">
        <f t="shared" si="143"/>
        <v>-0.43280000000000002</v>
      </c>
    </row>
    <row r="246" spans="1:46" x14ac:dyDescent="0.25">
      <c r="A246" s="361" t="s">
        <v>517</v>
      </c>
      <c r="B246" s="361" t="s">
        <v>359</v>
      </c>
      <c r="C246" s="362" t="s">
        <v>73</v>
      </c>
      <c r="D246" s="359" t="s">
        <v>203</v>
      </c>
      <c r="E246" s="373" t="s">
        <v>169</v>
      </c>
      <c r="F246" s="359">
        <f>VLOOKUP(E246,'условия, ФОТ'!$A$14:$I$28,9, FALSE)</f>
        <v>326.24</v>
      </c>
      <c r="G246" s="364">
        <v>1</v>
      </c>
      <c r="H246" s="359">
        <f t="shared" si="114"/>
        <v>326.24</v>
      </c>
      <c r="I246" s="359">
        <f t="shared" si="111"/>
        <v>98.52</v>
      </c>
      <c r="J246" s="359">
        <f t="shared" si="112"/>
        <v>424.76</v>
      </c>
      <c r="K246" s="363"/>
      <c r="L246" s="359"/>
      <c r="M246" s="359"/>
      <c r="N246" s="359"/>
      <c r="O246" s="359"/>
      <c r="P246" s="359">
        <f t="shared" si="117"/>
        <v>424.76</v>
      </c>
      <c r="Q246" s="359">
        <f t="shared" si="154"/>
        <v>329.19</v>
      </c>
      <c r="R246" s="369">
        <f t="shared" si="160"/>
        <v>404.17</v>
      </c>
      <c r="S246" s="369">
        <f t="shared" si="155"/>
        <v>80.83</v>
      </c>
      <c r="T246" s="369">
        <f t="shared" si="156"/>
        <v>485</v>
      </c>
      <c r="U246" s="121">
        <v>420</v>
      </c>
      <c r="V246" s="127">
        <f t="shared" si="62"/>
        <v>15.476190476190467</v>
      </c>
      <c r="W246" s="377">
        <v>434</v>
      </c>
      <c r="X246" s="367">
        <f t="shared" si="138"/>
        <v>11.751152073732712</v>
      </c>
      <c r="Y246" s="117">
        <v>434</v>
      </c>
      <c r="Z246" s="368">
        <v>1.1180000000000001</v>
      </c>
      <c r="AA246" s="152">
        <f t="shared" si="157"/>
        <v>485.21</v>
      </c>
      <c r="AB246" s="157">
        <f t="shared" si="158"/>
        <v>904.74</v>
      </c>
      <c r="AC246" s="170">
        <f t="shared" si="159"/>
        <v>-0.4637</v>
      </c>
      <c r="AD246" s="366">
        <f t="shared" si="139"/>
        <v>-419.52793800000001</v>
      </c>
      <c r="AF246">
        <v>448.75600000000003</v>
      </c>
      <c r="AG246" s="379">
        <v>449</v>
      </c>
      <c r="AH246" s="358">
        <f t="shared" si="140"/>
        <v>36</v>
      </c>
      <c r="AJ246" s="379">
        <v>-2.9399999999999999E-2</v>
      </c>
      <c r="AK246" s="366">
        <f t="shared" si="141"/>
        <v>1.0294000000000001</v>
      </c>
      <c r="AL246" s="366">
        <v>1.0640000000000001</v>
      </c>
      <c r="AN246" s="152">
        <f t="shared" si="146"/>
        <v>461.78</v>
      </c>
      <c r="AP246" s="379">
        <v>1.034</v>
      </c>
      <c r="AQ246" s="243">
        <v>-2.9399999999999999E-2</v>
      </c>
      <c r="AR246" s="366">
        <f t="shared" si="142"/>
        <v>8.4000000000000075E-2</v>
      </c>
      <c r="AT246" s="241">
        <f t="shared" si="143"/>
        <v>-0.43430000000000002</v>
      </c>
    </row>
    <row r="247" spans="1:46" x14ac:dyDescent="0.25">
      <c r="A247" s="361" t="s">
        <v>518</v>
      </c>
      <c r="B247" s="361" t="s">
        <v>248</v>
      </c>
      <c r="C247" s="362" t="s">
        <v>74</v>
      </c>
      <c r="D247" s="359" t="s">
        <v>250</v>
      </c>
      <c r="E247" s="373" t="s">
        <v>169</v>
      </c>
      <c r="F247" s="359">
        <f>VLOOKUP(E247,'условия, ФОТ'!$A$14:$I$28,9, FALSE)</f>
        <v>326.24</v>
      </c>
      <c r="G247" s="364">
        <v>0.7</v>
      </c>
      <c r="H247" s="359">
        <f t="shared" si="114"/>
        <v>228.37</v>
      </c>
      <c r="I247" s="359">
        <f t="shared" si="111"/>
        <v>68.97</v>
      </c>
      <c r="J247" s="359">
        <f t="shared" si="112"/>
        <v>297.34000000000003</v>
      </c>
      <c r="K247" s="363"/>
      <c r="L247" s="359"/>
      <c r="M247" s="359"/>
      <c r="N247" s="359"/>
      <c r="O247" s="359"/>
      <c r="P247" s="359">
        <f t="shared" si="117"/>
        <v>297.34000000000003</v>
      </c>
      <c r="Q247" s="359">
        <f t="shared" si="154"/>
        <v>230.44</v>
      </c>
      <c r="R247" s="369">
        <f t="shared" si="160"/>
        <v>283.33</v>
      </c>
      <c r="S247" s="369">
        <f>ROUND(R247*$S$5,2)</f>
        <v>56.67</v>
      </c>
      <c r="T247" s="369">
        <f t="shared" si="156"/>
        <v>340</v>
      </c>
      <c r="U247" s="121">
        <v>294</v>
      </c>
      <c r="V247" s="127">
        <f t="shared" si="62"/>
        <v>15.646258503401356</v>
      </c>
      <c r="W247" s="377">
        <v>304</v>
      </c>
      <c r="X247" s="367">
        <f t="shared" si="138"/>
        <v>11.842105263157904</v>
      </c>
      <c r="Y247" s="117">
        <v>304</v>
      </c>
      <c r="Z247" s="368">
        <v>1.117</v>
      </c>
      <c r="AA247" s="152">
        <f t="shared" si="157"/>
        <v>339.57</v>
      </c>
      <c r="AB247" s="157">
        <f t="shared" si="158"/>
        <v>633.34</v>
      </c>
      <c r="AC247" s="170">
        <f t="shared" si="159"/>
        <v>-0.46379999999999999</v>
      </c>
      <c r="AD247" s="366">
        <f t="shared" si="139"/>
        <v>-293.74309199999999</v>
      </c>
      <c r="AF247">
        <v>314.33600000000001</v>
      </c>
      <c r="AG247" s="379">
        <v>314</v>
      </c>
      <c r="AH247" s="358">
        <f t="shared" si="140"/>
        <v>26</v>
      </c>
      <c r="AJ247" s="379">
        <v>-2.87E-2</v>
      </c>
      <c r="AK247" s="366">
        <f t="shared" si="141"/>
        <v>1.0286999999999999</v>
      </c>
      <c r="AL247" s="366">
        <v>1.0640000000000001</v>
      </c>
      <c r="AN247" s="152">
        <f t="shared" si="146"/>
        <v>323.45999999999998</v>
      </c>
      <c r="AP247" s="379">
        <v>1.034</v>
      </c>
      <c r="AQ247" s="243">
        <v>-2.87E-2</v>
      </c>
      <c r="AR247" s="366">
        <f t="shared" si="142"/>
        <v>8.2999999999999963E-2</v>
      </c>
      <c r="AT247" s="241">
        <f t="shared" si="143"/>
        <v>-0.43509999999999999</v>
      </c>
    </row>
    <row r="248" spans="1:46" x14ac:dyDescent="0.25">
      <c r="A248" s="361" t="s">
        <v>519</v>
      </c>
      <c r="B248" s="361" t="s">
        <v>249</v>
      </c>
      <c r="C248" s="362" t="s">
        <v>75</v>
      </c>
      <c r="D248" s="359" t="s">
        <v>250</v>
      </c>
      <c r="E248" s="373" t="s">
        <v>169</v>
      </c>
      <c r="F248" s="359">
        <f>VLOOKUP(E248,'условия, ФОТ'!$A$14:$I$28,9, FALSE)</f>
        <v>326.24</v>
      </c>
      <c r="G248" s="364">
        <v>0.4</v>
      </c>
      <c r="H248" s="359">
        <f t="shared" si="114"/>
        <v>130.5</v>
      </c>
      <c r="I248" s="359">
        <f t="shared" si="111"/>
        <v>39.409999999999997</v>
      </c>
      <c r="J248" s="359">
        <f t="shared" si="112"/>
        <v>169.91</v>
      </c>
      <c r="K248" s="363"/>
      <c r="L248" s="359"/>
      <c r="M248" s="359"/>
      <c r="N248" s="359"/>
      <c r="O248" s="359"/>
      <c r="P248" s="359">
        <f t="shared" si="117"/>
        <v>169.91</v>
      </c>
      <c r="Q248" s="359">
        <f t="shared" si="154"/>
        <v>131.68</v>
      </c>
      <c r="R248" s="369">
        <f t="shared" si="160"/>
        <v>161.66999999999999</v>
      </c>
      <c r="S248" s="369">
        <f t="shared" si="155"/>
        <v>32.33</v>
      </c>
      <c r="T248" s="369">
        <f t="shared" si="156"/>
        <v>194</v>
      </c>
      <c r="U248" s="121">
        <v>168</v>
      </c>
      <c r="V248" s="127">
        <f t="shared" si="62"/>
        <v>15.476190476190467</v>
      </c>
      <c r="W248" s="377">
        <v>173</v>
      </c>
      <c r="X248" s="367">
        <f t="shared" si="138"/>
        <v>12.138728323699425</v>
      </c>
      <c r="Y248" s="117">
        <v>173</v>
      </c>
      <c r="Z248" s="368">
        <v>1.1220000000000001</v>
      </c>
      <c r="AA248" s="152">
        <f t="shared" si="157"/>
        <v>194.11</v>
      </c>
      <c r="AB248" s="157">
        <f t="shared" si="158"/>
        <v>361.91</v>
      </c>
      <c r="AC248" s="170">
        <f t="shared" si="159"/>
        <v>-0.4637</v>
      </c>
      <c r="AD248" s="366">
        <f t="shared" si="139"/>
        <v>-167.817667</v>
      </c>
      <c r="AF248">
        <v>178.88200000000001</v>
      </c>
      <c r="AG248" s="379">
        <v>179</v>
      </c>
      <c r="AH248" s="358">
        <f t="shared" si="140"/>
        <v>15</v>
      </c>
      <c r="AJ248" s="379">
        <v>-3.2899999999999999E-2</v>
      </c>
      <c r="AK248" s="366">
        <f t="shared" si="141"/>
        <v>1.0328999999999999</v>
      </c>
      <c r="AL248" s="366">
        <v>1.0680000000000001</v>
      </c>
      <c r="AN248" s="152">
        <f t="shared" si="146"/>
        <v>184.76</v>
      </c>
      <c r="AP248" s="379">
        <v>1.034</v>
      </c>
      <c r="AQ248" s="243">
        <v>-3.2899999999999999E-2</v>
      </c>
      <c r="AR248" s="366">
        <f t="shared" si="142"/>
        <v>8.8000000000000078E-2</v>
      </c>
      <c r="AT248" s="241">
        <f t="shared" si="143"/>
        <v>-0.43080000000000002</v>
      </c>
    </row>
    <row r="249" spans="1:46" ht="26.25" customHeight="1" x14ac:dyDescent="0.25">
      <c r="A249" s="361" t="s">
        <v>520</v>
      </c>
      <c r="B249" s="361" t="s">
        <v>251</v>
      </c>
      <c r="C249" s="362" t="s">
        <v>76</v>
      </c>
      <c r="D249" s="359" t="s">
        <v>252</v>
      </c>
      <c r="E249" s="373" t="s">
        <v>169</v>
      </c>
      <c r="F249" s="359">
        <f>VLOOKUP(E249,'условия, ФОТ'!$A$14:$I$28,9, FALSE)</f>
        <v>326.24</v>
      </c>
      <c r="G249" s="364">
        <v>0.4</v>
      </c>
      <c r="H249" s="359">
        <f t="shared" si="114"/>
        <v>130.5</v>
      </c>
      <c r="I249" s="359">
        <f t="shared" si="111"/>
        <v>39.409999999999997</v>
      </c>
      <c r="J249" s="359">
        <f t="shared" si="112"/>
        <v>169.91</v>
      </c>
      <c r="K249" s="363"/>
      <c r="L249" s="359"/>
      <c r="M249" s="359"/>
      <c r="N249" s="359"/>
      <c r="O249" s="359"/>
      <c r="P249" s="359">
        <f t="shared" si="117"/>
        <v>169.91</v>
      </c>
      <c r="Q249" s="359">
        <f t="shared" si="154"/>
        <v>131.68</v>
      </c>
      <c r="R249" s="369">
        <f t="shared" si="160"/>
        <v>161.66999999999999</v>
      </c>
      <c r="S249" s="369">
        <f t="shared" si="155"/>
        <v>32.33</v>
      </c>
      <c r="T249" s="369">
        <f t="shared" si="156"/>
        <v>194</v>
      </c>
      <c r="U249" s="121">
        <v>168</v>
      </c>
      <c r="V249" s="127">
        <f t="shared" si="62"/>
        <v>15.476190476190467</v>
      </c>
      <c r="W249" s="377">
        <v>173</v>
      </c>
      <c r="X249" s="367">
        <f t="shared" si="138"/>
        <v>12.138728323699425</v>
      </c>
      <c r="Y249" s="117">
        <v>173</v>
      </c>
      <c r="Z249" s="368">
        <v>1.1220000000000001</v>
      </c>
      <c r="AA249" s="152">
        <f t="shared" si="157"/>
        <v>194.11</v>
      </c>
      <c r="AB249" s="157">
        <f t="shared" si="158"/>
        <v>361.91</v>
      </c>
      <c r="AC249" s="170">
        <f t="shared" si="159"/>
        <v>-0.4637</v>
      </c>
      <c r="AD249" s="366">
        <f t="shared" si="139"/>
        <v>-167.817667</v>
      </c>
      <c r="AF249">
        <v>178.88200000000001</v>
      </c>
      <c r="AG249" s="379">
        <v>179</v>
      </c>
      <c r="AH249" s="358">
        <f t="shared" si="140"/>
        <v>15</v>
      </c>
      <c r="AJ249" s="379">
        <v>-3.2899999999999999E-2</v>
      </c>
      <c r="AK249" s="366">
        <f t="shared" si="141"/>
        <v>1.0328999999999999</v>
      </c>
      <c r="AL249" s="366">
        <v>1.0680000000000001</v>
      </c>
      <c r="AN249" s="152">
        <f t="shared" si="146"/>
        <v>184.76</v>
      </c>
      <c r="AP249" s="379">
        <v>1.034</v>
      </c>
      <c r="AQ249" s="243">
        <v>-3.2899999999999999E-2</v>
      </c>
      <c r="AR249" s="366">
        <f t="shared" si="142"/>
        <v>8.8000000000000078E-2</v>
      </c>
      <c r="AT249" s="241">
        <f t="shared" si="143"/>
        <v>-0.43080000000000002</v>
      </c>
    </row>
    <row r="250" spans="1:46" x14ac:dyDescent="0.25">
      <c r="A250" s="361" t="s">
        <v>521</v>
      </c>
      <c r="B250" s="361" t="s">
        <v>253</v>
      </c>
      <c r="C250" s="362" t="s">
        <v>77</v>
      </c>
      <c r="D250" s="359" t="s">
        <v>254</v>
      </c>
      <c r="E250" s="373" t="s">
        <v>169</v>
      </c>
      <c r="F250" s="359">
        <f>VLOOKUP(E250,'условия, ФОТ'!$A$14:$I$28,9, FALSE)</f>
        <v>326.24</v>
      </c>
      <c r="G250" s="364">
        <v>0.24</v>
      </c>
      <c r="H250" s="359">
        <f t="shared" si="114"/>
        <v>78.3</v>
      </c>
      <c r="I250" s="359">
        <f t="shared" si="111"/>
        <v>23.65</v>
      </c>
      <c r="J250" s="359">
        <f t="shared" si="112"/>
        <v>101.94999999999999</v>
      </c>
      <c r="K250" s="363"/>
      <c r="L250" s="359"/>
      <c r="M250" s="359"/>
      <c r="N250" s="359"/>
      <c r="O250" s="359"/>
      <c r="P250" s="359">
        <f t="shared" si="117"/>
        <v>101.94999999999999</v>
      </c>
      <c r="Q250" s="359">
        <f t="shared" si="154"/>
        <v>79.010000000000005</v>
      </c>
      <c r="R250" s="369">
        <f t="shared" si="160"/>
        <v>96.67</v>
      </c>
      <c r="S250" s="369">
        <f t="shared" si="155"/>
        <v>19.329999999999998</v>
      </c>
      <c r="T250" s="369">
        <f t="shared" si="156"/>
        <v>116</v>
      </c>
      <c r="U250" s="121">
        <v>101</v>
      </c>
      <c r="V250" s="127">
        <f t="shared" si="62"/>
        <v>14.85148514851484</v>
      </c>
      <c r="W250" s="377">
        <v>104</v>
      </c>
      <c r="X250" s="367">
        <f t="shared" si="138"/>
        <v>11.538461538461547</v>
      </c>
      <c r="Y250" s="117">
        <v>104</v>
      </c>
      <c r="Z250" s="368">
        <v>1.1200000000000001</v>
      </c>
      <c r="AA250" s="152">
        <f t="shared" si="157"/>
        <v>116.48</v>
      </c>
      <c r="AB250" s="157">
        <f t="shared" si="158"/>
        <v>217.15</v>
      </c>
      <c r="AC250" s="170">
        <f t="shared" si="159"/>
        <v>-0.46360000000000001</v>
      </c>
      <c r="AD250" s="366">
        <f t="shared" si="139"/>
        <v>-100.67074000000001</v>
      </c>
      <c r="AF250">
        <v>107.536</v>
      </c>
      <c r="AG250" s="379">
        <v>108</v>
      </c>
      <c r="AH250" s="358">
        <f t="shared" si="140"/>
        <v>8</v>
      </c>
      <c r="AJ250" s="379">
        <v>-3.0800000000000001E-2</v>
      </c>
      <c r="AK250" s="366">
        <f t="shared" si="141"/>
        <v>1.0307999999999999</v>
      </c>
      <c r="AL250" s="366">
        <v>1.0660000000000001</v>
      </c>
      <c r="AN250" s="152">
        <f t="shared" si="146"/>
        <v>110.86</v>
      </c>
      <c r="AP250" s="379">
        <v>1.034</v>
      </c>
      <c r="AQ250" s="243">
        <v>-3.0800000000000001E-2</v>
      </c>
      <c r="AR250" s="366">
        <f t="shared" si="142"/>
        <v>8.6000000000000076E-2</v>
      </c>
      <c r="AT250" s="241">
        <f t="shared" si="143"/>
        <v>-0.43280000000000002</v>
      </c>
    </row>
    <row r="251" spans="1:46" ht="27" customHeight="1" x14ac:dyDescent="0.25">
      <c r="A251" s="361" t="s">
        <v>522</v>
      </c>
      <c r="B251" s="361" t="s">
        <v>255</v>
      </c>
      <c r="C251" s="362" t="s">
        <v>78</v>
      </c>
      <c r="D251" s="359" t="s">
        <v>203</v>
      </c>
      <c r="E251" s="373" t="s">
        <v>169</v>
      </c>
      <c r="F251" s="359">
        <f>VLOOKUP(E251,'условия, ФОТ'!$A$14:$I$28,9, FALSE)</f>
        <v>326.24</v>
      </c>
      <c r="G251" s="364">
        <v>0.2</v>
      </c>
      <c r="H251" s="359">
        <f t="shared" si="114"/>
        <v>65.25</v>
      </c>
      <c r="I251" s="359">
        <f t="shared" si="111"/>
        <v>19.71</v>
      </c>
      <c r="J251" s="359">
        <f t="shared" si="112"/>
        <v>84.960000000000008</v>
      </c>
      <c r="K251" s="363"/>
      <c r="L251" s="359"/>
      <c r="M251" s="359"/>
      <c r="N251" s="359"/>
      <c r="O251" s="359"/>
      <c r="P251" s="359">
        <f t="shared" si="117"/>
        <v>84.960000000000008</v>
      </c>
      <c r="Q251" s="359">
        <f t="shared" si="154"/>
        <v>65.84</v>
      </c>
      <c r="R251" s="369">
        <f t="shared" si="160"/>
        <v>80.83</v>
      </c>
      <c r="S251" s="369">
        <f t="shared" si="155"/>
        <v>16.170000000000002</v>
      </c>
      <c r="T251" s="369">
        <f t="shared" si="156"/>
        <v>97</v>
      </c>
      <c r="U251" s="121">
        <v>84</v>
      </c>
      <c r="V251" s="127">
        <f t="shared" si="62"/>
        <v>15.476190476190467</v>
      </c>
      <c r="W251" s="377">
        <v>87</v>
      </c>
      <c r="X251" s="367">
        <f t="shared" si="138"/>
        <v>11.494252873563227</v>
      </c>
      <c r="Y251" s="117">
        <v>87</v>
      </c>
      <c r="Z251" s="368">
        <v>1.1160000000000001</v>
      </c>
      <c r="AA251" s="152">
        <f t="shared" si="157"/>
        <v>97.09</v>
      </c>
      <c r="AB251" s="157">
        <f t="shared" si="158"/>
        <v>180.96</v>
      </c>
      <c r="AC251" s="170">
        <f t="shared" si="159"/>
        <v>-0.46350000000000002</v>
      </c>
      <c r="AD251" s="366">
        <f t="shared" si="139"/>
        <v>-83.874960000000002</v>
      </c>
      <c r="AF251">
        <v>89.957999999999998</v>
      </c>
      <c r="AG251" s="379">
        <v>90</v>
      </c>
      <c r="AH251" s="358">
        <f t="shared" si="140"/>
        <v>7</v>
      </c>
      <c r="AJ251" s="379">
        <v>-2.7199999999999998E-2</v>
      </c>
      <c r="AK251" s="366">
        <f t="shared" si="141"/>
        <v>1.0271999999999999</v>
      </c>
      <c r="AL251" s="366">
        <v>1.0620000000000001</v>
      </c>
      <c r="AN251" s="152">
        <f t="shared" si="146"/>
        <v>92.39</v>
      </c>
      <c r="AP251" s="379">
        <v>1.034</v>
      </c>
      <c r="AQ251" s="243">
        <v>-2.7199999999999998E-2</v>
      </c>
      <c r="AR251" s="366">
        <f t="shared" si="142"/>
        <v>8.2000000000000073E-2</v>
      </c>
      <c r="AT251" s="241">
        <f t="shared" si="143"/>
        <v>-0.43630000000000002</v>
      </c>
    </row>
    <row r="252" spans="1:46" x14ac:dyDescent="0.25">
      <c r="A252" s="361" t="s">
        <v>523</v>
      </c>
      <c r="B252" s="361" t="s">
        <v>256</v>
      </c>
      <c r="C252" s="362" t="s">
        <v>79</v>
      </c>
      <c r="D252" s="359" t="s">
        <v>203</v>
      </c>
      <c r="E252" s="373" t="s">
        <v>169</v>
      </c>
      <c r="F252" s="359">
        <f>VLOOKUP(E252,'условия, ФОТ'!$A$14:$I$28,9, FALSE)</f>
        <v>326.24</v>
      </c>
      <c r="G252" s="364">
        <v>0.25</v>
      </c>
      <c r="H252" s="359">
        <f t="shared" si="114"/>
        <v>81.56</v>
      </c>
      <c r="I252" s="359">
        <f t="shared" si="111"/>
        <v>24.63</v>
      </c>
      <c r="J252" s="359">
        <f t="shared" si="112"/>
        <v>106.19</v>
      </c>
      <c r="K252" s="363"/>
      <c r="L252" s="359"/>
      <c r="M252" s="359"/>
      <c r="N252" s="359"/>
      <c r="O252" s="359"/>
      <c r="P252" s="359">
        <f t="shared" si="117"/>
        <v>106.19</v>
      </c>
      <c r="Q252" s="359">
        <f t="shared" si="154"/>
        <v>82.3</v>
      </c>
      <c r="R252" s="369">
        <f t="shared" si="160"/>
        <v>100.83</v>
      </c>
      <c r="S252" s="369">
        <f t="shared" si="155"/>
        <v>20.170000000000002</v>
      </c>
      <c r="T252" s="369">
        <f t="shared" si="156"/>
        <v>121</v>
      </c>
      <c r="U252" s="121">
        <v>105</v>
      </c>
      <c r="V252" s="127">
        <f t="shared" si="62"/>
        <v>15.238095238095227</v>
      </c>
      <c r="W252" s="377">
        <v>108</v>
      </c>
      <c r="X252" s="367">
        <f t="shared" si="138"/>
        <v>12.037037037037052</v>
      </c>
      <c r="Y252" s="117">
        <v>108</v>
      </c>
      <c r="Z252" s="368">
        <v>1.123</v>
      </c>
      <c r="AA252" s="152">
        <f t="shared" si="157"/>
        <v>121.28</v>
      </c>
      <c r="AB252" s="157">
        <f t="shared" si="158"/>
        <v>226.19</v>
      </c>
      <c r="AC252" s="170">
        <f t="shared" si="159"/>
        <v>-0.46379999999999999</v>
      </c>
      <c r="AD252" s="366">
        <f t="shared" si="139"/>
        <v>-104.90692199999999</v>
      </c>
      <c r="AF252">
        <v>111.672</v>
      </c>
      <c r="AG252" s="379">
        <v>112</v>
      </c>
      <c r="AH252" s="358">
        <f t="shared" si="140"/>
        <v>9</v>
      </c>
      <c r="AJ252" s="379">
        <v>-3.4000000000000002E-2</v>
      </c>
      <c r="AK252" s="366">
        <f t="shared" si="141"/>
        <v>1.034</v>
      </c>
      <c r="AL252" s="366">
        <v>1.069</v>
      </c>
      <c r="AN252" s="152">
        <f t="shared" si="146"/>
        <v>115.45</v>
      </c>
      <c r="AP252" s="379">
        <v>1.034</v>
      </c>
      <c r="AQ252" s="243">
        <v>-3.4000000000000002E-2</v>
      </c>
      <c r="AR252" s="366">
        <f t="shared" si="142"/>
        <v>8.8999999999999968E-2</v>
      </c>
      <c r="AT252" s="241">
        <f t="shared" si="143"/>
        <v>-0.42979999999999996</v>
      </c>
    </row>
    <row r="253" spans="1:46" x14ac:dyDescent="0.25">
      <c r="A253" s="361" t="s">
        <v>524</v>
      </c>
      <c r="B253" s="361" t="s">
        <v>257</v>
      </c>
      <c r="C253" s="362" t="s">
        <v>80</v>
      </c>
      <c r="D253" s="359" t="s">
        <v>258</v>
      </c>
      <c r="E253" s="373" t="s">
        <v>169</v>
      </c>
      <c r="F253" s="359">
        <f>VLOOKUP(E253,'условия, ФОТ'!$A$14:$I$28,9, FALSE)</f>
        <v>326.24</v>
      </c>
      <c r="G253" s="364">
        <v>1</v>
      </c>
      <c r="H253" s="359">
        <f t="shared" si="114"/>
        <v>326.24</v>
      </c>
      <c r="I253" s="359">
        <f t="shared" si="111"/>
        <v>98.52</v>
      </c>
      <c r="J253" s="359">
        <f t="shared" si="112"/>
        <v>424.76</v>
      </c>
      <c r="K253" s="363"/>
      <c r="L253" s="359"/>
      <c r="M253" s="359"/>
      <c r="N253" s="359"/>
      <c r="O253" s="359"/>
      <c r="P253" s="359">
        <f t="shared" si="117"/>
        <v>424.76</v>
      </c>
      <c r="Q253" s="359">
        <f t="shared" si="154"/>
        <v>329.19</v>
      </c>
      <c r="R253" s="369">
        <f t="shared" si="160"/>
        <v>404.17</v>
      </c>
      <c r="S253" s="369">
        <f t="shared" si="155"/>
        <v>80.83</v>
      </c>
      <c r="T253" s="369">
        <f t="shared" si="156"/>
        <v>485</v>
      </c>
      <c r="U253" s="121">
        <v>420</v>
      </c>
      <c r="V253" s="127">
        <f t="shared" si="62"/>
        <v>15.476190476190467</v>
      </c>
      <c r="W253" s="377">
        <v>434</v>
      </c>
      <c r="X253" s="367">
        <f t="shared" si="138"/>
        <v>11.751152073732712</v>
      </c>
      <c r="Y253" s="117">
        <v>434</v>
      </c>
      <c r="Z253" s="368">
        <v>1.1180000000000001</v>
      </c>
      <c r="AA253" s="152">
        <f t="shared" si="157"/>
        <v>485.21</v>
      </c>
      <c r="AB253" s="157">
        <f t="shared" si="158"/>
        <v>904.74</v>
      </c>
      <c r="AC253" s="170">
        <f t="shared" si="159"/>
        <v>-0.4637</v>
      </c>
      <c r="AD253" s="366">
        <f t="shared" si="139"/>
        <v>-419.52793800000001</v>
      </c>
      <c r="AF253">
        <v>448.75600000000003</v>
      </c>
      <c r="AG253" s="379">
        <v>449</v>
      </c>
      <c r="AH253" s="358">
        <f t="shared" si="140"/>
        <v>36</v>
      </c>
      <c r="AJ253" s="379">
        <v>-2.9399999999999999E-2</v>
      </c>
      <c r="AK253" s="366">
        <f t="shared" si="141"/>
        <v>1.0294000000000001</v>
      </c>
      <c r="AL253" s="366">
        <v>1.0640000000000001</v>
      </c>
      <c r="AN253" s="152">
        <f t="shared" si="146"/>
        <v>461.78</v>
      </c>
      <c r="AP253" s="379">
        <v>1.034</v>
      </c>
      <c r="AQ253" s="243">
        <v>-2.9399999999999999E-2</v>
      </c>
      <c r="AR253" s="366">
        <f t="shared" si="142"/>
        <v>8.4000000000000075E-2</v>
      </c>
      <c r="AT253" s="241">
        <f t="shared" si="143"/>
        <v>-0.43430000000000002</v>
      </c>
    </row>
    <row r="254" spans="1:46" x14ac:dyDescent="0.25">
      <c r="A254" s="361" t="s">
        <v>525</v>
      </c>
      <c r="B254" s="361" t="s">
        <v>260</v>
      </c>
      <c r="C254" s="362" t="s">
        <v>81</v>
      </c>
      <c r="D254" s="359" t="s">
        <v>193</v>
      </c>
      <c r="E254" s="373" t="s">
        <v>169</v>
      </c>
      <c r="F254" s="359">
        <f>VLOOKUP(E254,'условия, ФОТ'!$A$14:$I$28,9, FALSE)</f>
        <v>326.24</v>
      </c>
      <c r="G254" s="364">
        <v>0.54</v>
      </c>
      <c r="H254" s="359">
        <f t="shared" si="114"/>
        <v>176.17</v>
      </c>
      <c r="I254" s="359">
        <f t="shared" si="111"/>
        <v>53.2</v>
      </c>
      <c r="J254" s="359">
        <f t="shared" si="112"/>
        <v>229.37</v>
      </c>
      <c r="K254" s="363"/>
      <c r="L254" s="359"/>
      <c r="M254" s="359"/>
      <c r="N254" s="359"/>
      <c r="O254" s="359"/>
      <c r="P254" s="359">
        <f t="shared" si="117"/>
        <v>229.37</v>
      </c>
      <c r="Q254" s="359">
        <f t="shared" si="154"/>
        <v>177.76</v>
      </c>
      <c r="R254" s="369">
        <f t="shared" si="160"/>
        <v>218.33</v>
      </c>
      <c r="S254" s="369">
        <f t="shared" si="155"/>
        <v>43.67</v>
      </c>
      <c r="T254" s="369">
        <f t="shared" si="156"/>
        <v>262</v>
      </c>
      <c r="U254" s="121">
        <v>227</v>
      </c>
      <c r="V254" s="127">
        <f t="shared" si="62"/>
        <v>15.418502202643182</v>
      </c>
      <c r="W254" s="377">
        <v>234</v>
      </c>
      <c r="X254" s="367">
        <f t="shared" si="138"/>
        <v>11.965811965811966</v>
      </c>
      <c r="Y254" s="117">
        <v>234</v>
      </c>
      <c r="Z254" s="368">
        <v>1.1200000000000001</v>
      </c>
      <c r="AA254" s="152">
        <f t="shared" si="157"/>
        <v>262.08</v>
      </c>
      <c r="AB254" s="157">
        <f t="shared" si="158"/>
        <v>488.56</v>
      </c>
      <c r="AC254" s="170">
        <f t="shared" si="159"/>
        <v>-0.46360000000000001</v>
      </c>
      <c r="AD254" s="366">
        <f t="shared" si="139"/>
        <v>-226.49641600000001</v>
      </c>
      <c r="AF254">
        <v>241.95600000000002</v>
      </c>
      <c r="AG254" s="379">
        <v>242</v>
      </c>
      <c r="AH254" s="358">
        <f t="shared" si="140"/>
        <v>20</v>
      </c>
      <c r="AJ254" s="379">
        <v>-3.0800000000000001E-2</v>
      </c>
      <c r="AK254" s="366">
        <f t="shared" si="141"/>
        <v>1.0307999999999999</v>
      </c>
      <c r="AL254" s="366">
        <v>1.0660000000000001</v>
      </c>
      <c r="AN254" s="152">
        <f t="shared" si="146"/>
        <v>249.44</v>
      </c>
      <c r="AP254" s="379">
        <v>1.034</v>
      </c>
      <c r="AQ254" s="243">
        <v>-3.0800000000000001E-2</v>
      </c>
      <c r="AR254" s="366">
        <f t="shared" si="142"/>
        <v>8.6000000000000076E-2</v>
      </c>
      <c r="AT254" s="241">
        <f t="shared" si="143"/>
        <v>-0.43280000000000002</v>
      </c>
    </row>
    <row r="255" spans="1:46" x14ac:dyDescent="0.25">
      <c r="A255" s="361" t="s">
        <v>526</v>
      </c>
      <c r="B255" s="361" t="s">
        <v>260</v>
      </c>
      <c r="C255" s="362" t="s">
        <v>82</v>
      </c>
      <c r="D255" s="359" t="s">
        <v>261</v>
      </c>
      <c r="E255" s="373" t="s">
        <v>169</v>
      </c>
      <c r="F255" s="359">
        <f>VLOOKUP(E255,'условия, ФОТ'!$A$14:$I$28,9, FALSE)</f>
        <v>326.24</v>
      </c>
      <c r="G255" s="364">
        <f>0.11*13</f>
        <v>1.43</v>
      </c>
      <c r="H255" s="359">
        <f t="shared" si="114"/>
        <v>466.52</v>
      </c>
      <c r="I255" s="359">
        <f t="shared" si="111"/>
        <v>140.88999999999999</v>
      </c>
      <c r="J255" s="359">
        <f t="shared" si="112"/>
        <v>607.41</v>
      </c>
      <c r="K255" s="363"/>
      <c r="L255" s="359"/>
      <c r="M255" s="359"/>
      <c r="N255" s="359"/>
      <c r="O255" s="359"/>
      <c r="P255" s="359">
        <f t="shared" si="117"/>
        <v>607.41</v>
      </c>
      <c r="Q255" s="359">
        <f t="shared" si="154"/>
        <v>470.74</v>
      </c>
      <c r="R255" s="369">
        <f t="shared" si="160"/>
        <v>578.33000000000004</v>
      </c>
      <c r="S255" s="369">
        <f t="shared" si="155"/>
        <v>115.67</v>
      </c>
      <c r="T255" s="369">
        <f t="shared" si="156"/>
        <v>694</v>
      </c>
      <c r="U255" s="121">
        <v>601</v>
      </c>
      <c r="V255" s="127">
        <f t="shared" si="62"/>
        <v>15.474209650582367</v>
      </c>
      <c r="W255" s="377">
        <v>620</v>
      </c>
      <c r="X255" s="367">
        <f t="shared" si="138"/>
        <v>11.935483870967744</v>
      </c>
      <c r="Y255" s="117">
        <v>620</v>
      </c>
      <c r="Z255" s="368">
        <v>1.119</v>
      </c>
      <c r="AA255" s="152">
        <f t="shared" si="157"/>
        <v>693.78</v>
      </c>
      <c r="AB255" s="157">
        <f t="shared" si="158"/>
        <v>1293.78</v>
      </c>
      <c r="AC255" s="170">
        <f t="shared" si="159"/>
        <v>-0.46379999999999999</v>
      </c>
      <c r="AD255" s="366">
        <f t="shared" si="139"/>
        <v>-600.05516399999999</v>
      </c>
      <c r="AF255">
        <v>641.08000000000004</v>
      </c>
      <c r="AG255" s="379">
        <v>641</v>
      </c>
      <c r="AH255" s="358">
        <f t="shared" si="140"/>
        <v>53</v>
      </c>
      <c r="AJ255" s="379">
        <v>-3.04E-2</v>
      </c>
      <c r="AK255" s="366">
        <f t="shared" si="141"/>
        <v>1.0304</v>
      </c>
      <c r="AL255" s="366">
        <v>1.0649999999999999</v>
      </c>
      <c r="AN255" s="152">
        <f t="shared" si="146"/>
        <v>660.3</v>
      </c>
      <c r="AP255" s="379">
        <v>1.034</v>
      </c>
      <c r="AQ255" s="243">
        <v>-3.04E-2</v>
      </c>
      <c r="AR255" s="366">
        <f t="shared" si="142"/>
        <v>8.4999999999999964E-2</v>
      </c>
      <c r="AT255" s="241">
        <f t="shared" si="143"/>
        <v>-0.43340000000000001</v>
      </c>
    </row>
    <row r="256" spans="1:46" ht="36.950000000000003" customHeight="1" x14ac:dyDescent="0.25">
      <c r="A256" s="361" t="s">
        <v>527</v>
      </c>
      <c r="B256" s="361" t="s">
        <v>262</v>
      </c>
      <c r="C256" s="362" t="s">
        <v>83</v>
      </c>
      <c r="D256" s="359" t="s">
        <v>197</v>
      </c>
      <c r="E256" s="373" t="s">
        <v>169</v>
      </c>
      <c r="F256" s="359">
        <f>VLOOKUP(E256,'условия, ФОТ'!$A$14:$I$28,9, FALSE)</f>
        <v>326.24</v>
      </c>
      <c r="G256" s="364">
        <v>0.5</v>
      </c>
      <c r="H256" s="359">
        <f t="shared" si="114"/>
        <v>163.12</v>
      </c>
      <c r="I256" s="359">
        <f t="shared" si="111"/>
        <v>49.26</v>
      </c>
      <c r="J256" s="359">
        <f t="shared" si="112"/>
        <v>212.38</v>
      </c>
      <c r="K256" s="363"/>
      <c r="L256" s="359"/>
      <c r="M256" s="359"/>
      <c r="N256" s="359"/>
      <c r="O256" s="359"/>
      <c r="P256" s="359">
        <f t="shared" si="117"/>
        <v>212.38</v>
      </c>
      <c r="Q256" s="359">
        <f t="shared" si="154"/>
        <v>164.59</v>
      </c>
      <c r="R256" s="369">
        <f t="shared" si="160"/>
        <v>202.5</v>
      </c>
      <c r="S256" s="369">
        <f t="shared" si="155"/>
        <v>40.5</v>
      </c>
      <c r="T256" s="369">
        <f t="shared" si="156"/>
        <v>243</v>
      </c>
      <c r="U256" s="121">
        <v>210</v>
      </c>
      <c r="V256" s="127">
        <f t="shared" si="62"/>
        <v>15.714285714285722</v>
      </c>
      <c r="W256" s="377">
        <v>217</v>
      </c>
      <c r="X256" s="367">
        <f t="shared" si="138"/>
        <v>11.981566820276484</v>
      </c>
      <c r="Y256" s="117">
        <v>217</v>
      </c>
      <c r="Z256" s="368">
        <v>1.1180000000000001</v>
      </c>
      <c r="AA256" s="152">
        <f t="shared" si="157"/>
        <v>242.61</v>
      </c>
      <c r="AB256" s="157">
        <f t="shared" si="158"/>
        <v>452.36</v>
      </c>
      <c r="AC256" s="170">
        <f t="shared" si="159"/>
        <v>-0.4637</v>
      </c>
      <c r="AD256" s="366">
        <f t="shared" si="139"/>
        <v>-209.759332</v>
      </c>
      <c r="AF256">
        <v>224.37800000000001</v>
      </c>
      <c r="AG256" s="379">
        <v>224</v>
      </c>
      <c r="AH256" s="358">
        <f t="shared" si="140"/>
        <v>19</v>
      </c>
      <c r="AJ256" s="379">
        <v>-2.9399999999999999E-2</v>
      </c>
      <c r="AK256" s="366">
        <f t="shared" si="141"/>
        <v>1.0294000000000001</v>
      </c>
      <c r="AL256" s="366">
        <v>1.0640000000000001</v>
      </c>
      <c r="AN256" s="152">
        <f t="shared" si="146"/>
        <v>230.89</v>
      </c>
      <c r="AP256" s="379">
        <v>1.034</v>
      </c>
      <c r="AQ256" s="243">
        <v>-2.9399999999999999E-2</v>
      </c>
      <c r="AR256" s="366">
        <f t="shared" si="142"/>
        <v>8.4000000000000075E-2</v>
      </c>
      <c r="AT256" s="241">
        <f t="shared" si="143"/>
        <v>-0.43430000000000002</v>
      </c>
    </row>
    <row r="257" spans="1:46" x14ac:dyDescent="0.25">
      <c r="A257" s="361" t="s">
        <v>528</v>
      </c>
      <c r="B257" s="361" t="s">
        <v>263</v>
      </c>
      <c r="C257" s="362" t="s">
        <v>84</v>
      </c>
      <c r="D257" s="359" t="s">
        <v>197</v>
      </c>
      <c r="E257" s="373" t="s">
        <v>169</v>
      </c>
      <c r="F257" s="359">
        <f>VLOOKUP(E257,'условия, ФОТ'!$A$14:$I$28,9, FALSE)</f>
        <v>326.24</v>
      </c>
      <c r="G257" s="364">
        <v>0.67</v>
      </c>
      <c r="H257" s="359">
        <f t="shared" si="114"/>
        <v>218.58</v>
      </c>
      <c r="I257" s="359">
        <f t="shared" si="111"/>
        <v>66.010000000000005</v>
      </c>
      <c r="J257" s="359">
        <f t="shared" si="112"/>
        <v>284.59000000000003</v>
      </c>
      <c r="K257" s="363"/>
      <c r="L257" s="359"/>
      <c r="M257" s="359"/>
      <c r="N257" s="359"/>
      <c r="O257" s="359"/>
      <c r="P257" s="359">
        <f t="shared" si="117"/>
        <v>284.59000000000003</v>
      </c>
      <c r="Q257" s="359">
        <f t="shared" si="154"/>
        <v>220.56</v>
      </c>
      <c r="R257" s="369">
        <f t="shared" si="160"/>
        <v>270.83</v>
      </c>
      <c r="S257" s="369">
        <f>ROUND(R257*$S$5,2)</f>
        <v>54.17</v>
      </c>
      <c r="T257" s="369">
        <f t="shared" si="156"/>
        <v>325</v>
      </c>
      <c r="U257" s="121">
        <v>282</v>
      </c>
      <c r="V257" s="127">
        <f t="shared" si="62"/>
        <v>15.248226950354621</v>
      </c>
      <c r="W257" s="377">
        <v>291</v>
      </c>
      <c r="X257" s="367">
        <f t="shared" si="138"/>
        <v>11.68384879725086</v>
      </c>
      <c r="Y257" s="117">
        <v>291</v>
      </c>
      <c r="Z257" s="368">
        <v>1.117</v>
      </c>
      <c r="AA257" s="152">
        <f t="shared" si="157"/>
        <v>325.05</v>
      </c>
      <c r="AB257" s="157">
        <f t="shared" si="158"/>
        <v>606.17999999999995</v>
      </c>
      <c r="AC257" s="170">
        <f t="shared" si="159"/>
        <v>-0.46379999999999999</v>
      </c>
      <c r="AD257" s="366">
        <f t="shared" si="139"/>
        <v>-281.14628399999998</v>
      </c>
      <c r="AF257">
        <v>300.89400000000001</v>
      </c>
      <c r="AG257" s="379">
        <v>301</v>
      </c>
      <c r="AH257" s="358">
        <f t="shared" si="140"/>
        <v>24</v>
      </c>
      <c r="AJ257" s="379">
        <v>-2.87E-2</v>
      </c>
      <c r="AK257" s="366">
        <f t="shared" si="141"/>
        <v>1.0286999999999999</v>
      </c>
      <c r="AL257" s="366">
        <v>1.0640000000000001</v>
      </c>
      <c r="AN257" s="152">
        <f t="shared" si="146"/>
        <v>309.62</v>
      </c>
      <c r="AP257" s="379">
        <v>1.034</v>
      </c>
      <c r="AQ257" s="243">
        <v>-2.87E-2</v>
      </c>
      <c r="AR257" s="366">
        <f t="shared" si="142"/>
        <v>8.2999999999999963E-2</v>
      </c>
      <c r="AT257" s="241">
        <f t="shared" si="143"/>
        <v>-0.43509999999999999</v>
      </c>
    </row>
    <row r="258" spans="1:46" x14ac:dyDescent="0.25">
      <c r="A258" s="361" t="s">
        <v>529</v>
      </c>
      <c r="B258" s="361" t="s">
        <v>264</v>
      </c>
      <c r="C258" s="362" t="s">
        <v>85</v>
      </c>
      <c r="D258" s="359" t="s">
        <v>197</v>
      </c>
      <c r="E258" s="373" t="s">
        <v>169</v>
      </c>
      <c r="F258" s="359">
        <f>VLOOKUP(E258,'условия, ФОТ'!$A$14:$I$28,9, FALSE)</f>
        <v>326.24</v>
      </c>
      <c r="G258" s="364">
        <v>0.24</v>
      </c>
      <c r="H258" s="359">
        <f t="shared" si="114"/>
        <v>78.3</v>
      </c>
      <c r="I258" s="359">
        <f t="shared" si="111"/>
        <v>23.65</v>
      </c>
      <c r="J258" s="359">
        <f t="shared" si="112"/>
        <v>101.94999999999999</v>
      </c>
      <c r="K258" s="363"/>
      <c r="L258" s="359"/>
      <c r="M258" s="359"/>
      <c r="N258" s="359"/>
      <c r="O258" s="359"/>
      <c r="P258" s="359">
        <f t="shared" si="117"/>
        <v>101.94999999999999</v>
      </c>
      <c r="Q258" s="359">
        <f t="shared" si="154"/>
        <v>79.010000000000005</v>
      </c>
      <c r="R258" s="369">
        <f t="shared" si="160"/>
        <v>96.67</v>
      </c>
      <c r="S258" s="369">
        <f t="shared" si="155"/>
        <v>19.329999999999998</v>
      </c>
      <c r="T258" s="369">
        <f t="shared" si="156"/>
        <v>116</v>
      </c>
      <c r="U258" s="121">
        <v>101</v>
      </c>
      <c r="V258" s="127">
        <f t="shared" si="62"/>
        <v>14.85148514851484</v>
      </c>
      <c r="W258" s="377">
        <v>104</v>
      </c>
      <c r="X258" s="367">
        <f t="shared" si="138"/>
        <v>11.538461538461547</v>
      </c>
      <c r="Y258" s="117">
        <v>104</v>
      </c>
      <c r="Z258" s="368">
        <v>1.1200000000000001</v>
      </c>
      <c r="AA258" s="152">
        <f t="shared" si="157"/>
        <v>116.48</v>
      </c>
      <c r="AB258" s="157">
        <f t="shared" si="158"/>
        <v>217.15</v>
      </c>
      <c r="AC258" s="170">
        <f t="shared" si="159"/>
        <v>-0.46360000000000001</v>
      </c>
      <c r="AD258" s="366">
        <f t="shared" si="139"/>
        <v>-100.67074000000001</v>
      </c>
      <c r="AF258">
        <v>107.536</v>
      </c>
      <c r="AG258" s="379">
        <v>108</v>
      </c>
      <c r="AH258" s="358">
        <f t="shared" si="140"/>
        <v>8</v>
      </c>
      <c r="AJ258" s="379">
        <v>-3.0800000000000001E-2</v>
      </c>
      <c r="AK258" s="366">
        <f t="shared" si="141"/>
        <v>1.0307999999999999</v>
      </c>
      <c r="AL258" s="366">
        <v>1.0660000000000001</v>
      </c>
      <c r="AN258" s="152">
        <f t="shared" si="146"/>
        <v>110.86</v>
      </c>
      <c r="AP258" s="379">
        <v>1.034</v>
      </c>
      <c r="AQ258" s="243">
        <v>-3.0800000000000001E-2</v>
      </c>
      <c r="AR258" s="366">
        <f t="shared" si="142"/>
        <v>8.6000000000000076E-2</v>
      </c>
      <c r="AT258" s="241">
        <f t="shared" si="143"/>
        <v>-0.43280000000000002</v>
      </c>
    </row>
    <row r="259" spans="1:46" x14ac:dyDescent="0.25">
      <c r="A259" s="361" t="s">
        <v>530</v>
      </c>
      <c r="B259" s="361" t="s">
        <v>265</v>
      </c>
      <c r="C259" s="362" t="s">
        <v>86</v>
      </c>
      <c r="D259" s="359" t="s">
        <v>259</v>
      </c>
      <c r="E259" s="373" t="s">
        <v>169</v>
      </c>
      <c r="F259" s="359">
        <f>VLOOKUP(E259,'условия, ФОТ'!$A$14:$I$28,9, FALSE)</f>
        <v>326.24</v>
      </c>
      <c r="G259" s="364">
        <v>0.51</v>
      </c>
      <c r="H259" s="359">
        <f t="shared" ref="H259:H334" si="161">ROUND(F259*G259,2)</f>
        <v>166.38</v>
      </c>
      <c r="I259" s="359">
        <f t="shared" si="111"/>
        <v>50.25</v>
      </c>
      <c r="J259" s="359">
        <f t="shared" ref="J259:J334" si="162">H259+I259</f>
        <v>216.63</v>
      </c>
      <c r="K259" s="363"/>
      <c r="L259" s="359"/>
      <c r="M259" s="359"/>
      <c r="N259" s="359"/>
      <c r="O259" s="359"/>
      <c r="P259" s="359">
        <f t="shared" ref="P259:P334" si="163">J259+O259</f>
        <v>216.63</v>
      </c>
      <c r="Q259" s="359">
        <f t="shared" si="154"/>
        <v>167.89</v>
      </c>
      <c r="R259" s="369">
        <f t="shared" si="160"/>
        <v>206.67</v>
      </c>
      <c r="S259" s="369">
        <f t="shared" si="155"/>
        <v>41.33</v>
      </c>
      <c r="T259" s="369">
        <f t="shared" si="156"/>
        <v>248</v>
      </c>
      <c r="U259" s="121">
        <v>214</v>
      </c>
      <c r="V259" s="127">
        <f t="shared" ref="V259:V332" si="164">T259/U259*100-100</f>
        <v>15.887850467289709</v>
      </c>
      <c r="W259" s="377">
        <v>221</v>
      </c>
      <c r="X259" s="367">
        <f t="shared" si="138"/>
        <v>12.217194570135746</v>
      </c>
      <c r="Y259" s="117">
        <v>221</v>
      </c>
      <c r="Z259" s="368">
        <v>1.1200000000000001</v>
      </c>
      <c r="AA259" s="152">
        <f t="shared" si="157"/>
        <v>247.52</v>
      </c>
      <c r="AB259" s="157">
        <f t="shared" si="158"/>
        <v>461.42</v>
      </c>
      <c r="AC259" s="170">
        <f t="shared" si="159"/>
        <v>-0.46360000000000001</v>
      </c>
      <c r="AD259" s="366">
        <f t="shared" si="139"/>
        <v>-213.91431200000002</v>
      </c>
      <c r="AF259">
        <v>228.51400000000001</v>
      </c>
      <c r="AG259" s="379">
        <v>229</v>
      </c>
      <c r="AH259" s="358">
        <f t="shared" si="140"/>
        <v>19</v>
      </c>
      <c r="AJ259" s="379">
        <v>-3.09E-2</v>
      </c>
      <c r="AK259" s="366">
        <f t="shared" si="141"/>
        <v>1.0308999999999999</v>
      </c>
      <c r="AL259" s="366">
        <v>1.0660000000000001</v>
      </c>
      <c r="AN259" s="152">
        <f t="shared" si="146"/>
        <v>235.59</v>
      </c>
      <c r="AP259" s="379">
        <v>1.034</v>
      </c>
      <c r="AQ259" s="243">
        <v>-3.09E-2</v>
      </c>
      <c r="AR259" s="366">
        <f t="shared" si="142"/>
        <v>8.6000000000000076E-2</v>
      </c>
      <c r="AT259" s="241">
        <f t="shared" si="143"/>
        <v>-0.43270000000000003</v>
      </c>
    </row>
    <row r="260" spans="1:46" x14ac:dyDescent="0.25">
      <c r="A260" s="361" t="s">
        <v>531</v>
      </c>
      <c r="B260" s="361" t="s">
        <v>35</v>
      </c>
      <c r="C260" s="362" t="s">
        <v>441</v>
      </c>
      <c r="D260" s="359" t="s">
        <v>442</v>
      </c>
      <c r="E260" s="373" t="s">
        <v>169</v>
      </c>
      <c r="F260" s="359">
        <f>VLOOKUP(E260,'условия, ФОТ'!$A$14:$I$28,9, FALSE)</f>
        <v>326.24</v>
      </c>
      <c r="G260" s="364">
        <v>0.51</v>
      </c>
      <c r="H260" s="359">
        <f t="shared" si="161"/>
        <v>166.38</v>
      </c>
      <c r="I260" s="359">
        <f t="shared" si="111"/>
        <v>50.25</v>
      </c>
      <c r="J260" s="359">
        <f t="shared" si="162"/>
        <v>216.63</v>
      </c>
      <c r="K260" s="363"/>
      <c r="L260" s="359"/>
      <c r="M260" s="359"/>
      <c r="N260" s="359"/>
      <c r="O260" s="359"/>
      <c r="P260" s="359">
        <f t="shared" si="163"/>
        <v>216.63</v>
      </c>
      <c r="Q260" s="359">
        <f t="shared" si="154"/>
        <v>167.89</v>
      </c>
      <c r="R260" s="369">
        <f t="shared" si="160"/>
        <v>206.67</v>
      </c>
      <c r="S260" s="369">
        <f t="shared" si="155"/>
        <v>41.33</v>
      </c>
      <c r="T260" s="369">
        <f t="shared" si="156"/>
        <v>248</v>
      </c>
      <c r="U260" s="121">
        <v>214</v>
      </c>
      <c r="V260" s="127"/>
      <c r="W260" s="377">
        <v>221</v>
      </c>
      <c r="X260" s="367">
        <f t="shared" si="138"/>
        <v>12.217194570135746</v>
      </c>
      <c r="Y260" s="117">
        <v>221</v>
      </c>
      <c r="Z260" s="368">
        <v>1.1200000000000001</v>
      </c>
      <c r="AA260" s="152">
        <f t="shared" si="157"/>
        <v>247.52</v>
      </c>
      <c r="AB260" s="157">
        <f t="shared" si="158"/>
        <v>461.42</v>
      </c>
      <c r="AC260" s="170">
        <f t="shared" si="159"/>
        <v>-0.46360000000000001</v>
      </c>
      <c r="AD260" s="366">
        <f t="shared" si="139"/>
        <v>-213.91431200000002</v>
      </c>
      <c r="AF260">
        <v>228.51400000000001</v>
      </c>
      <c r="AG260" s="379">
        <v>229</v>
      </c>
      <c r="AH260" s="358">
        <f t="shared" si="140"/>
        <v>19</v>
      </c>
      <c r="AJ260" s="379">
        <v>-3.09E-2</v>
      </c>
      <c r="AK260" s="366">
        <f t="shared" si="141"/>
        <v>1.0308999999999999</v>
      </c>
      <c r="AL260" s="366">
        <v>1.0660000000000001</v>
      </c>
      <c r="AN260" s="152">
        <f t="shared" si="146"/>
        <v>235.59</v>
      </c>
      <c r="AP260" s="379">
        <v>1.034</v>
      </c>
      <c r="AQ260" s="243">
        <v>-3.09E-2</v>
      </c>
      <c r="AR260" s="366">
        <f t="shared" si="142"/>
        <v>8.6000000000000076E-2</v>
      </c>
      <c r="AT260" s="241">
        <f t="shared" si="143"/>
        <v>-0.43270000000000003</v>
      </c>
    </row>
    <row r="261" spans="1:46" x14ac:dyDescent="0.25">
      <c r="A261" s="361" t="s">
        <v>532</v>
      </c>
      <c r="B261" s="361" t="s">
        <v>266</v>
      </c>
      <c r="C261" s="362" t="s">
        <v>87</v>
      </c>
      <c r="D261" s="359" t="s">
        <v>267</v>
      </c>
      <c r="E261" s="373" t="s">
        <v>169</v>
      </c>
      <c r="F261" s="359">
        <f>VLOOKUP(E261,'условия, ФОТ'!$A$14:$I$28,9, FALSE)</f>
        <v>326.24</v>
      </c>
      <c r="G261" s="364">
        <v>0.33</v>
      </c>
      <c r="H261" s="359">
        <f t="shared" si="161"/>
        <v>107.66</v>
      </c>
      <c r="I261" s="359">
        <f t="shared" si="111"/>
        <v>32.51</v>
      </c>
      <c r="J261" s="359">
        <f t="shared" si="162"/>
        <v>140.16999999999999</v>
      </c>
      <c r="K261" s="363"/>
      <c r="L261" s="359"/>
      <c r="M261" s="359"/>
      <c r="N261" s="359"/>
      <c r="O261" s="359"/>
      <c r="P261" s="359">
        <f t="shared" si="163"/>
        <v>140.16999999999999</v>
      </c>
      <c r="Q261" s="359">
        <f t="shared" si="154"/>
        <v>108.63</v>
      </c>
      <c r="R261" s="369">
        <f t="shared" si="160"/>
        <v>133.33000000000001</v>
      </c>
      <c r="S261" s="369">
        <f t="shared" si="155"/>
        <v>26.67</v>
      </c>
      <c r="T261" s="369">
        <f t="shared" si="156"/>
        <v>160</v>
      </c>
      <c r="U261" s="121">
        <v>139</v>
      </c>
      <c r="V261" s="127">
        <f t="shared" si="164"/>
        <v>15.107913669064743</v>
      </c>
      <c r="W261" s="377">
        <v>143</v>
      </c>
      <c r="X261" s="367">
        <f t="shared" si="138"/>
        <v>11.888111888111894</v>
      </c>
      <c r="Y261" s="117">
        <v>143</v>
      </c>
      <c r="Z261" s="368">
        <v>1.1200000000000001</v>
      </c>
      <c r="AA261" s="152">
        <f t="shared" si="157"/>
        <v>160.16</v>
      </c>
      <c r="AB261" s="157">
        <f t="shared" si="158"/>
        <v>298.56</v>
      </c>
      <c r="AC261" s="170">
        <f t="shared" si="159"/>
        <v>-0.46360000000000001</v>
      </c>
      <c r="AD261" s="366">
        <f t="shared" si="139"/>
        <v>-138.41241600000001</v>
      </c>
      <c r="AF261">
        <v>147.86199999999999</v>
      </c>
      <c r="AG261" s="379">
        <v>148</v>
      </c>
      <c r="AH261" s="358">
        <f t="shared" si="140"/>
        <v>12</v>
      </c>
      <c r="AJ261" s="379">
        <v>-3.09E-2</v>
      </c>
      <c r="AK261" s="366">
        <f t="shared" si="141"/>
        <v>1.0308999999999999</v>
      </c>
      <c r="AL261" s="366">
        <v>1.0660000000000001</v>
      </c>
      <c r="AN261" s="152">
        <f t="shared" si="146"/>
        <v>152.44</v>
      </c>
      <c r="AP261" s="379">
        <v>1.034</v>
      </c>
      <c r="AQ261" s="243">
        <v>-3.09E-2</v>
      </c>
      <c r="AR261" s="366">
        <f t="shared" si="142"/>
        <v>8.6000000000000076E-2</v>
      </c>
      <c r="AT261" s="241">
        <f t="shared" si="143"/>
        <v>-0.43270000000000003</v>
      </c>
    </row>
    <row r="262" spans="1:46" x14ac:dyDescent="0.25">
      <c r="A262" s="361" t="s">
        <v>533</v>
      </c>
      <c r="B262" s="361" t="s">
        <v>35</v>
      </c>
      <c r="C262" s="362" t="s">
        <v>440</v>
      </c>
      <c r="D262" s="359" t="s">
        <v>203</v>
      </c>
      <c r="E262" s="373" t="s">
        <v>169</v>
      </c>
      <c r="F262" s="359">
        <f>VLOOKUP(E262,'условия, ФОТ'!$A$14:$I$28,9, FALSE)</f>
        <v>326.24</v>
      </c>
      <c r="G262" s="364">
        <v>0.33</v>
      </c>
      <c r="H262" s="359">
        <f t="shared" si="161"/>
        <v>107.66</v>
      </c>
      <c r="I262" s="359">
        <f t="shared" si="111"/>
        <v>32.51</v>
      </c>
      <c r="J262" s="359">
        <f t="shared" si="162"/>
        <v>140.16999999999999</v>
      </c>
      <c r="K262" s="363"/>
      <c r="L262" s="359"/>
      <c r="M262" s="359"/>
      <c r="N262" s="359"/>
      <c r="O262" s="359"/>
      <c r="P262" s="359">
        <f t="shared" si="163"/>
        <v>140.16999999999999</v>
      </c>
      <c r="Q262" s="359">
        <f t="shared" si="154"/>
        <v>108.63</v>
      </c>
      <c r="R262" s="369">
        <f t="shared" si="160"/>
        <v>133.33000000000001</v>
      </c>
      <c r="S262" s="369">
        <f t="shared" si="155"/>
        <v>26.67</v>
      </c>
      <c r="T262" s="369">
        <f t="shared" si="156"/>
        <v>160</v>
      </c>
      <c r="U262" s="121">
        <v>139</v>
      </c>
      <c r="V262" s="127"/>
      <c r="W262" s="377">
        <v>143</v>
      </c>
      <c r="X262" s="367">
        <f t="shared" si="138"/>
        <v>11.888111888111894</v>
      </c>
      <c r="Y262" s="117">
        <v>143</v>
      </c>
      <c r="Z262" s="368">
        <v>1.1200000000000001</v>
      </c>
      <c r="AA262" s="152">
        <f t="shared" si="157"/>
        <v>160.16</v>
      </c>
      <c r="AB262" s="157">
        <f t="shared" si="158"/>
        <v>298.56</v>
      </c>
      <c r="AC262" s="170">
        <f t="shared" si="159"/>
        <v>-0.46360000000000001</v>
      </c>
      <c r="AD262" s="366">
        <f t="shared" si="139"/>
        <v>-138.41241600000001</v>
      </c>
      <c r="AF262">
        <v>147.86199999999999</v>
      </c>
      <c r="AG262" s="379">
        <v>148</v>
      </c>
      <c r="AH262" s="358">
        <f t="shared" si="140"/>
        <v>12</v>
      </c>
      <c r="AJ262" s="379">
        <v>-3.09E-2</v>
      </c>
      <c r="AK262" s="366">
        <f t="shared" si="141"/>
        <v>1.0308999999999999</v>
      </c>
      <c r="AL262" s="366">
        <v>1.0660000000000001</v>
      </c>
      <c r="AN262" s="152">
        <f t="shared" si="146"/>
        <v>152.44</v>
      </c>
      <c r="AP262" s="379">
        <v>1.034</v>
      </c>
      <c r="AQ262" s="243">
        <v>-3.09E-2</v>
      </c>
      <c r="AR262" s="366">
        <f t="shared" si="142"/>
        <v>8.6000000000000076E-2</v>
      </c>
      <c r="AT262" s="241">
        <f t="shared" si="143"/>
        <v>-0.43270000000000003</v>
      </c>
    </row>
    <row r="263" spans="1:46" x14ac:dyDescent="0.25">
      <c r="A263" s="361" t="s">
        <v>534</v>
      </c>
      <c r="B263" s="361" t="s">
        <v>268</v>
      </c>
      <c r="C263" s="362" t="s">
        <v>88</v>
      </c>
      <c r="D263" s="359" t="s">
        <v>199</v>
      </c>
      <c r="E263" s="373" t="s">
        <v>169</v>
      </c>
      <c r="F263" s="359">
        <f>VLOOKUP(E263,'условия, ФОТ'!$A$14:$I$28,9, FALSE)</f>
        <v>326.24</v>
      </c>
      <c r="G263" s="364">
        <v>0.5</v>
      </c>
      <c r="H263" s="359">
        <f t="shared" si="161"/>
        <v>163.12</v>
      </c>
      <c r="I263" s="359">
        <f t="shared" si="111"/>
        <v>49.26</v>
      </c>
      <c r="J263" s="359">
        <f t="shared" si="162"/>
        <v>212.38</v>
      </c>
      <c r="K263" s="363"/>
      <c r="L263" s="359"/>
      <c r="M263" s="359"/>
      <c r="N263" s="359"/>
      <c r="O263" s="359"/>
      <c r="P263" s="359">
        <f t="shared" si="163"/>
        <v>212.38</v>
      </c>
      <c r="Q263" s="359">
        <f t="shared" si="154"/>
        <v>164.59</v>
      </c>
      <c r="R263" s="369">
        <f t="shared" si="160"/>
        <v>202.5</v>
      </c>
      <c r="S263" s="369">
        <f t="shared" si="155"/>
        <v>40.5</v>
      </c>
      <c r="T263" s="369">
        <f t="shared" si="156"/>
        <v>243</v>
      </c>
      <c r="U263" s="121">
        <v>210</v>
      </c>
      <c r="V263" s="127">
        <f t="shared" si="164"/>
        <v>15.714285714285722</v>
      </c>
      <c r="W263" s="377">
        <v>217</v>
      </c>
      <c r="X263" s="367">
        <f t="shared" si="138"/>
        <v>11.981566820276484</v>
      </c>
      <c r="Y263" s="117">
        <v>217</v>
      </c>
      <c r="Z263" s="368">
        <v>1.1180000000000001</v>
      </c>
      <c r="AA263" s="152">
        <f t="shared" si="157"/>
        <v>242.61</v>
      </c>
      <c r="AB263" s="157">
        <f t="shared" si="158"/>
        <v>452.36</v>
      </c>
      <c r="AC263" s="170">
        <f t="shared" si="159"/>
        <v>-0.4637</v>
      </c>
      <c r="AD263" s="366">
        <f t="shared" si="139"/>
        <v>-209.759332</v>
      </c>
      <c r="AF263">
        <v>224.37800000000001</v>
      </c>
      <c r="AG263" s="379">
        <v>224</v>
      </c>
      <c r="AH263" s="358">
        <f t="shared" si="140"/>
        <v>19</v>
      </c>
      <c r="AJ263" s="379">
        <v>-2.9399999999999999E-2</v>
      </c>
      <c r="AK263" s="366">
        <f t="shared" si="141"/>
        <v>1.0294000000000001</v>
      </c>
      <c r="AL263" s="366">
        <v>1.0640000000000001</v>
      </c>
      <c r="AN263" s="152">
        <f t="shared" si="146"/>
        <v>230.89</v>
      </c>
      <c r="AP263" s="379">
        <v>1.034</v>
      </c>
      <c r="AQ263" s="243">
        <v>-2.9399999999999999E-2</v>
      </c>
      <c r="AR263" s="366">
        <f t="shared" si="142"/>
        <v>8.4000000000000075E-2</v>
      </c>
      <c r="AT263" s="241">
        <f t="shared" si="143"/>
        <v>-0.43430000000000002</v>
      </c>
    </row>
    <row r="264" spans="1:46" x14ac:dyDescent="0.25">
      <c r="A264" s="361" t="s">
        <v>535</v>
      </c>
      <c r="B264" s="361" t="s">
        <v>269</v>
      </c>
      <c r="C264" s="362" t="s">
        <v>89</v>
      </c>
      <c r="D264" s="359" t="s">
        <v>199</v>
      </c>
      <c r="E264" s="373" t="s">
        <v>169</v>
      </c>
      <c r="F264" s="359">
        <f>VLOOKUP(E264,'условия, ФОТ'!$A$14:$I$28,9, FALSE)</f>
        <v>326.24</v>
      </c>
      <c r="G264" s="364">
        <v>0.33</v>
      </c>
      <c r="H264" s="359">
        <f t="shared" si="161"/>
        <v>107.66</v>
      </c>
      <c r="I264" s="359">
        <f t="shared" si="111"/>
        <v>32.51</v>
      </c>
      <c r="J264" s="359">
        <f t="shared" si="162"/>
        <v>140.16999999999999</v>
      </c>
      <c r="K264" s="363"/>
      <c r="L264" s="359"/>
      <c r="M264" s="359"/>
      <c r="N264" s="359"/>
      <c r="O264" s="359"/>
      <c r="P264" s="359">
        <f t="shared" si="163"/>
        <v>140.16999999999999</v>
      </c>
      <c r="Q264" s="359">
        <f t="shared" si="154"/>
        <v>108.63</v>
      </c>
      <c r="R264" s="369">
        <f t="shared" si="160"/>
        <v>133.33000000000001</v>
      </c>
      <c r="S264" s="369">
        <f t="shared" si="155"/>
        <v>26.67</v>
      </c>
      <c r="T264" s="369">
        <f t="shared" si="156"/>
        <v>160</v>
      </c>
      <c r="U264" s="121">
        <v>139</v>
      </c>
      <c r="V264" s="127">
        <f t="shared" si="164"/>
        <v>15.107913669064743</v>
      </c>
      <c r="W264" s="377">
        <v>143</v>
      </c>
      <c r="X264" s="367">
        <f t="shared" si="138"/>
        <v>11.888111888111894</v>
      </c>
      <c r="Y264" s="117">
        <v>143</v>
      </c>
      <c r="Z264" s="368">
        <v>1.1200000000000001</v>
      </c>
      <c r="AA264" s="152">
        <f t="shared" si="157"/>
        <v>160.16</v>
      </c>
      <c r="AB264" s="157">
        <f t="shared" si="158"/>
        <v>298.56</v>
      </c>
      <c r="AC264" s="170">
        <f t="shared" si="159"/>
        <v>-0.46360000000000001</v>
      </c>
      <c r="AD264" s="366">
        <f t="shared" si="139"/>
        <v>-138.41241600000001</v>
      </c>
      <c r="AF264">
        <v>147.86199999999999</v>
      </c>
      <c r="AG264" s="379">
        <v>148</v>
      </c>
      <c r="AH264" s="358">
        <f t="shared" si="140"/>
        <v>12</v>
      </c>
      <c r="AJ264" s="379">
        <v>-3.09E-2</v>
      </c>
      <c r="AK264" s="366">
        <f t="shared" si="141"/>
        <v>1.0308999999999999</v>
      </c>
      <c r="AL264" s="366">
        <v>1.0660000000000001</v>
      </c>
      <c r="AN264" s="152">
        <f t="shared" si="146"/>
        <v>152.44</v>
      </c>
      <c r="AP264" s="379">
        <v>1.034</v>
      </c>
      <c r="AQ264" s="243">
        <v>-3.09E-2</v>
      </c>
      <c r="AR264" s="366">
        <f t="shared" si="142"/>
        <v>8.6000000000000076E-2</v>
      </c>
      <c r="AT264" s="241">
        <f t="shared" si="143"/>
        <v>-0.43270000000000003</v>
      </c>
    </row>
    <row r="265" spans="1:46" ht="25.5" x14ac:dyDescent="0.25">
      <c r="A265" s="361" t="s">
        <v>536</v>
      </c>
      <c r="B265" s="361" t="s">
        <v>270</v>
      </c>
      <c r="C265" s="362" t="s">
        <v>90</v>
      </c>
      <c r="D265" s="359" t="s">
        <v>199</v>
      </c>
      <c r="E265" s="373" t="s">
        <v>169</v>
      </c>
      <c r="F265" s="359">
        <f>VLOOKUP(E265,'условия, ФОТ'!$A$14:$I$28,9, FALSE)</f>
        <v>326.24</v>
      </c>
      <c r="G265" s="364">
        <v>1</v>
      </c>
      <c r="H265" s="359">
        <f t="shared" si="161"/>
        <v>326.24</v>
      </c>
      <c r="I265" s="359">
        <f t="shared" si="111"/>
        <v>98.52</v>
      </c>
      <c r="J265" s="359">
        <f t="shared" si="162"/>
        <v>424.76</v>
      </c>
      <c r="K265" s="363"/>
      <c r="L265" s="359"/>
      <c r="M265" s="359"/>
      <c r="N265" s="359"/>
      <c r="O265" s="359"/>
      <c r="P265" s="359">
        <f t="shared" si="163"/>
        <v>424.76</v>
      </c>
      <c r="Q265" s="359">
        <f t="shared" si="154"/>
        <v>329.19</v>
      </c>
      <c r="R265" s="369">
        <f t="shared" si="160"/>
        <v>404.17</v>
      </c>
      <c r="S265" s="369">
        <f t="shared" si="155"/>
        <v>80.83</v>
      </c>
      <c r="T265" s="369">
        <f t="shared" si="156"/>
        <v>485</v>
      </c>
      <c r="U265" s="121">
        <v>420</v>
      </c>
      <c r="V265" s="127">
        <f t="shared" si="164"/>
        <v>15.476190476190467</v>
      </c>
      <c r="W265" s="377">
        <v>434</v>
      </c>
      <c r="X265" s="367">
        <f t="shared" si="138"/>
        <v>11.751152073732712</v>
      </c>
      <c r="Y265" s="117">
        <v>434</v>
      </c>
      <c r="Z265" s="368">
        <v>1.1180000000000001</v>
      </c>
      <c r="AA265" s="152">
        <f t="shared" si="157"/>
        <v>485.21</v>
      </c>
      <c r="AB265" s="157">
        <f t="shared" si="158"/>
        <v>904.74</v>
      </c>
      <c r="AC265" s="170">
        <f t="shared" si="159"/>
        <v>-0.4637</v>
      </c>
      <c r="AD265" s="366">
        <f t="shared" si="139"/>
        <v>-419.52793800000001</v>
      </c>
      <c r="AF265">
        <v>448.75600000000003</v>
      </c>
      <c r="AG265" s="379">
        <v>449</v>
      </c>
      <c r="AH265" s="358">
        <f t="shared" si="140"/>
        <v>36</v>
      </c>
      <c r="AJ265" s="379">
        <v>-2.9399999999999999E-2</v>
      </c>
      <c r="AK265" s="366">
        <f t="shared" si="141"/>
        <v>1.0294000000000001</v>
      </c>
      <c r="AL265" s="366">
        <v>1.0640000000000001</v>
      </c>
      <c r="AN265" s="152">
        <f t="shared" si="146"/>
        <v>461.78</v>
      </c>
      <c r="AP265" s="379">
        <v>1.034</v>
      </c>
      <c r="AQ265" s="243">
        <v>-2.9399999999999999E-2</v>
      </c>
      <c r="AR265" s="366">
        <f t="shared" si="142"/>
        <v>8.4000000000000075E-2</v>
      </c>
      <c r="AT265" s="241">
        <f t="shared" si="143"/>
        <v>-0.43430000000000002</v>
      </c>
    </row>
    <row r="266" spans="1:46" x14ac:dyDescent="0.25">
      <c r="A266" s="361" t="s">
        <v>537</v>
      </c>
      <c r="B266" s="361" t="s">
        <v>271</v>
      </c>
      <c r="C266" s="362" t="s">
        <v>91</v>
      </c>
      <c r="D266" s="359" t="s">
        <v>272</v>
      </c>
      <c r="E266" s="373" t="s">
        <v>169</v>
      </c>
      <c r="F266" s="359">
        <f>VLOOKUP(E266,'условия, ФОТ'!$A$14:$I$28,9, FALSE)</f>
        <v>326.24</v>
      </c>
      <c r="G266" s="364">
        <v>0.25</v>
      </c>
      <c r="H266" s="359">
        <f t="shared" si="161"/>
        <v>81.56</v>
      </c>
      <c r="I266" s="359">
        <f t="shared" si="111"/>
        <v>24.63</v>
      </c>
      <c r="J266" s="359">
        <f t="shared" si="162"/>
        <v>106.19</v>
      </c>
      <c r="K266" s="363"/>
      <c r="L266" s="359"/>
      <c r="M266" s="359"/>
      <c r="N266" s="359"/>
      <c r="O266" s="359"/>
      <c r="P266" s="359">
        <f t="shared" si="163"/>
        <v>106.19</v>
      </c>
      <c r="Q266" s="359">
        <f t="shared" si="154"/>
        <v>82.3</v>
      </c>
      <c r="R266" s="369">
        <f t="shared" si="160"/>
        <v>100.83</v>
      </c>
      <c r="S266" s="369">
        <f t="shared" si="155"/>
        <v>20.170000000000002</v>
      </c>
      <c r="T266" s="369">
        <f t="shared" si="156"/>
        <v>121</v>
      </c>
      <c r="U266" s="121">
        <v>105</v>
      </c>
      <c r="V266" s="127">
        <f t="shared" si="164"/>
        <v>15.238095238095227</v>
      </c>
      <c r="W266" s="377">
        <v>108</v>
      </c>
      <c r="X266" s="367">
        <f t="shared" si="138"/>
        <v>12.037037037037052</v>
      </c>
      <c r="Y266" s="117">
        <v>108</v>
      </c>
      <c r="Z266" s="368">
        <v>1.123</v>
      </c>
      <c r="AA266" s="152">
        <f t="shared" si="157"/>
        <v>121.28</v>
      </c>
      <c r="AB266" s="157">
        <f t="shared" si="158"/>
        <v>226.19</v>
      </c>
      <c r="AC266" s="170">
        <f t="shared" si="159"/>
        <v>-0.46379999999999999</v>
      </c>
      <c r="AD266" s="366">
        <f t="shared" si="139"/>
        <v>-104.90692199999999</v>
      </c>
      <c r="AF266">
        <v>111.672</v>
      </c>
      <c r="AG266" s="379">
        <v>112</v>
      </c>
      <c r="AH266" s="358">
        <f t="shared" si="140"/>
        <v>9</v>
      </c>
      <c r="AJ266" s="379">
        <v>-3.4000000000000002E-2</v>
      </c>
      <c r="AK266" s="366">
        <f t="shared" si="141"/>
        <v>1.034</v>
      </c>
      <c r="AL266" s="366">
        <v>1.069</v>
      </c>
      <c r="AN266" s="152">
        <f t="shared" si="146"/>
        <v>115.45</v>
      </c>
      <c r="AP266" s="379">
        <v>1.034</v>
      </c>
      <c r="AQ266" s="243">
        <v>-3.4000000000000002E-2</v>
      </c>
      <c r="AR266" s="366">
        <f t="shared" si="142"/>
        <v>8.8999999999999968E-2</v>
      </c>
      <c r="AT266" s="241">
        <f t="shared" si="143"/>
        <v>-0.42979999999999996</v>
      </c>
    </row>
    <row r="267" spans="1:46" x14ac:dyDescent="0.25">
      <c r="A267" s="361" t="s">
        <v>538</v>
      </c>
      <c r="B267" s="361" t="s">
        <v>273</v>
      </c>
      <c r="C267" s="362" t="s">
        <v>92</v>
      </c>
      <c r="D267" s="359" t="s">
        <v>274</v>
      </c>
      <c r="E267" s="373" t="s">
        <v>169</v>
      </c>
      <c r="F267" s="359">
        <f>VLOOKUP(E267,'условия, ФОТ'!$A$14:$I$28,9, FALSE)</f>
        <v>326.24</v>
      </c>
      <c r="G267" s="364">
        <v>0.1</v>
      </c>
      <c r="H267" s="359">
        <f t="shared" si="161"/>
        <v>32.619999999999997</v>
      </c>
      <c r="I267" s="359">
        <f t="shared" si="111"/>
        <v>9.85</v>
      </c>
      <c r="J267" s="359">
        <f t="shared" si="162"/>
        <v>42.47</v>
      </c>
      <c r="K267" s="363"/>
      <c r="L267" s="359"/>
      <c r="M267" s="359"/>
      <c r="N267" s="359"/>
      <c r="O267" s="359"/>
      <c r="P267" s="359">
        <f t="shared" si="163"/>
        <v>42.47</v>
      </c>
      <c r="Q267" s="359">
        <f t="shared" si="154"/>
        <v>32.909999999999997</v>
      </c>
      <c r="R267" s="369">
        <f t="shared" si="160"/>
        <v>40</v>
      </c>
      <c r="S267" s="369">
        <f>ROUND(R267*$S$5,2)</f>
        <v>8</v>
      </c>
      <c r="T267" s="369">
        <f t="shared" si="156"/>
        <v>48</v>
      </c>
      <c r="U267" s="121">
        <v>42</v>
      </c>
      <c r="V267" s="127">
        <f t="shared" si="164"/>
        <v>14.285714285714278</v>
      </c>
      <c r="W267" s="377">
        <v>43</v>
      </c>
      <c r="X267" s="367">
        <f t="shared" si="138"/>
        <v>11.627906976744185</v>
      </c>
      <c r="Y267" s="117">
        <v>43</v>
      </c>
      <c r="Z267" s="368">
        <v>1.1279999999999999</v>
      </c>
      <c r="AA267" s="152">
        <f t="shared" si="157"/>
        <v>48.5</v>
      </c>
      <c r="AB267" s="157">
        <f t="shared" si="158"/>
        <v>90.46</v>
      </c>
      <c r="AC267" s="170">
        <f t="shared" si="159"/>
        <v>-0.46389999999999998</v>
      </c>
      <c r="AD267" s="366">
        <f t="shared" si="139"/>
        <v>-41.964393999999999</v>
      </c>
      <c r="AF267">
        <v>44.462000000000003</v>
      </c>
      <c r="AG267" s="379">
        <v>44</v>
      </c>
      <c r="AH267" s="358">
        <f t="shared" si="140"/>
        <v>4</v>
      </c>
      <c r="AJ267" s="379">
        <v>-3.8100000000000002E-2</v>
      </c>
      <c r="AK267" s="366">
        <f t="shared" si="141"/>
        <v>1.0381</v>
      </c>
      <c r="AL267" s="366">
        <v>1.073</v>
      </c>
      <c r="AN267" s="152">
        <f t="shared" si="146"/>
        <v>46.14</v>
      </c>
      <c r="AP267" s="379">
        <v>1.034</v>
      </c>
      <c r="AQ267" s="243">
        <v>-3.8100000000000002E-2</v>
      </c>
      <c r="AR267" s="366">
        <f t="shared" si="142"/>
        <v>9.3999999999999861E-2</v>
      </c>
      <c r="AT267" s="241">
        <f t="shared" si="143"/>
        <v>-0.42579999999999996</v>
      </c>
    </row>
    <row r="268" spans="1:46" x14ac:dyDescent="0.25">
      <c r="A268" s="361" t="s">
        <v>539</v>
      </c>
      <c r="B268" s="361" t="s">
        <v>276</v>
      </c>
      <c r="C268" s="362" t="s">
        <v>93</v>
      </c>
      <c r="D268" s="359" t="s">
        <v>275</v>
      </c>
      <c r="E268" s="373" t="s">
        <v>169</v>
      </c>
      <c r="F268" s="359">
        <f>VLOOKUP(E268,'условия, ФОТ'!$A$14:$I$28,9, FALSE)</f>
        <v>326.24</v>
      </c>
      <c r="G268" s="364">
        <v>0.52</v>
      </c>
      <c r="H268" s="359">
        <f t="shared" si="161"/>
        <v>169.64</v>
      </c>
      <c r="I268" s="359">
        <f t="shared" si="111"/>
        <v>51.23</v>
      </c>
      <c r="J268" s="359">
        <f t="shared" si="162"/>
        <v>220.86999999999998</v>
      </c>
      <c r="K268" s="363"/>
      <c r="L268" s="359"/>
      <c r="M268" s="359"/>
      <c r="N268" s="359"/>
      <c r="O268" s="359"/>
      <c r="P268" s="359">
        <f t="shared" si="163"/>
        <v>220.86999999999998</v>
      </c>
      <c r="Q268" s="359">
        <f t="shared" si="154"/>
        <v>171.17</v>
      </c>
      <c r="R268" s="369">
        <f t="shared" si="160"/>
        <v>210</v>
      </c>
      <c r="S268" s="369">
        <f t="shared" si="155"/>
        <v>42</v>
      </c>
      <c r="T268" s="369">
        <f t="shared" si="156"/>
        <v>252</v>
      </c>
      <c r="U268" s="121">
        <v>219</v>
      </c>
      <c r="V268" s="127">
        <f t="shared" si="164"/>
        <v>15.06849315068493</v>
      </c>
      <c r="W268" s="377">
        <v>226</v>
      </c>
      <c r="X268" s="367">
        <f t="shared" ref="X268:X334" si="165">T268/W268*100-100</f>
        <v>11.504424778761063</v>
      </c>
      <c r="Y268" s="117">
        <v>226</v>
      </c>
      <c r="Z268" s="368">
        <v>1.117</v>
      </c>
      <c r="AA268" s="152">
        <f t="shared" si="157"/>
        <v>252.44</v>
      </c>
      <c r="AB268" s="157">
        <f t="shared" si="158"/>
        <v>470.45</v>
      </c>
      <c r="AC268" s="170">
        <f t="shared" si="159"/>
        <v>-0.46339999999999998</v>
      </c>
      <c r="AD268" s="366">
        <f t="shared" ref="AD268:AD326" si="166">AB268*AC268</f>
        <v>-218.00653</v>
      </c>
      <c r="AF268">
        <v>233.684</v>
      </c>
      <c r="AG268" s="379">
        <v>234</v>
      </c>
      <c r="AH268" s="358">
        <f t="shared" ref="AH268:AH326" si="167">T268-AG268</f>
        <v>18</v>
      </c>
      <c r="AJ268" s="379">
        <v>-2.8000000000000001E-2</v>
      </c>
      <c r="AK268" s="366">
        <f t="shared" ref="AK268:AK326" si="168">IF(AJ268&lt;0,-AJ268+1,AJ268)</f>
        <v>1.028</v>
      </c>
      <c r="AL268" s="366">
        <v>1.0629999999999999</v>
      </c>
      <c r="AN268" s="152">
        <f t="shared" si="146"/>
        <v>240.24</v>
      </c>
      <c r="AP268" s="379">
        <v>1.034</v>
      </c>
      <c r="AQ268" s="243">
        <v>-2.8000000000000001E-2</v>
      </c>
      <c r="AR268" s="366">
        <f t="shared" ref="AR268:AR326" si="169">Z268-AP268</f>
        <v>8.2999999999999963E-2</v>
      </c>
      <c r="AT268" s="241">
        <f t="shared" ref="AT268:AT326" si="170">AC268-AQ268</f>
        <v>-0.43539999999999995</v>
      </c>
    </row>
    <row r="269" spans="1:46" x14ac:dyDescent="0.25">
      <c r="A269" s="361" t="s">
        <v>540</v>
      </c>
      <c r="B269" s="361" t="s">
        <v>277</v>
      </c>
      <c r="C269" s="362" t="s">
        <v>94</v>
      </c>
      <c r="D269" s="359" t="s">
        <v>275</v>
      </c>
      <c r="E269" s="373" t="s">
        <v>169</v>
      </c>
      <c r="F269" s="359">
        <f>VLOOKUP(E269,'условия, ФОТ'!$A$14:$I$28,9, FALSE)</f>
        <v>326.24</v>
      </c>
      <c r="G269" s="364">
        <v>0.32</v>
      </c>
      <c r="H269" s="359">
        <f t="shared" si="161"/>
        <v>104.4</v>
      </c>
      <c r="I269" s="359">
        <f t="shared" si="111"/>
        <v>31.53</v>
      </c>
      <c r="J269" s="359">
        <f t="shared" si="162"/>
        <v>135.93</v>
      </c>
      <c r="K269" s="363"/>
      <c r="L269" s="359"/>
      <c r="M269" s="359"/>
      <c r="N269" s="359"/>
      <c r="O269" s="359"/>
      <c r="P269" s="359">
        <f t="shared" si="163"/>
        <v>135.93</v>
      </c>
      <c r="Q269" s="359">
        <f t="shared" si="154"/>
        <v>105.35</v>
      </c>
      <c r="R269" s="369">
        <f t="shared" si="160"/>
        <v>129.16999999999999</v>
      </c>
      <c r="S269" s="369">
        <f>ROUND(R269*$S$5,2)</f>
        <v>25.83</v>
      </c>
      <c r="T269" s="369">
        <f t="shared" si="156"/>
        <v>155</v>
      </c>
      <c r="U269" s="121">
        <v>135</v>
      </c>
      <c r="V269" s="127">
        <f t="shared" si="164"/>
        <v>14.81481481481481</v>
      </c>
      <c r="W269" s="377">
        <v>139</v>
      </c>
      <c r="X269" s="367">
        <f t="shared" si="165"/>
        <v>11.510791366906474</v>
      </c>
      <c r="Y269" s="117">
        <v>139</v>
      </c>
      <c r="Z269" s="368">
        <v>1.117</v>
      </c>
      <c r="AA269" s="152">
        <f t="shared" si="157"/>
        <v>155.26</v>
      </c>
      <c r="AB269" s="157">
        <f t="shared" si="158"/>
        <v>289.54000000000002</v>
      </c>
      <c r="AC269" s="170">
        <f t="shared" si="159"/>
        <v>-0.46379999999999999</v>
      </c>
      <c r="AD269" s="366">
        <f t="shared" si="166"/>
        <v>-134.28865200000001</v>
      </c>
      <c r="AF269">
        <v>143.726</v>
      </c>
      <c r="AG269" s="379">
        <v>144</v>
      </c>
      <c r="AH269" s="358">
        <f t="shared" si="167"/>
        <v>11</v>
      </c>
      <c r="AJ269" s="379">
        <v>-2.86E-2</v>
      </c>
      <c r="AK269" s="366">
        <f t="shared" si="168"/>
        <v>1.0286</v>
      </c>
      <c r="AL269" s="366">
        <v>1.0640000000000001</v>
      </c>
      <c r="AN269" s="152">
        <f t="shared" si="146"/>
        <v>147.9</v>
      </c>
      <c r="AP269" s="379">
        <v>1.034</v>
      </c>
      <c r="AQ269" s="243">
        <v>-2.86E-2</v>
      </c>
      <c r="AR269" s="366">
        <f t="shared" si="169"/>
        <v>8.2999999999999963E-2</v>
      </c>
      <c r="AT269" s="241">
        <f t="shared" si="170"/>
        <v>-0.43519999999999998</v>
      </c>
    </row>
    <row r="270" spans="1:46" x14ac:dyDescent="0.25">
      <c r="A270" s="361" t="s">
        <v>541</v>
      </c>
      <c r="B270" s="361" t="s">
        <v>278</v>
      </c>
      <c r="C270" s="362" t="s">
        <v>95</v>
      </c>
      <c r="D270" s="359" t="s">
        <v>211</v>
      </c>
      <c r="E270" s="373" t="s">
        <v>169</v>
      </c>
      <c r="F270" s="359">
        <f>VLOOKUP(E270,'условия, ФОТ'!$A$14:$I$28,9, FALSE)</f>
        <v>326.24</v>
      </c>
      <c r="G270" s="364">
        <v>0.4</v>
      </c>
      <c r="H270" s="359">
        <f t="shared" si="161"/>
        <v>130.5</v>
      </c>
      <c r="I270" s="359">
        <f t="shared" si="111"/>
        <v>39.409999999999997</v>
      </c>
      <c r="J270" s="359">
        <f t="shared" si="162"/>
        <v>169.91</v>
      </c>
      <c r="K270" s="363"/>
      <c r="L270" s="359"/>
      <c r="M270" s="359"/>
      <c r="N270" s="359"/>
      <c r="O270" s="359"/>
      <c r="P270" s="359">
        <f t="shared" si="163"/>
        <v>169.91</v>
      </c>
      <c r="Q270" s="359">
        <f t="shared" si="154"/>
        <v>131.68</v>
      </c>
      <c r="R270" s="369">
        <f t="shared" si="160"/>
        <v>161.66999999999999</v>
      </c>
      <c r="S270" s="369">
        <f t="shared" si="155"/>
        <v>32.33</v>
      </c>
      <c r="T270" s="369">
        <f t="shared" si="156"/>
        <v>194</v>
      </c>
      <c r="U270" s="121">
        <v>168</v>
      </c>
      <c r="V270" s="127">
        <f t="shared" si="164"/>
        <v>15.476190476190467</v>
      </c>
      <c r="W270" s="377">
        <v>173</v>
      </c>
      <c r="X270" s="367">
        <f t="shared" si="165"/>
        <v>12.138728323699425</v>
      </c>
      <c r="Y270" s="117">
        <v>173</v>
      </c>
      <c r="Z270" s="368">
        <v>1.1220000000000001</v>
      </c>
      <c r="AA270" s="152">
        <f t="shared" si="157"/>
        <v>194.11</v>
      </c>
      <c r="AB270" s="157">
        <f t="shared" si="158"/>
        <v>361.91</v>
      </c>
      <c r="AC270" s="170">
        <f t="shared" si="159"/>
        <v>-0.4637</v>
      </c>
      <c r="AD270" s="366">
        <f t="shared" si="166"/>
        <v>-167.817667</v>
      </c>
      <c r="AF270">
        <v>178.88200000000001</v>
      </c>
      <c r="AG270" s="379">
        <v>179</v>
      </c>
      <c r="AH270" s="358">
        <f t="shared" si="167"/>
        <v>15</v>
      </c>
      <c r="AJ270" s="379">
        <v>-3.2899999999999999E-2</v>
      </c>
      <c r="AK270" s="366">
        <f t="shared" si="168"/>
        <v>1.0328999999999999</v>
      </c>
      <c r="AL270" s="366">
        <v>1.0680000000000001</v>
      </c>
      <c r="AN270" s="152">
        <f t="shared" si="146"/>
        <v>184.76</v>
      </c>
      <c r="AP270" s="379">
        <v>1.034</v>
      </c>
      <c r="AQ270" s="243">
        <v>-3.2899999999999999E-2</v>
      </c>
      <c r="AR270" s="366">
        <f t="shared" si="169"/>
        <v>8.8000000000000078E-2</v>
      </c>
      <c r="AT270" s="241">
        <f t="shared" si="170"/>
        <v>-0.43080000000000002</v>
      </c>
    </row>
    <row r="271" spans="1:46" x14ac:dyDescent="0.25">
      <c r="A271" s="361" t="s">
        <v>542</v>
      </c>
      <c r="B271" s="361" t="s">
        <v>279</v>
      </c>
      <c r="C271" s="362" t="s">
        <v>96</v>
      </c>
      <c r="D271" s="359" t="s">
        <v>211</v>
      </c>
      <c r="E271" s="373" t="s">
        <v>169</v>
      </c>
      <c r="F271" s="359">
        <f>VLOOKUP(E271,'условия, ФОТ'!$A$14:$I$28,9, FALSE)</f>
        <v>326.24</v>
      </c>
      <c r="G271" s="364">
        <v>0.55000000000000004</v>
      </c>
      <c r="H271" s="359">
        <f t="shared" si="161"/>
        <v>179.43</v>
      </c>
      <c r="I271" s="359">
        <f t="shared" si="111"/>
        <v>54.19</v>
      </c>
      <c r="J271" s="359">
        <f t="shared" si="162"/>
        <v>233.62</v>
      </c>
      <c r="K271" s="363"/>
      <c r="L271" s="359"/>
      <c r="M271" s="359"/>
      <c r="N271" s="359"/>
      <c r="O271" s="359"/>
      <c r="P271" s="359">
        <f t="shared" si="163"/>
        <v>233.62</v>
      </c>
      <c r="Q271" s="359">
        <f t="shared" si="154"/>
        <v>181.06</v>
      </c>
      <c r="R271" s="369">
        <f t="shared" si="160"/>
        <v>222.5</v>
      </c>
      <c r="S271" s="369">
        <f t="shared" si="155"/>
        <v>44.5</v>
      </c>
      <c r="T271" s="369">
        <f t="shared" si="156"/>
        <v>267</v>
      </c>
      <c r="U271" s="121">
        <v>231</v>
      </c>
      <c r="V271" s="127">
        <f t="shared" si="164"/>
        <v>15.584415584415595</v>
      </c>
      <c r="W271" s="377">
        <v>239</v>
      </c>
      <c r="X271" s="367">
        <f t="shared" si="165"/>
        <v>11.71548117154812</v>
      </c>
      <c r="Y271" s="117">
        <v>239</v>
      </c>
      <c r="Z271" s="368">
        <v>1.117</v>
      </c>
      <c r="AA271" s="152">
        <f t="shared" si="157"/>
        <v>266.95999999999998</v>
      </c>
      <c r="AB271" s="157">
        <f t="shared" si="158"/>
        <v>497.62</v>
      </c>
      <c r="AC271" s="170">
        <f t="shared" si="159"/>
        <v>-0.46350000000000002</v>
      </c>
      <c r="AD271" s="366">
        <f t="shared" si="166"/>
        <v>-230.64687000000001</v>
      </c>
      <c r="AF271">
        <v>247.126</v>
      </c>
      <c r="AG271" s="379">
        <v>247</v>
      </c>
      <c r="AH271" s="358">
        <f t="shared" si="167"/>
        <v>20</v>
      </c>
      <c r="AJ271" s="379">
        <v>-2.8199999999999999E-2</v>
      </c>
      <c r="AK271" s="366">
        <f t="shared" si="168"/>
        <v>1.0282</v>
      </c>
      <c r="AL271" s="366">
        <v>1.0629999999999999</v>
      </c>
      <c r="AN271" s="152">
        <f t="shared" si="146"/>
        <v>254.06</v>
      </c>
      <c r="AP271" s="379">
        <v>1.034</v>
      </c>
      <c r="AQ271" s="243">
        <v>-2.8199999999999999E-2</v>
      </c>
      <c r="AR271" s="366">
        <f t="shared" si="169"/>
        <v>8.2999999999999963E-2</v>
      </c>
      <c r="AT271" s="241">
        <f t="shared" si="170"/>
        <v>-0.43530000000000002</v>
      </c>
    </row>
    <row r="272" spans="1:46" ht="25.5" x14ac:dyDescent="0.25">
      <c r="A272" s="361" t="s">
        <v>543</v>
      </c>
      <c r="B272" s="361" t="s">
        <v>280</v>
      </c>
      <c r="C272" s="362" t="s">
        <v>97</v>
      </c>
      <c r="D272" s="359" t="s">
        <v>211</v>
      </c>
      <c r="E272" s="373" t="s">
        <v>169</v>
      </c>
      <c r="F272" s="359">
        <f>VLOOKUP(E272,'условия, ФОТ'!$A$14:$I$28,9, FALSE)</f>
        <v>326.24</v>
      </c>
      <c r="G272" s="364">
        <v>0.75</v>
      </c>
      <c r="H272" s="359">
        <f t="shared" si="161"/>
        <v>244.68</v>
      </c>
      <c r="I272" s="359">
        <f t="shared" si="111"/>
        <v>73.89</v>
      </c>
      <c r="J272" s="359">
        <f t="shared" si="162"/>
        <v>318.57</v>
      </c>
      <c r="K272" s="363"/>
      <c r="L272" s="359"/>
      <c r="M272" s="359"/>
      <c r="N272" s="359"/>
      <c r="O272" s="359"/>
      <c r="P272" s="359">
        <f t="shared" si="163"/>
        <v>318.57</v>
      </c>
      <c r="Q272" s="359">
        <f t="shared" si="154"/>
        <v>246.89</v>
      </c>
      <c r="R272" s="369">
        <f t="shared" si="160"/>
        <v>303.33</v>
      </c>
      <c r="S272" s="369">
        <f t="shared" si="155"/>
        <v>60.67</v>
      </c>
      <c r="T272" s="369">
        <f t="shared" si="156"/>
        <v>364</v>
      </c>
      <c r="U272" s="121">
        <v>315</v>
      </c>
      <c r="V272" s="127">
        <f t="shared" si="164"/>
        <v>15.555555555555543</v>
      </c>
      <c r="W272" s="377">
        <v>325</v>
      </c>
      <c r="X272" s="367">
        <f t="shared" si="165"/>
        <v>12.000000000000014</v>
      </c>
      <c r="Y272" s="117">
        <v>325</v>
      </c>
      <c r="Z272" s="368">
        <v>1.1200000000000001</v>
      </c>
      <c r="AA272" s="152">
        <f t="shared" si="157"/>
        <v>364</v>
      </c>
      <c r="AB272" s="157">
        <f t="shared" si="158"/>
        <v>678.55</v>
      </c>
      <c r="AC272" s="170">
        <f t="shared" si="159"/>
        <v>-0.46360000000000001</v>
      </c>
      <c r="AD272" s="366">
        <f t="shared" si="166"/>
        <v>-314.57578000000001</v>
      </c>
      <c r="AF272">
        <v>336.05</v>
      </c>
      <c r="AG272" s="379">
        <v>336</v>
      </c>
      <c r="AH272" s="358">
        <f t="shared" si="167"/>
        <v>28</v>
      </c>
      <c r="AJ272" s="379">
        <v>-3.09E-2</v>
      </c>
      <c r="AK272" s="366">
        <f t="shared" si="168"/>
        <v>1.0308999999999999</v>
      </c>
      <c r="AL272" s="366">
        <v>1.0660000000000001</v>
      </c>
      <c r="AN272" s="152">
        <f t="shared" si="146"/>
        <v>346.45</v>
      </c>
      <c r="AP272" s="379">
        <v>1.034</v>
      </c>
      <c r="AQ272" s="243">
        <v>-3.09E-2</v>
      </c>
      <c r="AR272" s="366">
        <f t="shared" si="169"/>
        <v>8.6000000000000076E-2</v>
      </c>
      <c r="AT272" s="241">
        <f t="shared" si="170"/>
        <v>-0.43270000000000003</v>
      </c>
    </row>
    <row r="273" spans="1:46" ht="17.25" customHeight="1" x14ac:dyDescent="0.25">
      <c r="A273" s="361" t="s">
        <v>544</v>
      </c>
      <c r="B273" s="361" t="s">
        <v>281</v>
      </c>
      <c r="C273" s="362" t="s">
        <v>98</v>
      </c>
      <c r="D273" s="359" t="s">
        <v>190</v>
      </c>
      <c r="E273" s="373" t="s">
        <v>169</v>
      </c>
      <c r="F273" s="359">
        <f>VLOOKUP(E273,'условия, ФОТ'!$A$14:$I$28,9, FALSE)</f>
        <v>326.24</v>
      </c>
      <c r="G273" s="364">
        <v>0.8</v>
      </c>
      <c r="H273" s="359">
        <f t="shared" si="161"/>
        <v>260.99</v>
      </c>
      <c r="I273" s="359">
        <f t="shared" si="111"/>
        <v>78.819999999999993</v>
      </c>
      <c r="J273" s="359">
        <f t="shared" si="162"/>
        <v>339.81</v>
      </c>
      <c r="K273" s="363"/>
      <c r="L273" s="359"/>
      <c r="M273" s="359"/>
      <c r="N273" s="359"/>
      <c r="O273" s="359"/>
      <c r="P273" s="359">
        <f t="shared" si="163"/>
        <v>339.81</v>
      </c>
      <c r="Q273" s="359">
        <f t="shared" si="154"/>
        <v>263.35000000000002</v>
      </c>
      <c r="R273" s="369">
        <f t="shared" si="160"/>
        <v>323.33</v>
      </c>
      <c r="S273" s="369">
        <f t="shared" si="155"/>
        <v>64.67</v>
      </c>
      <c r="T273" s="369">
        <f t="shared" si="156"/>
        <v>388</v>
      </c>
      <c r="U273" s="121">
        <v>336</v>
      </c>
      <c r="V273" s="127">
        <f t="shared" si="164"/>
        <v>15.476190476190467</v>
      </c>
      <c r="W273" s="377">
        <v>347</v>
      </c>
      <c r="X273" s="367">
        <f t="shared" si="165"/>
        <v>11.81556195965419</v>
      </c>
      <c r="Y273" s="117">
        <v>347</v>
      </c>
      <c r="Z273" s="368">
        <v>1.119</v>
      </c>
      <c r="AA273" s="152">
        <f t="shared" si="157"/>
        <v>388.29</v>
      </c>
      <c r="AB273" s="157">
        <f t="shared" si="158"/>
        <v>723.79</v>
      </c>
      <c r="AC273" s="170">
        <f t="shared" si="159"/>
        <v>-0.46350000000000002</v>
      </c>
      <c r="AD273" s="366">
        <f t="shared" si="166"/>
        <v>-335.47666500000003</v>
      </c>
      <c r="AF273">
        <v>358.798</v>
      </c>
      <c r="AG273" s="379">
        <v>359</v>
      </c>
      <c r="AH273" s="358">
        <f t="shared" si="167"/>
        <v>29</v>
      </c>
      <c r="AJ273" s="379">
        <v>-0.03</v>
      </c>
      <c r="AK273" s="366">
        <f t="shared" si="168"/>
        <v>1.03</v>
      </c>
      <c r="AL273" s="366">
        <v>1.0649999999999999</v>
      </c>
      <c r="AN273" s="152">
        <f t="shared" si="146"/>
        <v>369.56</v>
      </c>
      <c r="AP273" s="379">
        <v>1.034</v>
      </c>
      <c r="AQ273" s="243">
        <v>-0.03</v>
      </c>
      <c r="AR273" s="366">
        <f t="shared" si="169"/>
        <v>8.4999999999999964E-2</v>
      </c>
      <c r="AT273" s="241">
        <f t="shared" si="170"/>
        <v>-0.4335</v>
      </c>
    </row>
    <row r="274" spans="1:46" ht="31.7" customHeight="1" x14ac:dyDescent="0.25">
      <c r="A274" s="361" t="s">
        <v>545</v>
      </c>
      <c r="B274" s="361" t="s">
        <v>282</v>
      </c>
      <c r="C274" s="362" t="s">
        <v>99</v>
      </c>
      <c r="D274" s="359" t="s">
        <v>211</v>
      </c>
      <c r="E274" s="373" t="s">
        <v>169</v>
      </c>
      <c r="F274" s="359">
        <f>VLOOKUP(E274,'условия, ФОТ'!$A$14:$I$28,9, FALSE)</f>
        <v>326.24</v>
      </c>
      <c r="G274" s="364">
        <v>1</v>
      </c>
      <c r="H274" s="359">
        <f t="shared" si="161"/>
        <v>326.24</v>
      </c>
      <c r="I274" s="359">
        <f t="shared" si="111"/>
        <v>98.52</v>
      </c>
      <c r="J274" s="359">
        <f t="shared" si="162"/>
        <v>424.76</v>
      </c>
      <c r="K274" s="363"/>
      <c r="L274" s="359"/>
      <c r="M274" s="359"/>
      <c r="N274" s="359"/>
      <c r="O274" s="359"/>
      <c r="P274" s="359">
        <f t="shared" si="163"/>
        <v>424.76</v>
      </c>
      <c r="Q274" s="359">
        <f t="shared" si="154"/>
        <v>329.19</v>
      </c>
      <c r="R274" s="369">
        <f t="shared" si="160"/>
        <v>404.17</v>
      </c>
      <c r="S274" s="369">
        <f t="shared" si="155"/>
        <v>80.83</v>
      </c>
      <c r="T274" s="369">
        <f t="shared" si="156"/>
        <v>485</v>
      </c>
      <c r="U274" s="121">
        <v>420</v>
      </c>
      <c r="V274" s="127">
        <f t="shared" si="164"/>
        <v>15.476190476190467</v>
      </c>
      <c r="W274" s="377">
        <v>434</v>
      </c>
      <c r="X274" s="367">
        <f t="shared" si="165"/>
        <v>11.751152073732712</v>
      </c>
      <c r="Y274" s="117">
        <v>434</v>
      </c>
      <c r="Z274" s="368">
        <v>1.1180000000000001</v>
      </c>
      <c r="AA274" s="152">
        <f t="shared" si="157"/>
        <v>485.21</v>
      </c>
      <c r="AB274" s="157">
        <f t="shared" si="158"/>
        <v>904.74</v>
      </c>
      <c r="AC274" s="170">
        <f t="shared" si="159"/>
        <v>-0.4637</v>
      </c>
      <c r="AD274" s="366">
        <f t="shared" si="166"/>
        <v>-419.52793800000001</v>
      </c>
      <c r="AF274">
        <v>448.75600000000003</v>
      </c>
      <c r="AG274" s="379">
        <v>449</v>
      </c>
      <c r="AH274" s="358">
        <f t="shared" si="167"/>
        <v>36</v>
      </c>
      <c r="AJ274" s="379">
        <v>-2.9399999999999999E-2</v>
      </c>
      <c r="AK274" s="366">
        <f t="shared" si="168"/>
        <v>1.0294000000000001</v>
      </c>
      <c r="AL274" s="366">
        <v>1.0640000000000001</v>
      </c>
      <c r="AN274" s="152">
        <f t="shared" si="146"/>
        <v>461.78</v>
      </c>
      <c r="AP274" s="379">
        <v>1.034</v>
      </c>
      <c r="AQ274" s="243">
        <v>-2.9399999999999999E-2</v>
      </c>
      <c r="AR274" s="366">
        <f t="shared" si="169"/>
        <v>8.4000000000000075E-2</v>
      </c>
      <c r="AT274" s="241">
        <f t="shared" si="170"/>
        <v>-0.43430000000000002</v>
      </c>
    </row>
    <row r="275" spans="1:46" ht="30.75" customHeight="1" x14ac:dyDescent="0.25">
      <c r="A275" s="361" t="s">
        <v>546</v>
      </c>
      <c r="B275" s="361" t="s">
        <v>283</v>
      </c>
      <c r="C275" s="362" t="s">
        <v>100</v>
      </c>
      <c r="D275" s="359" t="s">
        <v>211</v>
      </c>
      <c r="E275" s="373" t="s">
        <v>169</v>
      </c>
      <c r="F275" s="359">
        <f>VLOOKUP(E275,'условия, ФОТ'!$A$14:$I$28,9, FALSE)</f>
        <v>326.24</v>
      </c>
      <c r="G275" s="364">
        <v>0.25</v>
      </c>
      <c r="H275" s="359">
        <f t="shared" si="161"/>
        <v>81.56</v>
      </c>
      <c r="I275" s="359">
        <f t="shared" si="111"/>
        <v>24.63</v>
      </c>
      <c r="J275" s="359">
        <f t="shared" si="162"/>
        <v>106.19</v>
      </c>
      <c r="K275" s="363"/>
      <c r="L275" s="359"/>
      <c r="M275" s="359"/>
      <c r="N275" s="359"/>
      <c r="O275" s="359"/>
      <c r="P275" s="359">
        <f t="shared" si="163"/>
        <v>106.19</v>
      </c>
      <c r="Q275" s="359">
        <f t="shared" si="154"/>
        <v>82.3</v>
      </c>
      <c r="R275" s="369">
        <f t="shared" si="160"/>
        <v>100.83</v>
      </c>
      <c r="S275" s="369">
        <f t="shared" si="155"/>
        <v>20.170000000000002</v>
      </c>
      <c r="T275" s="369">
        <f t="shared" si="156"/>
        <v>121</v>
      </c>
      <c r="U275" s="121">
        <v>105</v>
      </c>
      <c r="V275" s="127">
        <f t="shared" si="164"/>
        <v>15.238095238095227</v>
      </c>
      <c r="W275" s="377">
        <v>108</v>
      </c>
      <c r="X275" s="367">
        <f t="shared" si="165"/>
        <v>12.037037037037052</v>
      </c>
      <c r="Y275" s="117">
        <v>108</v>
      </c>
      <c r="Z275" s="368">
        <v>1.123</v>
      </c>
      <c r="AA275" s="152">
        <f t="shared" si="157"/>
        <v>121.28</v>
      </c>
      <c r="AB275" s="157">
        <f t="shared" si="158"/>
        <v>226.19</v>
      </c>
      <c r="AC275" s="170">
        <f t="shared" si="159"/>
        <v>-0.46379999999999999</v>
      </c>
      <c r="AD275" s="366">
        <f t="shared" si="166"/>
        <v>-104.90692199999999</v>
      </c>
      <c r="AF275">
        <v>111.672</v>
      </c>
      <c r="AG275" s="379">
        <v>112</v>
      </c>
      <c r="AH275" s="358">
        <f t="shared" si="167"/>
        <v>9</v>
      </c>
      <c r="AJ275" s="379">
        <v>-3.4000000000000002E-2</v>
      </c>
      <c r="AK275" s="366">
        <f t="shared" si="168"/>
        <v>1.034</v>
      </c>
      <c r="AL275" s="366">
        <v>1.069</v>
      </c>
      <c r="AN275" s="152">
        <f t="shared" si="146"/>
        <v>115.45</v>
      </c>
      <c r="AP275" s="379">
        <v>1.034</v>
      </c>
      <c r="AQ275" s="243">
        <v>-3.4000000000000002E-2</v>
      </c>
      <c r="AR275" s="366">
        <f t="shared" si="169"/>
        <v>8.8999999999999968E-2</v>
      </c>
      <c r="AT275" s="241">
        <f t="shared" si="170"/>
        <v>-0.42979999999999996</v>
      </c>
    </row>
    <row r="276" spans="1:46" ht="21.75" customHeight="1" x14ac:dyDescent="0.25">
      <c r="A276" s="361" t="s">
        <v>547</v>
      </c>
      <c r="B276" s="361" t="s">
        <v>284</v>
      </c>
      <c r="C276" s="362" t="s">
        <v>101</v>
      </c>
      <c r="D276" s="359" t="s">
        <v>211</v>
      </c>
      <c r="E276" s="373" t="s">
        <v>169</v>
      </c>
      <c r="F276" s="359">
        <f>VLOOKUP(E276,'условия, ФОТ'!$A$14:$I$28,9, FALSE)</f>
        <v>326.24</v>
      </c>
      <c r="G276" s="364">
        <v>0.25</v>
      </c>
      <c r="H276" s="359">
        <f t="shared" si="161"/>
        <v>81.56</v>
      </c>
      <c r="I276" s="359">
        <f t="shared" si="111"/>
        <v>24.63</v>
      </c>
      <c r="J276" s="359">
        <f t="shared" si="162"/>
        <v>106.19</v>
      </c>
      <c r="K276" s="363"/>
      <c r="L276" s="359"/>
      <c r="M276" s="359"/>
      <c r="N276" s="359"/>
      <c r="O276" s="359"/>
      <c r="P276" s="359">
        <f t="shared" si="163"/>
        <v>106.19</v>
      </c>
      <c r="Q276" s="359">
        <f t="shared" si="154"/>
        <v>82.3</v>
      </c>
      <c r="R276" s="369">
        <f t="shared" si="160"/>
        <v>100.83</v>
      </c>
      <c r="S276" s="369">
        <f t="shared" si="155"/>
        <v>20.170000000000002</v>
      </c>
      <c r="T276" s="369">
        <f t="shared" si="156"/>
        <v>121</v>
      </c>
      <c r="U276" s="121">
        <v>105</v>
      </c>
      <c r="V276" s="127">
        <f t="shared" si="164"/>
        <v>15.238095238095227</v>
      </c>
      <c r="W276" s="377">
        <v>108</v>
      </c>
      <c r="X276" s="367">
        <f t="shared" si="165"/>
        <v>12.037037037037052</v>
      </c>
      <c r="Y276" s="117">
        <v>108</v>
      </c>
      <c r="Z276" s="368">
        <v>1.123</v>
      </c>
      <c r="AA276" s="152">
        <f t="shared" si="157"/>
        <v>121.28</v>
      </c>
      <c r="AB276" s="157">
        <f t="shared" si="158"/>
        <v>226.19</v>
      </c>
      <c r="AC276" s="170">
        <f t="shared" si="159"/>
        <v>-0.46379999999999999</v>
      </c>
      <c r="AD276" s="366">
        <f t="shared" si="166"/>
        <v>-104.90692199999999</v>
      </c>
      <c r="AF276">
        <v>111.672</v>
      </c>
      <c r="AG276" s="379">
        <v>112</v>
      </c>
      <c r="AH276" s="358">
        <f t="shared" si="167"/>
        <v>9</v>
      </c>
      <c r="AJ276" s="379">
        <v>-3.4000000000000002E-2</v>
      </c>
      <c r="AK276" s="366">
        <f t="shared" si="168"/>
        <v>1.034</v>
      </c>
      <c r="AL276" s="366">
        <v>1.069</v>
      </c>
      <c r="AN276" s="152">
        <f t="shared" si="146"/>
        <v>115.45</v>
      </c>
      <c r="AP276" s="379">
        <v>1.034</v>
      </c>
      <c r="AQ276" s="243">
        <v>-3.4000000000000002E-2</v>
      </c>
      <c r="AR276" s="366">
        <f t="shared" si="169"/>
        <v>8.8999999999999968E-2</v>
      </c>
      <c r="AT276" s="241">
        <f t="shared" si="170"/>
        <v>-0.42979999999999996</v>
      </c>
    </row>
    <row r="277" spans="1:46" ht="25.5" x14ac:dyDescent="0.25">
      <c r="A277" s="361" t="s">
        <v>548</v>
      </c>
      <c r="B277" s="361" t="s">
        <v>285</v>
      </c>
      <c r="C277" s="362" t="s">
        <v>102</v>
      </c>
      <c r="D277" s="359" t="s">
        <v>211</v>
      </c>
      <c r="E277" s="373" t="s">
        <v>169</v>
      </c>
      <c r="F277" s="359">
        <f>VLOOKUP(E277,'условия, ФОТ'!$A$14:$I$28,9, FALSE)</f>
        <v>326.24</v>
      </c>
      <c r="G277" s="364">
        <v>0.25</v>
      </c>
      <c r="H277" s="359">
        <f t="shared" si="161"/>
        <v>81.56</v>
      </c>
      <c r="I277" s="359">
        <f t="shared" si="111"/>
        <v>24.63</v>
      </c>
      <c r="J277" s="359">
        <f t="shared" si="162"/>
        <v>106.19</v>
      </c>
      <c r="K277" s="363"/>
      <c r="L277" s="359"/>
      <c r="M277" s="359"/>
      <c r="N277" s="359"/>
      <c r="O277" s="359"/>
      <c r="P277" s="359">
        <f t="shared" si="163"/>
        <v>106.19</v>
      </c>
      <c r="Q277" s="359">
        <f t="shared" si="154"/>
        <v>82.3</v>
      </c>
      <c r="R277" s="369">
        <f t="shared" si="160"/>
        <v>100.83</v>
      </c>
      <c r="S277" s="369">
        <f t="shared" si="155"/>
        <v>20.170000000000002</v>
      </c>
      <c r="T277" s="369">
        <f t="shared" si="156"/>
        <v>121</v>
      </c>
      <c r="U277" s="121">
        <v>105</v>
      </c>
      <c r="V277" s="127">
        <f t="shared" si="164"/>
        <v>15.238095238095227</v>
      </c>
      <c r="W277" s="377">
        <v>108</v>
      </c>
      <c r="X277" s="367">
        <f t="shared" si="165"/>
        <v>12.037037037037052</v>
      </c>
      <c r="Y277" s="117">
        <v>108</v>
      </c>
      <c r="Z277" s="368">
        <v>1.123</v>
      </c>
      <c r="AA277" s="152">
        <f t="shared" si="157"/>
        <v>121.28</v>
      </c>
      <c r="AB277" s="157">
        <f t="shared" si="158"/>
        <v>226.19</v>
      </c>
      <c r="AC277" s="170">
        <f t="shared" si="159"/>
        <v>-0.46379999999999999</v>
      </c>
      <c r="AD277" s="366">
        <f t="shared" si="166"/>
        <v>-104.90692199999999</v>
      </c>
      <c r="AF277">
        <v>111.672</v>
      </c>
      <c r="AG277" s="379">
        <v>112</v>
      </c>
      <c r="AH277" s="358">
        <f t="shared" si="167"/>
        <v>9</v>
      </c>
      <c r="AJ277" s="379">
        <v>-3.4000000000000002E-2</v>
      </c>
      <c r="AK277" s="366">
        <f t="shared" si="168"/>
        <v>1.034</v>
      </c>
      <c r="AL277" s="366">
        <v>1.069</v>
      </c>
      <c r="AN277" s="152">
        <f t="shared" si="146"/>
        <v>115.45</v>
      </c>
      <c r="AP277" s="379">
        <v>1.034</v>
      </c>
      <c r="AQ277" s="243">
        <v>-3.4000000000000002E-2</v>
      </c>
      <c r="AR277" s="366">
        <f t="shared" si="169"/>
        <v>8.8999999999999968E-2</v>
      </c>
      <c r="AT277" s="241">
        <f t="shared" si="170"/>
        <v>-0.42979999999999996</v>
      </c>
    </row>
    <row r="278" spans="1:46" x14ac:dyDescent="0.25">
      <c r="A278" s="361" t="s">
        <v>549</v>
      </c>
      <c r="B278" s="361" t="s">
        <v>286</v>
      </c>
      <c r="C278" s="362" t="s">
        <v>103</v>
      </c>
      <c r="D278" s="359" t="s">
        <v>211</v>
      </c>
      <c r="E278" s="373" t="s">
        <v>169</v>
      </c>
      <c r="F278" s="359">
        <f>VLOOKUP(E278,'условия, ФОТ'!$A$14:$I$28,9, FALSE)</f>
        <v>326.24</v>
      </c>
      <c r="G278" s="364">
        <v>0.5</v>
      </c>
      <c r="H278" s="359">
        <f t="shared" si="161"/>
        <v>163.12</v>
      </c>
      <c r="I278" s="359">
        <f t="shared" si="111"/>
        <v>49.26</v>
      </c>
      <c r="J278" s="359">
        <f t="shared" si="162"/>
        <v>212.38</v>
      </c>
      <c r="K278" s="363"/>
      <c r="L278" s="359"/>
      <c r="M278" s="359"/>
      <c r="N278" s="359"/>
      <c r="O278" s="359"/>
      <c r="P278" s="359">
        <f t="shared" si="163"/>
        <v>212.38</v>
      </c>
      <c r="Q278" s="359">
        <f t="shared" si="154"/>
        <v>164.59</v>
      </c>
      <c r="R278" s="369">
        <f t="shared" si="160"/>
        <v>202.5</v>
      </c>
      <c r="S278" s="369">
        <f t="shared" si="155"/>
        <v>40.5</v>
      </c>
      <c r="T278" s="369">
        <f t="shared" si="156"/>
        <v>243</v>
      </c>
      <c r="U278" s="121">
        <v>210</v>
      </c>
      <c r="V278" s="127">
        <f t="shared" si="164"/>
        <v>15.714285714285722</v>
      </c>
      <c r="W278" s="377">
        <v>217</v>
      </c>
      <c r="X278" s="367">
        <f t="shared" si="165"/>
        <v>11.981566820276484</v>
      </c>
      <c r="Y278" s="117">
        <v>217</v>
      </c>
      <c r="Z278" s="368">
        <v>1.1180000000000001</v>
      </c>
      <c r="AA278" s="152">
        <f t="shared" si="157"/>
        <v>242.61</v>
      </c>
      <c r="AB278" s="157">
        <f t="shared" si="158"/>
        <v>452.36</v>
      </c>
      <c r="AC278" s="170">
        <f t="shared" si="159"/>
        <v>-0.4637</v>
      </c>
      <c r="AD278" s="366">
        <f t="shared" si="166"/>
        <v>-209.759332</v>
      </c>
      <c r="AF278">
        <v>224.37800000000001</v>
      </c>
      <c r="AG278" s="379">
        <v>224</v>
      </c>
      <c r="AH278" s="358">
        <f t="shared" si="167"/>
        <v>19</v>
      </c>
      <c r="AJ278" s="379">
        <v>-2.9399999999999999E-2</v>
      </c>
      <c r="AK278" s="366">
        <f t="shared" si="168"/>
        <v>1.0294000000000001</v>
      </c>
      <c r="AL278" s="366">
        <v>1.0640000000000001</v>
      </c>
      <c r="AN278" s="152">
        <f t="shared" si="146"/>
        <v>230.89</v>
      </c>
      <c r="AP278" s="379">
        <v>1.034</v>
      </c>
      <c r="AQ278" s="243">
        <v>-2.9399999999999999E-2</v>
      </c>
      <c r="AR278" s="366">
        <f t="shared" si="169"/>
        <v>8.4000000000000075E-2</v>
      </c>
      <c r="AT278" s="241">
        <f t="shared" si="170"/>
        <v>-0.43430000000000002</v>
      </c>
    </row>
    <row r="279" spans="1:46" x14ac:dyDescent="0.25">
      <c r="A279" s="361" t="s">
        <v>550</v>
      </c>
      <c r="B279" s="361" t="s">
        <v>287</v>
      </c>
      <c r="C279" s="362" t="s">
        <v>104</v>
      </c>
      <c r="D279" s="359" t="s">
        <v>211</v>
      </c>
      <c r="E279" s="373" t="s">
        <v>169</v>
      </c>
      <c r="F279" s="359">
        <f>VLOOKUP(E279,'условия, ФОТ'!$A$14:$I$28,9, FALSE)</f>
        <v>326.24</v>
      </c>
      <c r="G279" s="364">
        <v>0.91</v>
      </c>
      <c r="H279" s="359">
        <f t="shared" si="161"/>
        <v>296.88</v>
      </c>
      <c r="I279" s="359">
        <f t="shared" si="111"/>
        <v>89.66</v>
      </c>
      <c r="J279" s="359">
        <f t="shared" si="162"/>
        <v>386.53999999999996</v>
      </c>
      <c r="K279" s="363"/>
      <c r="L279" s="359"/>
      <c r="M279" s="359"/>
      <c r="N279" s="359"/>
      <c r="O279" s="359"/>
      <c r="P279" s="359">
        <f t="shared" si="163"/>
        <v>386.53999999999996</v>
      </c>
      <c r="Q279" s="359">
        <f t="shared" si="154"/>
        <v>299.57</v>
      </c>
      <c r="R279" s="369">
        <f t="shared" si="160"/>
        <v>368.33</v>
      </c>
      <c r="S279" s="369">
        <f t="shared" si="155"/>
        <v>73.67</v>
      </c>
      <c r="T279" s="369">
        <f t="shared" si="156"/>
        <v>442</v>
      </c>
      <c r="U279" s="121">
        <v>382</v>
      </c>
      <c r="V279" s="127">
        <f t="shared" si="164"/>
        <v>15.706806282722525</v>
      </c>
      <c r="W279" s="377">
        <v>395</v>
      </c>
      <c r="X279" s="367">
        <f t="shared" si="165"/>
        <v>11.898734177215189</v>
      </c>
      <c r="Y279" s="117">
        <v>395</v>
      </c>
      <c r="Z279" s="368">
        <v>1.1180000000000001</v>
      </c>
      <c r="AA279" s="152">
        <f t="shared" si="157"/>
        <v>441.61</v>
      </c>
      <c r="AB279" s="157">
        <f t="shared" si="158"/>
        <v>823.33</v>
      </c>
      <c r="AC279" s="170">
        <f t="shared" si="159"/>
        <v>-0.46360000000000001</v>
      </c>
      <c r="AD279" s="366">
        <f t="shared" si="166"/>
        <v>-381.69578800000005</v>
      </c>
      <c r="AF279">
        <v>408.43</v>
      </c>
      <c r="AG279" s="379">
        <v>408</v>
      </c>
      <c r="AH279" s="358">
        <f t="shared" si="167"/>
        <v>34</v>
      </c>
      <c r="AJ279" s="379">
        <v>-2.92E-2</v>
      </c>
      <c r="AK279" s="366">
        <f t="shared" si="168"/>
        <v>1.0291999999999999</v>
      </c>
      <c r="AL279" s="366">
        <v>1.0640000000000001</v>
      </c>
      <c r="AN279" s="152">
        <f t="shared" si="146"/>
        <v>420.28</v>
      </c>
      <c r="AP279" s="379">
        <v>1.034</v>
      </c>
      <c r="AQ279" s="243">
        <v>-2.92E-2</v>
      </c>
      <c r="AR279" s="366">
        <f t="shared" si="169"/>
        <v>8.4000000000000075E-2</v>
      </c>
      <c r="AT279" s="241">
        <f t="shared" si="170"/>
        <v>-0.43440000000000001</v>
      </c>
    </row>
    <row r="280" spans="1:46" x14ac:dyDescent="0.25">
      <c r="A280" s="361" t="s">
        <v>551</v>
      </c>
      <c r="B280" s="361" t="s">
        <v>288</v>
      </c>
      <c r="C280" s="362" t="s">
        <v>105</v>
      </c>
      <c r="D280" s="359" t="s">
        <v>211</v>
      </c>
      <c r="E280" s="373" t="s">
        <v>169</v>
      </c>
      <c r="F280" s="359">
        <f>VLOOKUP(E280,'условия, ФОТ'!$A$14:$I$28,9, FALSE)</f>
        <v>326.24</v>
      </c>
      <c r="G280" s="364">
        <v>0.72</v>
      </c>
      <c r="H280" s="359">
        <f t="shared" si="161"/>
        <v>234.89</v>
      </c>
      <c r="I280" s="359">
        <f t="shared" si="111"/>
        <v>70.94</v>
      </c>
      <c r="J280" s="359">
        <f t="shared" si="162"/>
        <v>305.83</v>
      </c>
      <c r="K280" s="363"/>
      <c r="L280" s="359"/>
      <c r="M280" s="359"/>
      <c r="N280" s="359"/>
      <c r="O280" s="359"/>
      <c r="P280" s="359">
        <f t="shared" si="163"/>
        <v>305.83</v>
      </c>
      <c r="Q280" s="359">
        <f t="shared" si="154"/>
        <v>237.02</v>
      </c>
      <c r="R280" s="369">
        <f t="shared" si="160"/>
        <v>290.83</v>
      </c>
      <c r="S280" s="369">
        <f t="shared" si="155"/>
        <v>58.17</v>
      </c>
      <c r="T280" s="369">
        <f t="shared" si="156"/>
        <v>349</v>
      </c>
      <c r="U280" s="121">
        <v>303</v>
      </c>
      <c r="V280" s="127">
        <f t="shared" si="164"/>
        <v>15.181518151815183</v>
      </c>
      <c r="W280" s="377">
        <v>312</v>
      </c>
      <c r="X280" s="367">
        <f t="shared" si="165"/>
        <v>11.858974358974365</v>
      </c>
      <c r="Y280" s="117">
        <v>312</v>
      </c>
      <c r="Z280" s="368">
        <v>1.1200000000000001</v>
      </c>
      <c r="AA280" s="152">
        <f t="shared" si="157"/>
        <v>349.44</v>
      </c>
      <c r="AB280" s="157">
        <f t="shared" si="158"/>
        <v>651.41999999999996</v>
      </c>
      <c r="AC280" s="170">
        <f t="shared" si="159"/>
        <v>-0.46360000000000001</v>
      </c>
      <c r="AD280" s="366">
        <f t="shared" si="166"/>
        <v>-301.998312</v>
      </c>
      <c r="AF280">
        <v>322.608</v>
      </c>
      <c r="AG280" s="379">
        <v>323</v>
      </c>
      <c r="AH280" s="358">
        <f t="shared" si="167"/>
        <v>26</v>
      </c>
      <c r="AJ280" s="379">
        <v>-3.09E-2</v>
      </c>
      <c r="AK280" s="366">
        <f t="shared" si="168"/>
        <v>1.0308999999999999</v>
      </c>
      <c r="AL280" s="366">
        <v>1.0660000000000001</v>
      </c>
      <c r="AN280" s="152">
        <f t="shared" si="146"/>
        <v>332.59</v>
      </c>
      <c r="AP280" s="379">
        <v>1.034</v>
      </c>
      <c r="AQ280" s="243">
        <v>-3.09E-2</v>
      </c>
      <c r="AR280" s="366">
        <f t="shared" si="169"/>
        <v>8.6000000000000076E-2</v>
      </c>
      <c r="AT280" s="241">
        <f t="shared" si="170"/>
        <v>-0.43270000000000003</v>
      </c>
    </row>
    <row r="281" spans="1:46" ht="25.5" x14ac:dyDescent="0.25">
      <c r="A281" s="361" t="s">
        <v>552</v>
      </c>
      <c r="B281" s="361" t="s">
        <v>289</v>
      </c>
      <c r="C281" s="362" t="s">
        <v>106</v>
      </c>
      <c r="D281" s="359" t="s">
        <v>211</v>
      </c>
      <c r="E281" s="373" t="s">
        <v>169</v>
      </c>
      <c r="F281" s="359">
        <f>VLOOKUP(E281,'условия, ФОТ'!$A$14:$I$28,9, FALSE)</f>
        <v>326.24</v>
      </c>
      <c r="G281" s="364">
        <v>0.42</v>
      </c>
      <c r="H281" s="359">
        <f t="shared" si="161"/>
        <v>137.02000000000001</v>
      </c>
      <c r="I281" s="359">
        <f t="shared" si="111"/>
        <v>41.38</v>
      </c>
      <c r="J281" s="359">
        <f t="shared" si="162"/>
        <v>178.4</v>
      </c>
      <c r="K281" s="363"/>
      <c r="L281" s="359"/>
      <c r="M281" s="359"/>
      <c r="N281" s="359"/>
      <c r="O281" s="359"/>
      <c r="P281" s="359">
        <f t="shared" si="163"/>
        <v>178.4</v>
      </c>
      <c r="Q281" s="359">
        <f t="shared" si="154"/>
        <v>138.26</v>
      </c>
      <c r="R281" s="369">
        <f t="shared" si="160"/>
        <v>170</v>
      </c>
      <c r="S281" s="369">
        <f t="shared" si="155"/>
        <v>34</v>
      </c>
      <c r="T281" s="369">
        <f t="shared" si="156"/>
        <v>204</v>
      </c>
      <c r="U281" s="121">
        <v>177</v>
      </c>
      <c r="V281" s="127">
        <f t="shared" si="164"/>
        <v>15.254237288135599</v>
      </c>
      <c r="W281" s="377">
        <v>182</v>
      </c>
      <c r="X281" s="367">
        <f t="shared" si="165"/>
        <v>12.087912087912088</v>
      </c>
      <c r="Y281" s="117">
        <v>182</v>
      </c>
      <c r="Z281" s="368">
        <v>1.1200000000000001</v>
      </c>
      <c r="AA281" s="152">
        <f t="shared" si="157"/>
        <v>203.84</v>
      </c>
      <c r="AB281" s="157">
        <f t="shared" si="158"/>
        <v>379.99</v>
      </c>
      <c r="AC281" s="170">
        <f t="shared" si="159"/>
        <v>-0.46360000000000001</v>
      </c>
      <c r="AD281" s="366">
        <f t="shared" si="166"/>
        <v>-176.163364</v>
      </c>
      <c r="AF281">
        <v>188.18800000000002</v>
      </c>
      <c r="AG281" s="379">
        <v>188</v>
      </c>
      <c r="AH281" s="358">
        <f t="shared" si="167"/>
        <v>16</v>
      </c>
      <c r="AJ281" s="379">
        <v>-3.0800000000000001E-2</v>
      </c>
      <c r="AK281" s="366">
        <f t="shared" si="168"/>
        <v>1.0307999999999999</v>
      </c>
      <c r="AL281" s="366">
        <v>1.0660000000000001</v>
      </c>
      <c r="AN281" s="152">
        <f t="shared" si="146"/>
        <v>194.01</v>
      </c>
      <c r="AP281" s="379">
        <v>1.034</v>
      </c>
      <c r="AQ281" s="243">
        <v>-3.0800000000000001E-2</v>
      </c>
      <c r="AR281" s="366">
        <f t="shared" si="169"/>
        <v>8.6000000000000076E-2</v>
      </c>
      <c r="AT281" s="241">
        <f t="shared" si="170"/>
        <v>-0.43280000000000002</v>
      </c>
    </row>
    <row r="282" spans="1:46" x14ac:dyDescent="0.25">
      <c r="A282" s="361" t="s">
        <v>553</v>
      </c>
      <c r="B282" s="361" t="s">
        <v>290</v>
      </c>
      <c r="C282" s="362" t="s">
        <v>107</v>
      </c>
      <c r="D282" s="359" t="s">
        <v>211</v>
      </c>
      <c r="E282" s="373" t="s">
        <v>169</v>
      </c>
      <c r="F282" s="359">
        <f>VLOOKUP(E282,'условия, ФОТ'!$A$14:$I$28,9, FALSE)</f>
        <v>326.24</v>
      </c>
      <c r="G282" s="364">
        <v>2</v>
      </c>
      <c r="H282" s="359">
        <f t="shared" si="161"/>
        <v>652.48</v>
      </c>
      <c r="I282" s="359">
        <f t="shared" si="111"/>
        <v>197.05</v>
      </c>
      <c r="J282" s="359">
        <f t="shared" si="162"/>
        <v>849.53</v>
      </c>
      <c r="K282" s="363"/>
      <c r="L282" s="359"/>
      <c r="M282" s="359"/>
      <c r="N282" s="359"/>
      <c r="O282" s="359"/>
      <c r="P282" s="359">
        <f t="shared" si="163"/>
        <v>849.53</v>
      </c>
      <c r="Q282" s="359">
        <f t="shared" si="154"/>
        <v>658.39</v>
      </c>
      <c r="R282" s="369">
        <f t="shared" si="160"/>
        <v>808.33</v>
      </c>
      <c r="S282" s="369">
        <f t="shared" si="155"/>
        <v>161.66999999999999</v>
      </c>
      <c r="T282" s="369">
        <f t="shared" si="156"/>
        <v>970</v>
      </c>
      <c r="U282" s="121">
        <v>841</v>
      </c>
      <c r="V282" s="127">
        <f t="shared" si="164"/>
        <v>15.338882282996423</v>
      </c>
      <c r="W282" s="377">
        <v>867</v>
      </c>
      <c r="X282" s="367">
        <f t="shared" si="165"/>
        <v>11.880046136101498</v>
      </c>
      <c r="Y282" s="117">
        <v>867</v>
      </c>
      <c r="Z282" s="368">
        <v>1.119</v>
      </c>
      <c r="AA282" s="152">
        <f t="shared" si="157"/>
        <v>970.17</v>
      </c>
      <c r="AB282" s="157">
        <f t="shared" si="158"/>
        <v>1809.5</v>
      </c>
      <c r="AC282" s="170">
        <f t="shared" si="159"/>
        <v>-0.46379999999999999</v>
      </c>
      <c r="AD282" s="366">
        <f t="shared" si="166"/>
        <v>-839.24609999999996</v>
      </c>
      <c r="AF282">
        <v>896.47800000000007</v>
      </c>
      <c r="AG282" s="379">
        <v>896</v>
      </c>
      <c r="AH282" s="358">
        <f t="shared" si="167"/>
        <v>74</v>
      </c>
      <c r="AJ282" s="379">
        <v>-3.0499999999999999E-2</v>
      </c>
      <c r="AK282" s="366">
        <f t="shared" si="168"/>
        <v>1.0305</v>
      </c>
      <c r="AL282" s="366">
        <v>1.0660000000000001</v>
      </c>
      <c r="AN282" s="152">
        <f t="shared" ref="AN282:AN340" si="171">ROUND(W282*AL282,2)</f>
        <v>924.22</v>
      </c>
      <c r="AP282" s="379">
        <v>1.034</v>
      </c>
      <c r="AQ282" s="243">
        <v>-3.0499999999999999E-2</v>
      </c>
      <c r="AR282" s="366">
        <f t="shared" si="169"/>
        <v>8.4999999999999964E-2</v>
      </c>
      <c r="AT282" s="241">
        <f t="shared" si="170"/>
        <v>-0.43330000000000002</v>
      </c>
    </row>
    <row r="283" spans="1:46" x14ac:dyDescent="0.25">
      <c r="A283" s="361" t="s">
        <v>554</v>
      </c>
      <c r="B283" s="361" t="s">
        <v>291</v>
      </c>
      <c r="C283" s="362" t="s">
        <v>108</v>
      </c>
      <c r="D283" s="359" t="s">
        <v>211</v>
      </c>
      <c r="E283" s="373" t="s">
        <v>169</v>
      </c>
      <c r="F283" s="359">
        <f>VLOOKUP(E283,'условия, ФОТ'!$A$14:$I$28,9, FALSE)</f>
        <v>326.24</v>
      </c>
      <c r="G283" s="364">
        <v>0.35</v>
      </c>
      <c r="H283" s="359">
        <f t="shared" si="161"/>
        <v>114.18</v>
      </c>
      <c r="I283" s="359">
        <f t="shared" si="111"/>
        <v>34.479999999999997</v>
      </c>
      <c r="J283" s="359">
        <f t="shared" si="162"/>
        <v>148.66</v>
      </c>
      <c r="K283" s="363"/>
      <c r="L283" s="359"/>
      <c r="M283" s="359"/>
      <c r="N283" s="359"/>
      <c r="O283" s="359"/>
      <c r="P283" s="359">
        <f t="shared" si="163"/>
        <v>148.66</v>
      </c>
      <c r="Q283" s="359">
        <f t="shared" si="154"/>
        <v>115.21</v>
      </c>
      <c r="R283" s="369">
        <f t="shared" si="160"/>
        <v>141.66999999999999</v>
      </c>
      <c r="S283" s="369">
        <f t="shared" si="155"/>
        <v>28.33</v>
      </c>
      <c r="T283" s="369">
        <f t="shared" si="156"/>
        <v>170</v>
      </c>
      <c r="U283" s="121">
        <v>147</v>
      </c>
      <c r="V283" s="127">
        <f t="shared" si="164"/>
        <v>15.646258503401356</v>
      </c>
      <c r="W283" s="377">
        <v>152</v>
      </c>
      <c r="X283" s="367">
        <f t="shared" si="165"/>
        <v>11.842105263157904</v>
      </c>
      <c r="Y283" s="117">
        <v>152</v>
      </c>
      <c r="Z283" s="368">
        <v>1.117</v>
      </c>
      <c r="AA283" s="152">
        <f t="shared" si="157"/>
        <v>169.78</v>
      </c>
      <c r="AB283" s="157">
        <f t="shared" si="158"/>
        <v>316.64</v>
      </c>
      <c r="AC283" s="170">
        <f t="shared" si="159"/>
        <v>-0.46379999999999999</v>
      </c>
      <c r="AD283" s="366">
        <f t="shared" si="166"/>
        <v>-146.857632</v>
      </c>
      <c r="AF283">
        <v>157.16800000000001</v>
      </c>
      <c r="AG283" s="379">
        <v>157</v>
      </c>
      <c r="AH283" s="358">
        <f t="shared" si="167"/>
        <v>13</v>
      </c>
      <c r="AJ283" s="379">
        <v>-2.87E-2</v>
      </c>
      <c r="AK283" s="366">
        <f t="shared" si="168"/>
        <v>1.0286999999999999</v>
      </c>
      <c r="AL283" s="366">
        <v>1.0640000000000001</v>
      </c>
      <c r="AN283" s="152">
        <f t="shared" si="171"/>
        <v>161.72999999999999</v>
      </c>
      <c r="AP283" s="379">
        <v>1.034</v>
      </c>
      <c r="AQ283" s="243">
        <v>-2.87E-2</v>
      </c>
      <c r="AR283" s="366">
        <f t="shared" si="169"/>
        <v>8.2999999999999963E-2</v>
      </c>
      <c r="AT283" s="241">
        <f t="shared" si="170"/>
        <v>-0.43509999999999999</v>
      </c>
    </row>
    <row r="284" spans="1:46" x14ac:dyDescent="0.25">
      <c r="A284" s="361" t="s">
        <v>555</v>
      </c>
      <c r="B284" s="361" t="s">
        <v>292</v>
      </c>
      <c r="C284" s="362" t="s">
        <v>109</v>
      </c>
      <c r="D284" s="359" t="s">
        <v>211</v>
      </c>
      <c r="E284" s="373" t="s">
        <v>169</v>
      </c>
      <c r="F284" s="359">
        <f>VLOOKUP(E284,'условия, ФОТ'!$A$14:$I$28,9, FALSE)</f>
        <v>326.24</v>
      </c>
      <c r="G284" s="364">
        <v>0.65</v>
      </c>
      <c r="H284" s="359">
        <f t="shared" si="161"/>
        <v>212.06</v>
      </c>
      <c r="I284" s="359">
        <f t="shared" si="111"/>
        <v>64.040000000000006</v>
      </c>
      <c r="J284" s="359">
        <f t="shared" si="162"/>
        <v>276.10000000000002</v>
      </c>
      <c r="K284" s="363"/>
      <c r="L284" s="359"/>
      <c r="M284" s="359"/>
      <c r="N284" s="359"/>
      <c r="O284" s="359"/>
      <c r="P284" s="359">
        <f t="shared" si="163"/>
        <v>276.10000000000002</v>
      </c>
      <c r="Q284" s="359">
        <f t="shared" si="154"/>
        <v>213.98</v>
      </c>
      <c r="R284" s="369">
        <f t="shared" si="160"/>
        <v>263.33</v>
      </c>
      <c r="S284" s="369">
        <f t="shared" si="155"/>
        <v>52.67</v>
      </c>
      <c r="T284" s="369">
        <f t="shared" si="156"/>
        <v>316</v>
      </c>
      <c r="U284" s="121">
        <v>273</v>
      </c>
      <c r="V284" s="127">
        <f t="shared" si="164"/>
        <v>15.750915750915766</v>
      </c>
      <c r="W284" s="377">
        <v>282</v>
      </c>
      <c r="X284" s="367">
        <f t="shared" si="165"/>
        <v>12.056737588652481</v>
      </c>
      <c r="Y284" s="117">
        <v>282</v>
      </c>
      <c r="Z284" s="368">
        <v>1.119</v>
      </c>
      <c r="AA284" s="152">
        <f t="shared" si="157"/>
        <v>315.56</v>
      </c>
      <c r="AB284" s="157">
        <f t="shared" si="158"/>
        <v>588.1</v>
      </c>
      <c r="AC284" s="170">
        <f t="shared" si="159"/>
        <v>-0.46339999999999998</v>
      </c>
      <c r="AD284" s="366">
        <f t="shared" si="166"/>
        <v>-272.52553999999998</v>
      </c>
      <c r="AF284">
        <v>291.58800000000002</v>
      </c>
      <c r="AG284" s="379">
        <v>292</v>
      </c>
      <c r="AH284" s="358">
        <f t="shared" si="167"/>
        <v>24</v>
      </c>
      <c r="AJ284" s="379">
        <v>-2.9700000000000001E-2</v>
      </c>
      <c r="AK284" s="366">
        <f t="shared" si="168"/>
        <v>1.0297000000000001</v>
      </c>
      <c r="AL284" s="366">
        <v>1.0649999999999999</v>
      </c>
      <c r="AN284" s="152">
        <f t="shared" si="171"/>
        <v>300.33</v>
      </c>
      <c r="AP284" s="379">
        <v>1.034</v>
      </c>
      <c r="AQ284" s="243">
        <v>-2.9700000000000001E-2</v>
      </c>
      <c r="AR284" s="366">
        <f t="shared" si="169"/>
        <v>8.4999999999999964E-2</v>
      </c>
      <c r="AT284" s="241">
        <f t="shared" si="170"/>
        <v>-0.43369999999999997</v>
      </c>
    </row>
    <row r="285" spans="1:46" x14ac:dyDescent="0.25">
      <c r="A285" s="361" t="s">
        <v>556</v>
      </c>
      <c r="B285" s="361" t="s">
        <v>293</v>
      </c>
      <c r="C285" s="362" t="s">
        <v>110</v>
      </c>
      <c r="D285" s="359" t="s">
        <v>211</v>
      </c>
      <c r="E285" s="373" t="s">
        <v>169</v>
      </c>
      <c r="F285" s="359">
        <f>VLOOKUP(E285,'условия, ФОТ'!$A$14:$I$28,9, FALSE)</f>
        <v>326.24</v>
      </c>
      <c r="G285" s="364">
        <v>1</v>
      </c>
      <c r="H285" s="359">
        <f t="shared" si="161"/>
        <v>326.24</v>
      </c>
      <c r="I285" s="359">
        <f t="shared" si="111"/>
        <v>98.52</v>
      </c>
      <c r="J285" s="359">
        <f t="shared" si="162"/>
        <v>424.76</v>
      </c>
      <c r="K285" s="363"/>
      <c r="L285" s="359"/>
      <c r="M285" s="359"/>
      <c r="N285" s="359"/>
      <c r="O285" s="359"/>
      <c r="P285" s="359">
        <f t="shared" si="163"/>
        <v>424.76</v>
      </c>
      <c r="Q285" s="359">
        <f t="shared" si="154"/>
        <v>329.19</v>
      </c>
      <c r="R285" s="369">
        <f t="shared" si="160"/>
        <v>404.17</v>
      </c>
      <c r="S285" s="369">
        <f t="shared" si="155"/>
        <v>80.83</v>
      </c>
      <c r="T285" s="369">
        <f t="shared" si="156"/>
        <v>485</v>
      </c>
      <c r="U285" s="121">
        <v>420</v>
      </c>
      <c r="V285" s="127">
        <f t="shared" si="164"/>
        <v>15.476190476190467</v>
      </c>
      <c r="W285" s="377">
        <v>434</v>
      </c>
      <c r="X285" s="367">
        <f t="shared" si="165"/>
        <v>11.751152073732712</v>
      </c>
      <c r="Y285" s="117">
        <v>434</v>
      </c>
      <c r="Z285" s="368">
        <v>1.1180000000000001</v>
      </c>
      <c r="AA285" s="152">
        <f t="shared" si="157"/>
        <v>485.21</v>
      </c>
      <c r="AB285" s="157">
        <f t="shared" si="158"/>
        <v>904.74</v>
      </c>
      <c r="AC285" s="170">
        <f t="shared" si="159"/>
        <v>-0.4637</v>
      </c>
      <c r="AD285" s="366">
        <f t="shared" si="166"/>
        <v>-419.52793800000001</v>
      </c>
      <c r="AF285">
        <v>448.75600000000003</v>
      </c>
      <c r="AG285" s="379">
        <v>449</v>
      </c>
      <c r="AH285" s="358">
        <f t="shared" si="167"/>
        <v>36</v>
      </c>
      <c r="AJ285" s="379">
        <v>-2.9399999999999999E-2</v>
      </c>
      <c r="AK285" s="366">
        <f t="shared" si="168"/>
        <v>1.0294000000000001</v>
      </c>
      <c r="AL285" s="366">
        <v>1.0640000000000001</v>
      </c>
      <c r="AN285" s="152">
        <f t="shared" si="171"/>
        <v>461.78</v>
      </c>
      <c r="AP285" s="379">
        <v>1.034</v>
      </c>
      <c r="AQ285" s="243">
        <v>-2.9399999999999999E-2</v>
      </c>
      <c r="AR285" s="366">
        <f t="shared" si="169"/>
        <v>8.4000000000000075E-2</v>
      </c>
      <c r="AT285" s="241">
        <f t="shared" si="170"/>
        <v>-0.43430000000000002</v>
      </c>
    </row>
    <row r="286" spans="1:46" x14ac:dyDescent="0.25">
      <c r="A286" s="361" t="s">
        <v>557</v>
      </c>
      <c r="B286" s="361" t="s">
        <v>294</v>
      </c>
      <c r="C286" s="362" t="s">
        <v>111</v>
      </c>
      <c r="D286" s="359" t="s">
        <v>211</v>
      </c>
      <c r="E286" s="373" t="s">
        <v>169</v>
      </c>
      <c r="F286" s="359">
        <f>VLOOKUP(E286,'условия, ФОТ'!$A$14:$I$28,9, FALSE)</f>
        <v>326.24</v>
      </c>
      <c r="G286" s="364">
        <v>0.66</v>
      </c>
      <c r="H286" s="359">
        <f t="shared" si="161"/>
        <v>215.32</v>
      </c>
      <c r="I286" s="359">
        <f t="shared" si="111"/>
        <v>65.03</v>
      </c>
      <c r="J286" s="359">
        <f t="shared" si="162"/>
        <v>280.35000000000002</v>
      </c>
      <c r="K286" s="363"/>
      <c r="L286" s="359"/>
      <c r="M286" s="359"/>
      <c r="N286" s="359"/>
      <c r="O286" s="359"/>
      <c r="P286" s="359">
        <f t="shared" si="163"/>
        <v>280.35000000000002</v>
      </c>
      <c r="Q286" s="359">
        <f t="shared" si="154"/>
        <v>217.27</v>
      </c>
      <c r="R286" s="369">
        <f t="shared" si="160"/>
        <v>266.67</v>
      </c>
      <c r="S286" s="369">
        <f t="shared" si="155"/>
        <v>53.33</v>
      </c>
      <c r="T286" s="369">
        <f t="shared" si="156"/>
        <v>320</v>
      </c>
      <c r="U286" s="121">
        <v>277</v>
      </c>
      <c r="V286" s="127">
        <f t="shared" si="164"/>
        <v>15.523465703971112</v>
      </c>
      <c r="W286" s="377">
        <v>286</v>
      </c>
      <c r="X286" s="367">
        <f t="shared" si="165"/>
        <v>11.888111888111894</v>
      </c>
      <c r="Y286" s="117">
        <v>286</v>
      </c>
      <c r="Z286" s="368">
        <v>1.1200000000000001</v>
      </c>
      <c r="AA286" s="152">
        <f t="shared" si="157"/>
        <v>320.32</v>
      </c>
      <c r="AB286" s="157">
        <f t="shared" si="158"/>
        <v>597.14</v>
      </c>
      <c r="AC286" s="170">
        <f t="shared" si="159"/>
        <v>-0.46360000000000001</v>
      </c>
      <c r="AD286" s="366">
        <f t="shared" si="166"/>
        <v>-276.83410400000002</v>
      </c>
      <c r="AF286">
        <v>295.72399999999999</v>
      </c>
      <c r="AG286" s="379">
        <v>296</v>
      </c>
      <c r="AH286" s="358">
        <f t="shared" si="167"/>
        <v>24</v>
      </c>
      <c r="AJ286" s="379">
        <v>-3.0800000000000001E-2</v>
      </c>
      <c r="AK286" s="366">
        <f t="shared" si="168"/>
        <v>1.0307999999999999</v>
      </c>
      <c r="AL286" s="366">
        <v>1.0660000000000001</v>
      </c>
      <c r="AN286" s="152">
        <f t="shared" si="171"/>
        <v>304.88</v>
      </c>
      <c r="AP286" s="379">
        <v>1.034</v>
      </c>
      <c r="AQ286" s="243">
        <v>-3.0800000000000001E-2</v>
      </c>
      <c r="AR286" s="366">
        <f t="shared" si="169"/>
        <v>8.6000000000000076E-2</v>
      </c>
      <c r="AT286" s="241">
        <f t="shared" si="170"/>
        <v>-0.43280000000000002</v>
      </c>
    </row>
    <row r="287" spans="1:46" x14ac:dyDescent="0.25">
      <c r="A287" s="361" t="s">
        <v>558</v>
      </c>
      <c r="B287" s="361" t="s">
        <v>35</v>
      </c>
      <c r="C287" s="362" t="s">
        <v>112</v>
      </c>
      <c r="D287" s="359" t="s">
        <v>211</v>
      </c>
      <c r="E287" s="373" t="s">
        <v>169</v>
      </c>
      <c r="F287" s="359">
        <f>VLOOKUP(E287,'условия, ФОТ'!$A$14:$I$28,9, FALSE)</f>
        <v>326.24</v>
      </c>
      <c r="G287" s="364">
        <v>0.1</v>
      </c>
      <c r="H287" s="359">
        <f t="shared" si="161"/>
        <v>32.619999999999997</v>
      </c>
      <c r="I287" s="359">
        <f t="shared" si="111"/>
        <v>9.85</v>
      </c>
      <c r="J287" s="359">
        <f t="shared" si="162"/>
        <v>42.47</v>
      </c>
      <c r="K287" s="363"/>
      <c r="L287" s="359"/>
      <c r="M287" s="359"/>
      <c r="N287" s="359"/>
      <c r="O287" s="359"/>
      <c r="P287" s="359">
        <f t="shared" si="163"/>
        <v>42.47</v>
      </c>
      <c r="Q287" s="359">
        <f t="shared" si="154"/>
        <v>32.909999999999997</v>
      </c>
      <c r="R287" s="369">
        <f t="shared" si="160"/>
        <v>40</v>
      </c>
      <c r="S287" s="369">
        <f>ROUND(R287*$S$5,2)</f>
        <v>8</v>
      </c>
      <c r="T287" s="369">
        <f t="shared" si="156"/>
        <v>48</v>
      </c>
      <c r="U287" s="121">
        <v>42</v>
      </c>
      <c r="V287" s="127">
        <f t="shared" si="164"/>
        <v>14.285714285714278</v>
      </c>
      <c r="W287" s="377">
        <v>43</v>
      </c>
      <c r="X287" s="367">
        <f t="shared" si="165"/>
        <v>11.627906976744185</v>
      </c>
      <c r="Y287" s="117">
        <v>43</v>
      </c>
      <c r="Z287" s="368">
        <v>1.1279999999999999</v>
      </c>
      <c r="AA287" s="152">
        <f t="shared" si="157"/>
        <v>48.5</v>
      </c>
      <c r="AB287" s="157">
        <f t="shared" si="158"/>
        <v>90.46</v>
      </c>
      <c r="AC287" s="170">
        <f t="shared" si="159"/>
        <v>-0.46389999999999998</v>
      </c>
      <c r="AD287" s="366">
        <f t="shared" si="166"/>
        <v>-41.964393999999999</v>
      </c>
      <c r="AF287">
        <v>44.462000000000003</v>
      </c>
      <c r="AG287" s="379">
        <v>44</v>
      </c>
      <c r="AH287" s="358">
        <f t="shared" si="167"/>
        <v>4</v>
      </c>
      <c r="AJ287" s="379">
        <v>-3.8100000000000002E-2</v>
      </c>
      <c r="AK287" s="366">
        <f t="shared" si="168"/>
        <v>1.0381</v>
      </c>
      <c r="AL287" s="366">
        <v>1.073</v>
      </c>
      <c r="AN287" s="152">
        <f t="shared" si="171"/>
        <v>46.14</v>
      </c>
      <c r="AP287" s="379">
        <v>1.034</v>
      </c>
      <c r="AQ287" s="243">
        <v>-3.8100000000000002E-2</v>
      </c>
      <c r="AR287" s="366">
        <f t="shared" si="169"/>
        <v>9.3999999999999861E-2</v>
      </c>
      <c r="AT287" s="241">
        <f t="shared" si="170"/>
        <v>-0.42579999999999996</v>
      </c>
    </row>
    <row r="288" spans="1:46" x14ac:dyDescent="0.25">
      <c r="A288" s="361" t="s">
        <v>559</v>
      </c>
      <c r="B288" s="361" t="s">
        <v>35</v>
      </c>
      <c r="C288" s="362" t="s">
        <v>113</v>
      </c>
      <c r="D288" s="359" t="s">
        <v>211</v>
      </c>
      <c r="E288" s="373" t="s">
        <v>297</v>
      </c>
      <c r="F288" s="359">
        <f>VLOOKUP(E288,'условия, ФОТ'!$A$14:$I$28,9, FALSE)</f>
        <v>356.43</v>
      </c>
      <c r="G288" s="364">
        <v>0.25</v>
      </c>
      <c r="H288" s="359">
        <f t="shared" si="161"/>
        <v>89.11</v>
      </c>
      <c r="I288" s="359">
        <f t="shared" si="111"/>
        <v>26.91</v>
      </c>
      <c r="J288" s="359">
        <f t="shared" si="162"/>
        <v>116.02</v>
      </c>
      <c r="K288" s="363"/>
      <c r="L288" s="359"/>
      <c r="M288" s="359"/>
      <c r="N288" s="359"/>
      <c r="O288" s="359"/>
      <c r="P288" s="359">
        <f t="shared" si="163"/>
        <v>116.02</v>
      </c>
      <c r="Q288" s="359">
        <f t="shared" si="154"/>
        <v>89.92</v>
      </c>
      <c r="R288" s="369">
        <f t="shared" si="160"/>
        <v>105.83</v>
      </c>
      <c r="S288" s="369">
        <f t="shared" si="155"/>
        <v>21.17</v>
      </c>
      <c r="T288" s="369">
        <f t="shared" si="156"/>
        <v>127</v>
      </c>
      <c r="U288" s="121">
        <v>119</v>
      </c>
      <c r="V288" s="127">
        <f t="shared" si="164"/>
        <v>6.7226890756302566</v>
      </c>
      <c r="W288" s="377">
        <v>123</v>
      </c>
      <c r="X288" s="367">
        <f t="shared" si="165"/>
        <v>3.2520325203252014</v>
      </c>
      <c r="Y288" s="117">
        <v>123</v>
      </c>
      <c r="Z288" s="356">
        <v>1.034</v>
      </c>
      <c r="AA288" s="152">
        <f t="shared" si="157"/>
        <v>127.18</v>
      </c>
      <c r="AB288" s="157">
        <f t="shared" si="158"/>
        <v>247.13</v>
      </c>
      <c r="AC288" s="170">
        <f t="shared" si="159"/>
        <v>-0.4854</v>
      </c>
      <c r="AD288" s="366">
        <f t="shared" si="166"/>
        <v>-119.956902</v>
      </c>
      <c r="AF288">
        <v>127.182</v>
      </c>
      <c r="AG288" s="379">
        <v>127</v>
      </c>
      <c r="AH288" s="358">
        <f t="shared" si="167"/>
        <v>0</v>
      </c>
      <c r="AJ288" s="379">
        <v>0.1002</v>
      </c>
      <c r="AK288" s="366">
        <f t="shared" si="168"/>
        <v>0.1002</v>
      </c>
      <c r="AL288" s="366">
        <v>0</v>
      </c>
      <c r="AN288" s="152"/>
      <c r="AP288" s="379">
        <v>1.034</v>
      </c>
      <c r="AQ288" s="243">
        <v>0.1002</v>
      </c>
      <c r="AR288" s="366">
        <f t="shared" si="169"/>
        <v>0</v>
      </c>
      <c r="AT288" s="241">
        <f t="shared" si="170"/>
        <v>-0.58560000000000001</v>
      </c>
    </row>
    <row r="289" spans="1:46" x14ac:dyDescent="0.25">
      <c r="A289" s="361" t="s">
        <v>560</v>
      </c>
      <c r="B289" s="361" t="s">
        <v>35</v>
      </c>
      <c r="C289" s="362" t="s">
        <v>114</v>
      </c>
      <c r="D289" s="359" t="s">
        <v>211</v>
      </c>
      <c r="E289" s="373" t="s">
        <v>297</v>
      </c>
      <c r="F289" s="359">
        <f>VLOOKUP(E289,'условия, ФОТ'!$A$14:$I$28,9, FALSE)</f>
        <v>356.43</v>
      </c>
      <c r="G289" s="364">
        <v>0.25</v>
      </c>
      <c r="H289" s="359">
        <f t="shared" si="161"/>
        <v>89.11</v>
      </c>
      <c r="I289" s="359">
        <f t="shared" si="111"/>
        <v>26.91</v>
      </c>
      <c r="J289" s="359">
        <f t="shared" si="162"/>
        <v>116.02</v>
      </c>
      <c r="K289" s="363"/>
      <c r="L289" s="359"/>
      <c r="M289" s="359"/>
      <c r="N289" s="359"/>
      <c r="O289" s="359"/>
      <c r="P289" s="359">
        <f t="shared" si="163"/>
        <v>116.02</v>
      </c>
      <c r="Q289" s="359">
        <f t="shared" si="154"/>
        <v>89.92</v>
      </c>
      <c r="R289" s="369">
        <f t="shared" si="160"/>
        <v>105.83</v>
      </c>
      <c r="S289" s="369">
        <f t="shared" si="155"/>
        <v>21.17</v>
      </c>
      <c r="T289" s="369">
        <f t="shared" si="156"/>
        <v>127</v>
      </c>
      <c r="U289" s="121">
        <v>119</v>
      </c>
      <c r="V289" s="127">
        <f t="shared" si="164"/>
        <v>6.7226890756302566</v>
      </c>
      <c r="W289" s="377">
        <v>123</v>
      </c>
      <c r="X289" s="367">
        <f t="shared" si="165"/>
        <v>3.2520325203252014</v>
      </c>
      <c r="Y289" s="117">
        <v>123</v>
      </c>
      <c r="Z289" s="356">
        <v>1.034</v>
      </c>
      <c r="AA289" s="152">
        <f t="shared" si="157"/>
        <v>127.18</v>
      </c>
      <c r="AB289" s="157">
        <f t="shared" si="158"/>
        <v>247.13</v>
      </c>
      <c r="AC289" s="170">
        <f t="shared" si="159"/>
        <v>-0.4854</v>
      </c>
      <c r="AD289" s="366">
        <f t="shared" si="166"/>
        <v>-119.956902</v>
      </c>
      <c r="AF289">
        <v>127.182</v>
      </c>
      <c r="AG289" s="379">
        <v>127</v>
      </c>
      <c r="AH289" s="358">
        <f t="shared" si="167"/>
        <v>0</v>
      </c>
      <c r="AJ289" s="379">
        <v>0.1002</v>
      </c>
      <c r="AK289" s="366">
        <f t="shared" si="168"/>
        <v>0.1002</v>
      </c>
      <c r="AL289" s="366">
        <v>0</v>
      </c>
      <c r="AN289" s="152"/>
      <c r="AP289" s="379">
        <v>1.034</v>
      </c>
      <c r="AQ289" s="243">
        <v>0.1002</v>
      </c>
      <c r="AR289" s="366">
        <f t="shared" si="169"/>
        <v>0</v>
      </c>
      <c r="AT289" s="241">
        <f t="shared" si="170"/>
        <v>-0.58560000000000001</v>
      </c>
    </row>
    <row r="290" spans="1:46" ht="25.5" x14ac:dyDescent="0.25">
      <c r="A290" s="361" t="s">
        <v>561</v>
      </c>
      <c r="B290" s="361" t="s">
        <v>35</v>
      </c>
      <c r="C290" s="362" t="s">
        <v>115</v>
      </c>
      <c r="D290" s="359" t="s">
        <v>211</v>
      </c>
      <c r="E290" s="373" t="s">
        <v>297</v>
      </c>
      <c r="F290" s="359">
        <f>VLOOKUP(E290,'условия, ФОТ'!$A$14:$I$28,9, FALSE)</f>
        <v>356.43</v>
      </c>
      <c r="G290" s="364">
        <v>0.33</v>
      </c>
      <c r="H290" s="359">
        <f t="shared" si="161"/>
        <v>117.62</v>
      </c>
      <c r="I290" s="359">
        <f t="shared" si="111"/>
        <v>35.520000000000003</v>
      </c>
      <c r="J290" s="359">
        <f t="shared" si="162"/>
        <v>153.14000000000001</v>
      </c>
      <c r="K290" s="363"/>
      <c r="L290" s="359"/>
      <c r="M290" s="359"/>
      <c r="N290" s="359"/>
      <c r="O290" s="359"/>
      <c r="P290" s="359">
        <f t="shared" si="163"/>
        <v>153.14000000000001</v>
      </c>
      <c r="Q290" s="359">
        <f t="shared" si="154"/>
        <v>118.68</v>
      </c>
      <c r="R290" s="369">
        <f t="shared" si="160"/>
        <v>140</v>
      </c>
      <c r="S290" s="369">
        <f t="shared" si="155"/>
        <v>28</v>
      </c>
      <c r="T290" s="369">
        <f t="shared" si="156"/>
        <v>168</v>
      </c>
      <c r="U290" s="121">
        <v>157</v>
      </c>
      <c r="V290" s="127">
        <f t="shared" si="164"/>
        <v>7.0063694267515899</v>
      </c>
      <c r="W290" s="377">
        <v>162</v>
      </c>
      <c r="X290" s="367">
        <f t="shared" si="165"/>
        <v>3.7037037037036953</v>
      </c>
      <c r="Y290" s="117">
        <v>162</v>
      </c>
      <c r="Z290" s="356">
        <v>1.034</v>
      </c>
      <c r="AA290" s="152">
        <f t="shared" si="157"/>
        <v>167.51</v>
      </c>
      <c r="AB290" s="157">
        <f t="shared" si="158"/>
        <v>326.18</v>
      </c>
      <c r="AC290" s="170">
        <f t="shared" si="159"/>
        <v>-0.4864</v>
      </c>
      <c r="AD290" s="366">
        <f t="shared" si="166"/>
        <v>-158.653952</v>
      </c>
      <c r="AF290">
        <v>167.50800000000001</v>
      </c>
      <c r="AG290" s="379">
        <v>168</v>
      </c>
      <c r="AH290" s="358">
        <f t="shared" si="167"/>
        <v>0</v>
      </c>
      <c r="AJ290" s="379">
        <v>9.7900000000000001E-2</v>
      </c>
      <c r="AK290" s="366">
        <f t="shared" si="168"/>
        <v>9.7900000000000001E-2</v>
      </c>
      <c r="AL290" s="366">
        <v>0</v>
      </c>
      <c r="AN290" s="152"/>
      <c r="AP290" s="379">
        <v>1.034</v>
      </c>
      <c r="AQ290" s="243">
        <v>9.7900000000000001E-2</v>
      </c>
      <c r="AR290" s="366">
        <f t="shared" si="169"/>
        <v>0</v>
      </c>
      <c r="AT290" s="241">
        <f t="shared" si="170"/>
        <v>-0.58430000000000004</v>
      </c>
    </row>
    <row r="291" spans="1:46" ht="22.7" customHeight="1" x14ac:dyDescent="0.25">
      <c r="A291" s="361" t="s">
        <v>562</v>
      </c>
      <c r="B291" s="361" t="s">
        <v>35</v>
      </c>
      <c r="C291" s="362" t="s">
        <v>116</v>
      </c>
      <c r="D291" s="359" t="s">
        <v>211</v>
      </c>
      <c r="E291" s="373" t="s">
        <v>297</v>
      </c>
      <c r="F291" s="359">
        <f>VLOOKUP(E291,'условия, ФОТ'!$A$14:$I$28,9, FALSE)</f>
        <v>356.43</v>
      </c>
      <c r="G291" s="364">
        <v>0.33</v>
      </c>
      <c r="H291" s="359">
        <f t="shared" si="161"/>
        <v>117.62</v>
      </c>
      <c r="I291" s="359">
        <f t="shared" si="111"/>
        <v>35.520000000000003</v>
      </c>
      <c r="J291" s="359">
        <f t="shared" si="162"/>
        <v>153.14000000000001</v>
      </c>
      <c r="K291" s="363"/>
      <c r="L291" s="359"/>
      <c r="M291" s="359"/>
      <c r="N291" s="359"/>
      <c r="O291" s="359"/>
      <c r="P291" s="359">
        <f t="shared" si="163"/>
        <v>153.14000000000001</v>
      </c>
      <c r="Q291" s="359">
        <f t="shared" si="154"/>
        <v>118.68</v>
      </c>
      <c r="R291" s="369">
        <f t="shared" si="160"/>
        <v>140</v>
      </c>
      <c r="S291" s="369">
        <f t="shared" si="155"/>
        <v>28</v>
      </c>
      <c r="T291" s="369">
        <f t="shared" si="156"/>
        <v>168</v>
      </c>
      <c r="U291" s="121">
        <v>157</v>
      </c>
      <c r="V291" s="127">
        <f t="shared" si="164"/>
        <v>7.0063694267515899</v>
      </c>
      <c r="W291" s="377">
        <v>162</v>
      </c>
      <c r="X291" s="367">
        <f t="shared" si="165"/>
        <v>3.7037037037036953</v>
      </c>
      <c r="Y291" s="117">
        <v>162</v>
      </c>
      <c r="Z291" s="356">
        <v>1.034</v>
      </c>
      <c r="AA291" s="152">
        <f t="shared" si="157"/>
        <v>167.51</v>
      </c>
      <c r="AB291" s="157">
        <f t="shared" si="158"/>
        <v>326.18</v>
      </c>
      <c r="AC291" s="170">
        <f t="shared" si="159"/>
        <v>-0.4864</v>
      </c>
      <c r="AD291" s="366">
        <f t="shared" si="166"/>
        <v>-158.653952</v>
      </c>
      <c r="AF291">
        <v>167.50800000000001</v>
      </c>
      <c r="AG291" s="379">
        <v>168</v>
      </c>
      <c r="AH291" s="358">
        <f t="shared" si="167"/>
        <v>0</v>
      </c>
      <c r="AJ291" s="379">
        <v>9.7900000000000001E-2</v>
      </c>
      <c r="AK291" s="366">
        <f t="shared" si="168"/>
        <v>9.7900000000000001E-2</v>
      </c>
      <c r="AL291" s="366">
        <v>0</v>
      </c>
      <c r="AN291" s="152"/>
      <c r="AP291" s="379">
        <v>1.034</v>
      </c>
      <c r="AQ291" s="243">
        <v>9.7900000000000001E-2</v>
      </c>
      <c r="AR291" s="366">
        <f t="shared" si="169"/>
        <v>0</v>
      </c>
      <c r="AT291" s="241">
        <f t="shared" si="170"/>
        <v>-0.58430000000000004</v>
      </c>
    </row>
    <row r="292" spans="1:46" ht="31.7" customHeight="1" x14ac:dyDescent="0.25">
      <c r="A292" s="361" t="s">
        <v>563</v>
      </c>
      <c r="B292" s="361" t="s">
        <v>35</v>
      </c>
      <c r="C292" s="362" t="s">
        <v>117</v>
      </c>
      <c r="D292" s="359" t="s">
        <v>211</v>
      </c>
      <c r="E292" s="373" t="s">
        <v>297</v>
      </c>
      <c r="F292" s="359">
        <f>VLOOKUP(E292,'условия, ФОТ'!$A$14:$I$28,9, FALSE)</f>
        <v>356.43</v>
      </c>
      <c r="G292" s="364">
        <v>0.33</v>
      </c>
      <c r="H292" s="359">
        <f t="shared" si="161"/>
        <v>117.62</v>
      </c>
      <c r="I292" s="359">
        <f t="shared" si="111"/>
        <v>35.520000000000003</v>
      </c>
      <c r="J292" s="359">
        <f t="shared" si="162"/>
        <v>153.14000000000001</v>
      </c>
      <c r="K292" s="363"/>
      <c r="L292" s="359"/>
      <c r="M292" s="359"/>
      <c r="N292" s="359"/>
      <c r="O292" s="359"/>
      <c r="P292" s="359">
        <f t="shared" si="163"/>
        <v>153.14000000000001</v>
      </c>
      <c r="Q292" s="359">
        <f t="shared" si="154"/>
        <v>118.68</v>
      </c>
      <c r="R292" s="369">
        <f t="shared" si="160"/>
        <v>140</v>
      </c>
      <c r="S292" s="369">
        <f t="shared" si="155"/>
        <v>28</v>
      </c>
      <c r="T292" s="369">
        <f t="shared" si="156"/>
        <v>168</v>
      </c>
      <c r="U292" s="121">
        <v>157</v>
      </c>
      <c r="V292" s="127">
        <f t="shared" si="164"/>
        <v>7.0063694267515899</v>
      </c>
      <c r="W292" s="377">
        <v>162</v>
      </c>
      <c r="X292" s="367">
        <f t="shared" si="165"/>
        <v>3.7037037037036953</v>
      </c>
      <c r="Y292" s="117">
        <v>162</v>
      </c>
      <c r="Z292" s="356">
        <v>1.034</v>
      </c>
      <c r="AA292" s="152">
        <f t="shared" si="157"/>
        <v>167.51</v>
      </c>
      <c r="AB292" s="157">
        <f t="shared" si="158"/>
        <v>326.18</v>
      </c>
      <c r="AC292" s="170">
        <f t="shared" si="159"/>
        <v>-0.4864</v>
      </c>
      <c r="AD292" s="366">
        <f t="shared" si="166"/>
        <v>-158.653952</v>
      </c>
      <c r="AF292">
        <v>167.50800000000001</v>
      </c>
      <c r="AG292" s="379">
        <v>168</v>
      </c>
      <c r="AH292" s="358">
        <f t="shared" si="167"/>
        <v>0</v>
      </c>
      <c r="AJ292" s="379">
        <v>9.7900000000000001E-2</v>
      </c>
      <c r="AK292" s="366">
        <f t="shared" si="168"/>
        <v>9.7900000000000001E-2</v>
      </c>
      <c r="AL292" s="366">
        <v>0</v>
      </c>
      <c r="AN292" s="152"/>
      <c r="AP292" s="379">
        <v>1.034</v>
      </c>
      <c r="AQ292" s="243">
        <v>9.7900000000000001E-2</v>
      </c>
      <c r="AR292" s="366">
        <f t="shared" si="169"/>
        <v>0</v>
      </c>
      <c r="AT292" s="241">
        <f t="shared" si="170"/>
        <v>-0.58430000000000004</v>
      </c>
    </row>
    <row r="293" spans="1:46" ht="18" customHeight="1" x14ac:dyDescent="0.25">
      <c r="A293" s="361" t="s">
        <v>564</v>
      </c>
      <c r="B293" s="361" t="s">
        <v>35</v>
      </c>
      <c r="C293" s="362" t="s">
        <v>118</v>
      </c>
      <c r="D293" s="359" t="s">
        <v>211</v>
      </c>
      <c r="E293" s="373" t="s">
        <v>297</v>
      </c>
      <c r="F293" s="359">
        <f>VLOOKUP(E293,'условия, ФОТ'!$A$14:$I$28,9, FALSE)</f>
        <v>356.43</v>
      </c>
      <c r="G293" s="364">
        <v>0.5</v>
      </c>
      <c r="H293" s="359">
        <f t="shared" si="161"/>
        <v>178.22</v>
      </c>
      <c r="I293" s="359">
        <f t="shared" si="111"/>
        <v>53.82</v>
      </c>
      <c r="J293" s="359">
        <f t="shared" si="162"/>
        <v>232.04</v>
      </c>
      <c r="K293" s="363"/>
      <c r="L293" s="359"/>
      <c r="M293" s="359"/>
      <c r="N293" s="359"/>
      <c r="O293" s="359"/>
      <c r="P293" s="359">
        <f t="shared" si="163"/>
        <v>232.04</v>
      </c>
      <c r="Q293" s="359">
        <f t="shared" si="154"/>
        <v>179.83</v>
      </c>
      <c r="R293" s="369">
        <f>ROUND(T293/1.2,2)</f>
        <v>210.83</v>
      </c>
      <c r="S293" s="369">
        <f>ROUND(R293*$S$5,2)</f>
        <v>42.17</v>
      </c>
      <c r="T293" s="369">
        <f t="shared" si="156"/>
        <v>253</v>
      </c>
      <c r="U293" s="121">
        <v>238</v>
      </c>
      <c r="V293" s="127">
        <f t="shared" si="164"/>
        <v>6.3025210084033603</v>
      </c>
      <c r="W293" s="377">
        <v>245</v>
      </c>
      <c r="X293" s="367">
        <f t="shared" si="165"/>
        <v>3.2653061224489761</v>
      </c>
      <c r="Y293" s="117">
        <v>245</v>
      </c>
      <c r="Z293" s="356">
        <v>1.034</v>
      </c>
      <c r="AA293" s="152">
        <f t="shared" si="157"/>
        <v>253.33</v>
      </c>
      <c r="AB293" s="157">
        <f t="shared" si="158"/>
        <v>494.24</v>
      </c>
      <c r="AC293" s="170">
        <f t="shared" si="159"/>
        <v>-0.4874</v>
      </c>
      <c r="AD293" s="366">
        <f t="shared" si="166"/>
        <v>-240.89257599999999</v>
      </c>
      <c r="AF293">
        <v>253.33</v>
      </c>
      <c r="AG293" s="379">
        <v>253</v>
      </c>
      <c r="AH293" s="358">
        <f t="shared" si="167"/>
        <v>0</v>
      </c>
      <c r="AJ293" s="379">
        <v>9.5799999999999996E-2</v>
      </c>
      <c r="AK293" s="366">
        <f t="shared" si="168"/>
        <v>9.5799999999999996E-2</v>
      </c>
      <c r="AL293" s="366">
        <v>0</v>
      </c>
      <c r="AN293" s="152"/>
      <c r="AP293" s="379">
        <v>1.034</v>
      </c>
      <c r="AQ293" s="243">
        <v>9.5799999999999996E-2</v>
      </c>
      <c r="AR293" s="366">
        <f t="shared" si="169"/>
        <v>0</v>
      </c>
      <c r="AT293" s="241">
        <f t="shared" si="170"/>
        <v>-0.58319999999999994</v>
      </c>
    </row>
    <row r="294" spans="1:46" ht="18" customHeight="1" x14ac:dyDescent="0.25">
      <c r="A294" s="1026" t="s">
        <v>295</v>
      </c>
      <c r="B294" s="1027"/>
      <c r="C294" s="1027"/>
      <c r="D294" s="1027"/>
      <c r="E294" s="1027"/>
      <c r="F294" s="1027"/>
      <c r="G294" s="1027"/>
      <c r="H294" s="1027"/>
      <c r="I294" s="1027"/>
      <c r="J294" s="1027"/>
      <c r="K294" s="1027"/>
      <c r="L294" s="1027"/>
      <c r="M294" s="1027"/>
      <c r="N294" s="1027"/>
      <c r="O294" s="1027"/>
      <c r="P294" s="1027"/>
      <c r="Q294" s="1027"/>
      <c r="R294" s="348"/>
      <c r="S294" s="348"/>
      <c r="T294" s="348"/>
      <c r="U294" s="131"/>
      <c r="V294" s="127"/>
      <c r="W294" s="377"/>
      <c r="X294" s="367"/>
      <c r="Z294" s="356"/>
      <c r="AA294" s="366"/>
      <c r="AB294" s="158"/>
      <c r="AC294" s="170"/>
      <c r="AD294" s="366"/>
      <c r="AG294" s="379"/>
      <c r="AH294" s="358"/>
      <c r="AJ294" s="379"/>
      <c r="AK294" s="366"/>
      <c r="AL294" s="366"/>
      <c r="AN294" s="152"/>
      <c r="AP294" s="379"/>
      <c r="AQ294" s="243"/>
      <c r="AR294" s="366"/>
      <c r="AT294" s="241"/>
    </row>
    <row r="295" spans="1:46" ht="30.75" customHeight="1" x14ac:dyDescent="0.25">
      <c r="A295" s="361" t="s">
        <v>565</v>
      </c>
      <c r="B295" s="361" t="s">
        <v>296</v>
      </c>
      <c r="C295" s="362" t="s">
        <v>119</v>
      </c>
      <c r="D295" s="359" t="s">
        <v>34</v>
      </c>
      <c r="E295" s="373" t="s">
        <v>168</v>
      </c>
      <c r="F295" s="359">
        <f>VLOOKUP(E295,'условия, ФОТ'!$A$14:$I$28,9, FALSE)</f>
        <v>282.83999999999997</v>
      </c>
      <c r="G295" s="364">
        <v>0.9</v>
      </c>
      <c r="H295" s="359">
        <f>ROUND(F295*G295,2)</f>
        <v>254.56</v>
      </c>
      <c r="I295" s="359">
        <f t="shared" si="111"/>
        <v>76.88</v>
      </c>
      <c r="J295" s="359">
        <f t="shared" si="162"/>
        <v>331.44</v>
      </c>
      <c r="K295" s="363"/>
      <c r="L295" s="359"/>
      <c r="M295" s="359"/>
      <c r="N295" s="359"/>
      <c r="O295" s="359">
        <f>SUM(O296:O298)</f>
        <v>5.6499999999999995</v>
      </c>
      <c r="P295" s="359">
        <f>J295+O295</f>
        <v>337.09</v>
      </c>
      <c r="Q295" s="359">
        <f t="shared" si="154"/>
        <v>261.24</v>
      </c>
      <c r="R295" s="369">
        <f>ROUND(T295/1.2,2)</f>
        <v>371.67</v>
      </c>
      <c r="S295" s="369">
        <f t="shared" si="155"/>
        <v>74.33</v>
      </c>
      <c r="T295" s="369">
        <f>ROUND((P295+Q295)*(1+AC295)*1.2,0)</f>
        <v>446</v>
      </c>
      <c r="U295" s="121">
        <v>345</v>
      </c>
      <c r="V295" s="127">
        <f t="shared" si="164"/>
        <v>29.275362318840592</v>
      </c>
      <c r="W295" s="377">
        <v>356</v>
      </c>
      <c r="X295" s="367">
        <f t="shared" si="165"/>
        <v>25.280898876404507</v>
      </c>
      <c r="Y295" s="117">
        <v>356</v>
      </c>
      <c r="Z295" s="368">
        <v>1.252</v>
      </c>
      <c r="AA295" s="152">
        <f>ROUND(W295*Z295,2)</f>
        <v>445.71</v>
      </c>
      <c r="AB295" s="157">
        <f>ROUND((P295+Q295)*1.2,2)</f>
        <v>718</v>
      </c>
      <c r="AC295" s="170">
        <f>ROUND((AA295/AB295)*100%-100%,4)</f>
        <v>-0.37919999999999998</v>
      </c>
      <c r="AD295" s="366">
        <f t="shared" si="166"/>
        <v>-272.26560000000001</v>
      </c>
      <c r="AF295">
        <v>368.10399999999998</v>
      </c>
      <c r="AG295" s="379">
        <v>368</v>
      </c>
      <c r="AH295" s="358">
        <f t="shared" si="167"/>
        <v>78</v>
      </c>
      <c r="AJ295" s="379">
        <v>-0.1333</v>
      </c>
      <c r="AK295" s="366">
        <f t="shared" si="168"/>
        <v>1.1333</v>
      </c>
      <c r="AL295" s="366">
        <v>1.1719999999999999</v>
      </c>
      <c r="AN295" s="152">
        <f t="shared" si="171"/>
        <v>417.23</v>
      </c>
      <c r="AP295" s="379">
        <v>1.034</v>
      </c>
      <c r="AQ295" s="243">
        <v>-0.1333</v>
      </c>
      <c r="AR295" s="366">
        <f t="shared" si="169"/>
        <v>0.21799999999999997</v>
      </c>
      <c r="AT295" s="241">
        <f t="shared" si="170"/>
        <v>-0.24589999999999998</v>
      </c>
    </row>
    <row r="296" spans="1:46" ht="26.25" customHeight="1" outlineLevel="1" x14ac:dyDescent="0.25">
      <c r="A296" s="361"/>
      <c r="B296" s="361"/>
      <c r="C296" s="362"/>
      <c r="D296" s="359"/>
      <c r="E296" s="373"/>
      <c r="F296" s="359"/>
      <c r="G296" s="364"/>
      <c r="H296" s="359"/>
      <c r="I296" s="359"/>
      <c r="J296" s="178" t="s">
        <v>385</v>
      </c>
      <c r="K296" s="92" t="s">
        <v>341</v>
      </c>
      <c r="L296" s="364" t="str">
        <f>VLOOKUP(K296,материалы!$A$5:$G$31,5, FALSE)</f>
        <v>кг</v>
      </c>
      <c r="M296" s="359">
        <f>VLOOKUP(K296,материалы!$A$5:$G$31,7, FALSE)</f>
        <v>950</v>
      </c>
      <c r="N296" s="359">
        <v>5.0000000000000001E-3</v>
      </c>
      <c r="O296" s="359">
        <f>ROUND(M296*N296,2)</f>
        <v>4.75</v>
      </c>
      <c r="P296" s="359"/>
      <c r="Q296" s="359"/>
      <c r="R296" s="369"/>
      <c r="S296" s="369"/>
      <c r="T296" s="369"/>
      <c r="U296" s="121"/>
      <c r="V296" s="127"/>
      <c r="W296" s="377"/>
      <c r="X296" s="367"/>
      <c r="Z296" s="356"/>
      <c r="AA296" s="366"/>
      <c r="AB296" s="158"/>
      <c r="AC296" s="170"/>
      <c r="AD296" s="366"/>
      <c r="AG296" s="379"/>
      <c r="AH296" s="358"/>
      <c r="AJ296" s="379"/>
      <c r="AK296" s="366"/>
      <c r="AL296" s="366"/>
      <c r="AN296" s="152"/>
      <c r="AP296" s="379"/>
      <c r="AQ296" s="243"/>
      <c r="AR296" s="366"/>
      <c r="AT296" s="241"/>
    </row>
    <row r="297" spans="1:46" outlineLevel="1" x14ac:dyDescent="0.25">
      <c r="A297" s="361"/>
      <c r="B297" s="361"/>
      <c r="C297" s="362"/>
      <c r="D297" s="359"/>
      <c r="E297" s="373"/>
      <c r="F297" s="359"/>
      <c r="G297" s="364"/>
      <c r="H297" s="359"/>
      <c r="I297" s="359"/>
      <c r="J297" s="359"/>
      <c r="K297" s="184" t="s">
        <v>335</v>
      </c>
      <c r="L297" s="364" t="str">
        <f>VLOOKUP(K297,материалы!$A$5:$G$31,5, FALSE)</f>
        <v>кг</v>
      </c>
      <c r="M297" s="359">
        <f>VLOOKUP(K297,материалы!$A$5:$G$31,7, FALSE)</f>
        <v>95</v>
      </c>
      <c r="N297" s="185">
        <v>1E-3</v>
      </c>
      <c r="O297" s="359">
        <f>ROUND(M297*N297,2)</f>
        <v>0.1</v>
      </c>
      <c r="P297" s="359"/>
      <c r="Q297" s="359"/>
      <c r="R297" s="369"/>
      <c r="S297" s="369"/>
      <c r="T297" s="369"/>
      <c r="U297" s="121"/>
      <c r="V297" s="127"/>
      <c r="W297" s="377"/>
      <c r="X297" s="367"/>
      <c r="Z297" s="356"/>
      <c r="AA297" s="366"/>
      <c r="AB297" s="158"/>
      <c r="AC297" s="170"/>
      <c r="AD297" s="366"/>
      <c r="AG297" s="379"/>
      <c r="AH297" s="358"/>
      <c r="AJ297" s="379"/>
      <c r="AK297" s="366"/>
      <c r="AL297" s="366"/>
      <c r="AN297" s="152"/>
      <c r="AP297" s="379"/>
      <c r="AQ297" s="243"/>
      <c r="AR297" s="366"/>
      <c r="AT297" s="241"/>
    </row>
    <row r="298" spans="1:46" outlineLevel="1" x14ac:dyDescent="0.25">
      <c r="A298" s="361"/>
      <c r="B298" s="361"/>
      <c r="C298" s="362"/>
      <c r="D298" s="359"/>
      <c r="E298" s="373"/>
      <c r="F298" s="359"/>
      <c r="G298" s="364"/>
      <c r="H298" s="359"/>
      <c r="I298" s="359"/>
      <c r="J298" s="359"/>
      <c r="K298" s="184" t="s">
        <v>336</v>
      </c>
      <c r="L298" s="364" t="str">
        <f>VLOOKUP(K298,материалы!$A$5:$G$31,5, FALSE)</f>
        <v>кг</v>
      </c>
      <c r="M298" s="359">
        <f>VLOOKUP(K298,материалы!$A$5:$G$31,7, FALSE)</f>
        <v>80</v>
      </c>
      <c r="N298" s="364">
        <v>0.01</v>
      </c>
      <c r="O298" s="359">
        <f>ROUND(M298*N298,2)</f>
        <v>0.8</v>
      </c>
      <c r="P298" s="359"/>
      <c r="Q298" s="359"/>
      <c r="R298" s="369"/>
      <c r="S298" s="369"/>
      <c r="T298" s="369"/>
      <c r="U298" s="121"/>
      <c r="V298" s="127"/>
      <c r="W298" s="377"/>
      <c r="X298" s="367"/>
      <c r="Z298" s="356"/>
      <c r="AA298" s="366"/>
      <c r="AB298" s="158"/>
      <c r="AC298" s="170"/>
      <c r="AD298" s="366"/>
      <c r="AG298" s="379"/>
      <c r="AH298" s="358"/>
      <c r="AJ298" s="379"/>
      <c r="AK298" s="366"/>
      <c r="AL298" s="366"/>
      <c r="AN298" s="152"/>
      <c r="AP298" s="379"/>
      <c r="AQ298" s="243"/>
      <c r="AR298" s="366"/>
      <c r="AT298" s="241"/>
    </row>
    <row r="299" spans="1:46" s="117" customFormat="1" ht="48" customHeight="1" outlineLevel="1" x14ac:dyDescent="0.25">
      <c r="A299" s="361" t="s">
        <v>643</v>
      </c>
      <c r="B299" s="361" t="s">
        <v>296</v>
      </c>
      <c r="C299" s="362" t="s">
        <v>644</v>
      </c>
      <c r="D299" s="359" t="s">
        <v>34</v>
      </c>
      <c r="E299" s="373" t="s">
        <v>168</v>
      </c>
      <c r="F299" s="359">
        <f>VLOOKUP(E299,'условия, ФОТ'!$A$14:$I$28,9, FALSE)</f>
        <v>282.83999999999997</v>
      </c>
      <c r="G299" s="364">
        <v>0.9</v>
      </c>
      <c r="H299" s="359">
        <f>ROUND(F299*G299,2)</f>
        <v>254.56</v>
      </c>
      <c r="I299" s="359">
        <f t="shared" ref="I299" si="172">ROUND(H299*$I$5,2)</f>
        <v>76.88</v>
      </c>
      <c r="J299" s="359">
        <f t="shared" ref="J299" si="173">H299+I299</f>
        <v>331.44</v>
      </c>
      <c r="K299" s="363"/>
      <c r="L299" s="359"/>
      <c r="M299" s="359"/>
      <c r="N299" s="359"/>
      <c r="O299" s="359">
        <f>SUM(O300:O303)</f>
        <v>89.88</v>
      </c>
      <c r="P299" s="359">
        <f>J299+O299</f>
        <v>421.32</v>
      </c>
      <c r="Q299" s="359">
        <f t="shared" ref="Q299" si="174">ROUND(P299*$Q$5,2)</f>
        <v>326.52</v>
      </c>
      <c r="R299" s="369">
        <f>ROUND(T299/1.2,2)</f>
        <v>531.66999999999996</v>
      </c>
      <c r="S299" s="369">
        <f t="shared" ref="S299" si="175">ROUND(R299*$S$5,2)</f>
        <v>106.33</v>
      </c>
      <c r="T299" s="369">
        <f>ROUND((P299+Q299)*(1+AC299)*1.2,0)</f>
        <v>638</v>
      </c>
      <c r="U299" s="360"/>
      <c r="V299" s="127"/>
      <c r="W299" s="138">
        <v>582</v>
      </c>
      <c r="X299" s="367">
        <f t="shared" si="165"/>
        <v>9.6219931271477748</v>
      </c>
      <c r="Z299" s="368">
        <v>1.0960000000000001</v>
      </c>
      <c r="AA299" s="152">
        <f>ROUND(W299*Z299,2)</f>
        <v>637.87</v>
      </c>
      <c r="AB299" s="157">
        <f>ROUND((P299+Q299)*1.2,2)</f>
        <v>897.41</v>
      </c>
      <c r="AC299" s="170">
        <f>ROUND((AA299/AB299)*100%-100%,4)</f>
        <v>-0.28920000000000001</v>
      </c>
      <c r="AD299" s="366">
        <f t="shared" si="166"/>
        <v>-259.53097200000002</v>
      </c>
      <c r="AF299" s="117">
        <v>601.78800000000001</v>
      </c>
      <c r="AG299" s="164">
        <v>602</v>
      </c>
      <c r="AH299" s="358">
        <f t="shared" si="167"/>
        <v>36</v>
      </c>
      <c r="AJ299" s="164">
        <v>-1.0200000000000001E-2</v>
      </c>
      <c r="AK299" s="366">
        <f t="shared" si="168"/>
        <v>1.0102</v>
      </c>
      <c r="AL299" s="366">
        <v>1.0449999999999999</v>
      </c>
      <c r="AN299" s="152">
        <f t="shared" si="171"/>
        <v>608.19000000000005</v>
      </c>
      <c r="AO299" s="355"/>
      <c r="AP299" s="164">
        <v>1.034</v>
      </c>
      <c r="AQ299" s="19">
        <v>-1.0200000000000001E-2</v>
      </c>
      <c r="AR299" s="366">
        <f t="shared" si="169"/>
        <v>6.2000000000000055E-2</v>
      </c>
      <c r="AT299" s="241">
        <f t="shared" si="170"/>
        <v>-0.27900000000000003</v>
      </c>
    </row>
    <row r="300" spans="1:46" s="117" customFormat="1" ht="36" customHeight="1" outlineLevel="1" x14ac:dyDescent="0.25">
      <c r="A300" s="361"/>
      <c r="B300" s="361"/>
      <c r="C300" s="362"/>
      <c r="D300" s="359"/>
      <c r="E300" s="373"/>
      <c r="F300" s="359"/>
      <c r="G300" s="364"/>
      <c r="H300" s="359"/>
      <c r="I300" s="359"/>
      <c r="J300" s="178" t="s">
        <v>385</v>
      </c>
      <c r="K300" s="362" t="s">
        <v>645</v>
      </c>
      <c r="L300" s="359" t="s">
        <v>646</v>
      </c>
      <c r="M300" s="359">
        <v>85.85</v>
      </c>
      <c r="N300" s="359">
        <v>1</v>
      </c>
      <c r="O300" s="359">
        <v>85.85</v>
      </c>
      <c r="P300" s="359"/>
      <c r="Q300" s="359"/>
      <c r="R300" s="369"/>
      <c r="S300" s="369"/>
      <c r="T300" s="369"/>
      <c r="U300" s="360"/>
      <c r="V300" s="127"/>
      <c r="W300" s="138"/>
      <c r="X300" s="137"/>
      <c r="Z300" s="356"/>
      <c r="AA300" s="366"/>
      <c r="AB300" s="158"/>
      <c r="AC300" s="170"/>
      <c r="AD300" s="366"/>
      <c r="AG300" s="164"/>
      <c r="AH300" s="358"/>
      <c r="AJ300" s="164"/>
      <c r="AK300" s="366"/>
      <c r="AL300" s="366"/>
      <c r="AN300" s="152"/>
      <c r="AO300" s="355"/>
      <c r="AP300" s="164"/>
      <c r="AQ300" s="19"/>
      <c r="AR300" s="366"/>
      <c r="AT300" s="241"/>
    </row>
    <row r="301" spans="1:46" s="117" customFormat="1" ht="30" customHeight="1" outlineLevel="1" x14ac:dyDescent="0.25">
      <c r="A301" s="361"/>
      <c r="B301" s="361"/>
      <c r="C301" s="362"/>
      <c r="D301" s="359"/>
      <c r="E301" s="373"/>
      <c r="F301" s="359"/>
      <c r="G301" s="364"/>
      <c r="H301" s="359"/>
      <c r="I301" s="359"/>
      <c r="J301" s="178"/>
      <c r="K301" s="92" t="s">
        <v>341</v>
      </c>
      <c r="L301" s="364" t="str">
        <f>VLOOKUP(K301,[3]материалы!$A$5:$G$31,5, FALSE)</f>
        <v>кг</v>
      </c>
      <c r="M301" s="359">
        <f>VLOOKUP(K301,[3]материалы!$A$5:$G$31,7, FALSE)</f>
        <v>712.76</v>
      </c>
      <c r="N301" s="359">
        <v>5.0000000000000001E-3</v>
      </c>
      <c r="O301" s="359">
        <f>ROUND(M301*N301,2)</f>
        <v>3.56</v>
      </c>
      <c r="P301" s="359"/>
      <c r="Q301" s="359"/>
      <c r="R301" s="369"/>
      <c r="S301" s="369"/>
      <c r="T301" s="369"/>
      <c r="U301" s="360"/>
      <c r="V301" s="127"/>
      <c r="W301" s="138"/>
      <c r="X301" s="137"/>
      <c r="Z301" s="356"/>
      <c r="AA301" s="366"/>
      <c r="AB301" s="158"/>
      <c r="AC301" s="170"/>
      <c r="AD301" s="366"/>
      <c r="AG301" s="164"/>
      <c r="AH301" s="358"/>
      <c r="AJ301" s="164"/>
      <c r="AK301" s="366"/>
      <c r="AL301" s="366"/>
      <c r="AN301" s="152"/>
      <c r="AO301" s="355"/>
      <c r="AP301" s="164"/>
      <c r="AQ301" s="19"/>
      <c r="AR301" s="366"/>
      <c r="AT301" s="241"/>
    </row>
    <row r="302" spans="1:46" s="117" customFormat="1" ht="21.75" customHeight="1" outlineLevel="1" x14ac:dyDescent="0.25">
      <c r="A302" s="361"/>
      <c r="B302" s="361"/>
      <c r="C302" s="362"/>
      <c r="D302" s="359"/>
      <c r="E302" s="373"/>
      <c r="F302" s="359"/>
      <c r="G302" s="364"/>
      <c r="H302" s="359"/>
      <c r="I302" s="359"/>
      <c r="J302" s="359"/>
      <c r="K302" s="184" t="s">
        <v>335</v>
      </c>
      <c r="L302" s="364" t="str">
        <f>VLOOKUP(K302,[3]материалы!$A$5:$G$31,5, FALSE)</f>
        <v>кг</v>
      </c>
      <c r="M302" s="359">
        <f>VLOOKUP(K302,[3]материалы!$A$5:$G$31,7, FALSE)</f>
        <v>65.599999999999994</v>
      </c>
      <c r="N302" s="185">
        <v>1E-3</v>
      </c>
      <c r="O302" s="359">
        <f>ROUND(M302*N302,2)</f>
        <v>7.0000000000000007E-2</v>
      </c>
      <c r="P302" s="359"/>
      <c r="Q302" s="359"/>
      <c r="R302" s="369"/>
      <c r="S302" s="369"/>
      <c r="T302" s="369"/>
      <c r="U302" s="360"/>
      <c r="V302" s="127"/>
      <c r="W302" s="138"/>
      <c r="X302" s="137"/>
      <c r="Z302" s="356"/>
      <c r="AA302" s="366"/>
      <c r="AB302" s="158"/>
      <c r="AC302" s="170"/>
      <c r="AD302" s="366"/>
      <c r="AG302" s="164"/>
      <c r="AH302" s="358"/>
      <c r="AJ302" s="164"/>
      <c r="AK302" s="366"/>
      <c r="AL302" s="366"/>
      <c r="AN302" s="152"/>
      <c r="AO302" s="355"/>
      <c r="AP302" s="164"/>
      <c r="AQ302" s="19"/>
      <c r="AR302" s="366"/>
      <c r="AT302" s="241"/>
    </row>
    <row r="303" spans="1:46" s="117" customFormat="1" ht="18" customHeight="1" outlineLevel="1" x14ac:dyDescent="0.25">
      <c r="A303" s="361"/>
      <c r="B303" s="361"/>
      <c r="C303" s="362"/>
      <c r="D303" s="359"/>
      <c r="E303" s="373"/>
      <c r="F303" s="359"/>
      <c r="G303" s="364"/>
      <c r="H303" s="359"/>
      <c r="I303" s="359"/>
      <c r="J303" s="359"/>
      <c r="K303" s="184" t="s">
        <v>336</v>
      </c>
      <c r="L303" s="364" t="str">
        <f>VLOOKUP(K303,[3]материалы!$A$5:$G$31,5, FALSE)</f>
        <v>кг</v>
      </c>
      <c r="M303" s="359">
        <f>VLOOKUP(K303,[3]материалы!$A$5:$G$31,7, FALSE)</f>
        <v>39.82</v>
      </c>
      <c r="N303" s="364">
        <v>0.01</v>
      </c>
      <c r="O303" s="359">
        <f>ROUND(M303*N303,2)</f>
        <v>0.4</v>
      </c>
      <c r="P303" s="359"/>
      <c r="Q303" s="359"/>
      <c r="R303" s="369"/>
      <c r="S303" s="369"/>
      <c r="T303" s="369"/>
      <c r="U303" s="360"/>
      <c r="V303" s="127"/>
      <c r="W303" s="138"/>
      <c r="X303" s="137"/>
      <c r="Z303" s="356"/>
      <c r="AA303" s="366"/>
      <c r="AB303" s="158"/>
      <c r="AC303" s="170"/>
      <c r="AD303" s="366"/>
      <c r="AG303" s="164"/>
      <c r="AH303" s="358"/>
      <c r="AJ303" s="164"/>
      <c r="AK303" s="366"/>
      <c r="AL303" s="366"/>
      <c r="AN303" s="152"/>
      <c r="AO303" s="355"/>
      <c r="AP303" s="164"/>
      <c r="AQ303" s="19"/>
      <c r="AR303" s="366"/>
      <c r="AT303" s="241"/>
    </row>
    <row r="304" spans="1:46" ht="19.5" customHeight="1" x14ac:dyDescent="0.25">
      <c r="A304" s="979" t="s">
        <v>566</v>
      </c>
      <c r="B304" s="979" t="s">
        <v>298</v>
      </c>
      <c r="C304" s="995" t="s">
        <v>396</v>
      </c>
      <c r="D304" s="985" t="s">
        <v>299</v>
      </c>
      <c r="E304" s="373" t="s">
        <v>168</v>
      </c>
      <c r="F304" s="359">
        <f>VLOOKUP(E304,'условия, ФОТ'!$A$14:$I$28,9, FALSE)</f>
        <v>282.83999999999997</v>
      </c>
      <c r="G304" s="1016">
        <v>2.84</v>
      </c>
      <c r="H304" s="1016">
        <f>ROUND((F304+F305)/2*G304,2)</f>
        <v>1049.17</v>
      </c>
      <c r="I304" s="1016">
        <f t="shared" si="111"/>
        <v>316.85000000000002</v>
      </c>
      <c r="J304" s="1016">
        <f t="shared" si="162"/>
        <v>1366.02</v>
      </c>
      <c r="K304" s="986"/>
      <c r="L304" s="985"/>
      <c r="M304" s="985"/>
      <c r="N304" s="985"/>
      <c r="O304" s="985">
        <f>SUM(O306:O311)</f>
        <v>325.65000000000003</v>
      </c>
      <c r="P304" s="1016">
        <f>J304+O304</f>
        <v>1691.67</v>
      </c>
      <c r="Q304" s="1016">
        <f t="shared" si="154"/>
        <v>1311.04</v>
      </c>
      <c r="R304" s="1004">
        <f>ROUND(T304/1.2,2)</f>
        <v>1509.17</v>
      </c>
      <c r="S304" s="1004">
        <f t="shared" si="155"/>
        <v>301.83</v>
      </c>
      <c r="T304" s="1004">
        <f>ROUND((P304+Q304)*(1+AC304)*1.2,0)</f>
        <v>1811</v>
      </c>
      <c r="U304" s="794">
        <v>1697</v>
      </c>
      <c r="V304" s="1022">
        <f t="shared" si="164"/>
        <v>6.7177371832645889</v>
      </c>
      <c r="W304" s="1001">
        <v>1751</v>
      </c>
      <c r="X304" s="1002">
        <f t="shared" si="165"/>
        <v>3.4266133637921143</v>
      </c>
      <c r="Y304" s="117">
        <v>1751</v>
      </c>
      <c r="Z304" s="751">
        <v>1.034</v>
      </c>
      <c r="AA304" s="1003">
        <f>ROUND(W304*Z304,2)</f>
        <v>1810.53</v>
      </c>
      <c r="AB304" s="1005">
        <f>ROUND((P304+Q304)*1.2,2)</f>
        <v>3603.25</v>
      </c>
      <c r="AC304" s="1006">
        <f>ROUND((AA304/AB304)*100%-100%,4)</f>
        <v>-0.4975</v>
      </c>
      <c r="AD304" s="751">
        <f t="shared" si="166"/>
        <v>-1792.6168749999999</v>
      </c>
      <c r="AF304">
        <v>1810.5340000000001</v>
      </c>
      <c r="AG304" s="759">
        <v>1811</v>
      </c>
      <c r="AH304" s="1008">
        <f t="shared" si="167"/>
        <v>0</v>
      </c>
      <c r="AJ304" s="759">
        <v>8.8099999999999998E-2</v>
      </c>
      <c r="AK304" s="751">
        <f t="shared" si="168"/>
        <v>8.8099999999999998E-2</v>
      </c>
      <c r="AL304" s="751">
        <v>0</v>
      </c>
      <c r="AN304" s="879"/>
      <c r="AP304" s="759">
        <v>1.034</v>
      </c>
      <c r="AQ304" s="877">
        <v>8.8099999999999998E-2</v>
      </c>
      <c r="AR304" s="751">
        <f t="shared" si="169"/>
        <v>0</v>
      </c>
      <c r="AT304" s="747">
        <f t="shared" si="170"/>
        <v>-0.58560000000000001</v>
      </c>
    </row>
    <row r="305" spans="1:46" ht="20.25" customHeight="1" x14ac:dyDescent="0.25">
      <c r="A305" s="979"/>
      <c r="B305" s="979"/>
      <c r="C305" s="995"/>
      <c r="D305" s="985"/>
      <c r="E305" s="373" t="s">
        <v>174</v>
      </c>
      <c r="F305" s="359">
        <f>VLOOKUP(E305,'условия, ФОТ'!$A$14:$I$28,9, FALSE)</f>
        <v>456.01</v>
      </c>
      <c r="G305" s="1016"/>
      <c r="H305" s="1016"/>
      <c r="I305" s="1016"/>
      <c r="J305" s="1016"/>
      <c r="K305" s="986"/>
      <c r="L305" s="985"/>
      <c r="M305" s="985"/>
      <c r="N305" s="985"/>
      <c r="O305" s="985"/>
      <c r="P305" s="1016"/>
      <c r="Q305" s="1016"/>
      <c r="R305" s="1004"/>
      <c r="S305" s="1004"/>
      <c r="T305" s="1004">
        <f>ROUND((P305+Q305)*(1+$R$5)*1.18,0)</f>
        <v>0</v>
      </c>
      <c r="U305" s="1009"/>
      <c r="V305" s="1022"/>
      <c r="W305" s="1001"/>
      <c r="X305" s="1002"/>
      <c r="Z305" s="752"/>
      <c r="AA305" s="1003"/>
      <c r="AB305" s="1005"/>
      <c r="AC305" s="1007"/>
      <c r="AD305" s="752"/>
      <c r="AG305" s="760"/>
      <c r="AH305" s="1008"/>
      <c r="AJ305" s="760"/>
      <c r="AK305" s="752"/>
      <c r="AL305" s="752"/>
      <c r="AN305" s="880"/>
      <c r="AP305" s="760"/>
      <c r="AQ305" s="878"/>
      <c r="AR305" s="752"/>
      <c r="AT305" s="748"/>
    </row>
    <row r="306" spans="1:46" ht="15.75" customHeight="1" outlineLevel="1" x14ac:dyDescent="0.25">
      <c r="A306" s="361"/>
      <c r="B306" s="361"/>
      <c r="C306" s="362"/>
      <c r="D306" s="359"/>
      <c r="E306" s="373"/>
      <c r="F306" s="359"/>
      <c r="G306" s="364"/>
      <c r="H306" s="364"/>
      <c r="I306" s="364"/>
      <c r="J306" s="178" t="s">
        <v>385</v>
      </c>
      <c r="K306" s="186" t="s">
        <v>329</v>
      </c>
      <c r="L306" s="364" t="str">
        <f>VLOOKUP(K306,материалы!$A$5:$G$31,5, FALSE)</f>
        <v>м3</v>
      </c>
      <c r="M306" s="359">
        <f>VLOOKUP(K306,материалы!$A$5:$G$31,7, FALSE)</f>
        <v>1033.33</v>
      </c>
      <c r="N306" s="359">
        <v>0.17499999999999999</v>
      </c>
      <c r="O306" s="359">
        <f>ROUND(M306*N306,2)</f>
        <v>180.83</v>
      </c>
      <c r="P306" s="364"/>
      <c r="Q306" s="364"/>
      <c r="R306" s="369"/>
      <c r="S306" s="369"/>
      <c r="T306" s="369"/>
      <c r="U306" s="121"/>
      <c r="V306" s="370"/>
      <c r="W306" s="377"/>
      <c r="X306" s="367"/>
      <c r="Z306" s="356"/>
      <c r="AA306" s="366"/>
      <c r="AB306" s="158"/>
      <c r="AC306" s="170"/>
      <c r="AD306" s="366"/>
      <c r="AG306" s="379"/>
      <c r="AH306" s="358"/>
      <c r="AJ306" s="379"/>
      <c r="AK306" s="366"/>
      <c r="AL306" s="366"/>
      <c r="AN306" s="152"/>
      <c r="AP306" s="379"/>
      <c r="AQ306" s="243"/>
      <c r="AR306" s="366"/>
      <c r="AT306" s="241"/>
    </row>
    <row r="307" spans="1:46" ht="15.75" customHeight="1" outlineLevel="1" x14ac:dyDescent="0.25">
      <c r="A307" s="361"/>
      <c r="B307" s="361"/>
      <c r="C307" s="362"/>
      <c r="D307" s="359"/>
      <c r="E307" s="373"/>
      <c r="F307" s="359"/>
      <c r="G307" s="364"/>
      <c r="H307" s="364"/>
      <c r="I307" s="364"/>
      <c r="J307" s="364"/>
      <c r="K307" s="186" t="s">
        <v>330</v>
      </c>
      <c r="L307" s="364" t="str">
        <f>VLOOKUP(K307,материалы!$A$5:$G$31,5, FALSE)</f>
        <v>м3</v>
      </c>
      <c r="M307" s="359">
        <f>VLOOKUP(K307,материалы!$A$5:$G$31,7, FALSE)</f>
        <v>116.67</v>
      </c>
      <c r="N307" s="359">
        <v>0.05</v>
      </c>
      <c r="O307" s="359">
        <f t="shared" ref="O307:O308" si="176">ROUND(M307*N307,2)</f>
        <v>5.83</v>
      </c>
      <c r="P307" s="364"/>
      <c r="Q307" s="364"/>
      <c r="R307" s="369"/>
      <c r="S307" s="369"/>
      <c r="T307" s="369"/>
      <c r="U307" s="121"/>
      <c r="V307" s="370"/>
      <c r="W307" s="377"/>
      <c r="X307" s="367"/>
      <c r="Z307" s="356"/>
      <c r="AA307" s="366"/>
      <c r="AB307" s="158"/>
      <c r="AC307" s="170"/>
      <c r="AD307" s="366"/>
      <c r="AG307" s="379"/>
      <c r="AH307" s="358"/>
      <c r="AJ307" s="379"/>
      <c r="AK307" s="366"/>
      <c r="AL307" s="366"/>
      <c r="AN307" s="152"/>
      <c r="AP307" s="379"/>
      <c r="AQ307" s="243"/>
      <c r="AR307" s="366"/>
      <c r="AT307" s="241"/>
    </row>
    <row r="308" spans="1:46" ht="36" customHeight="1" outlineLevel="1" x14ac:dyDescent="0.25">
      <c r="A308" s="361"/>
      <c r="B308" s="361"/>
      <c r="C308" s="362"/>
      <c r="D308" s="359"/>
      <c r="E308" s="373"/>
      <c r="F308" s="359"/>
      <c r="G308" s="364"/>
      <c r="H308" s="364"/>
      <c r="I308" s="364"/>
      <c r="J308" s="364"/>
      <c r="K308" s="92" t="s">
        <v>347</v>
      </c>
      <c r="L308" s="364" t="str">
        <f>VLOOKUP(K308,материалы!$A$5:$G$31,5, FALSE)</f>
        <v>кг</v>
      </c>
      <c r="M308" s="359">
        <f>VLOOKUP(K308,материалы!$A$5:$G$31,7, FALSE)</f>
        <v>300</v>
      </c>
      <c r="N308" s="359">
        <v>1.7000000000000001E-2</v>
      </c>
      <c r="O308" s="359">
        <f t="shared" si="176"/>
        <v>5.0999999999999996</v>
      </c>
      <c r="P308" s="364"/>
      <c r="Q308" s="364"/>
      <c r="R308" s="369"/>
      <c r="S308" s="369"/>
      <c r="T308" s="369"/>
      <c r="U308" s="121"/>
      <c r="V308" s="370"/>
      <c r="W308" s="377"/>
      <c r="X308" s="367"/>
      <c r="Z308" s="356"/>
      <c r="AA308" s="366"/>
      <c r="AB308" s="158"/>
      <c r="AC308" s="170"/>
      <c r="AD308" s="366"/>
      <c r="AG308" s="379"/>
      <c r="AH308" s="358"/>
      <c r="AJ308" s="379"/>
      <c r="AK308" s="366"/>
      <c r="AL308" s="366"/>
      <c r="AN308" s="152"/>
      <c r="AP308" s="379"/>
      <c r="AQ308" s="243"/>
      <c r="AR308" s="366"/>
      <c r="AT308" s="241"/>
    </row>
    <row r="309" spans="1:46" outlineLevel="1" x14ac:dyDescent="0.25">
      <c r="A309" s="361"/>
      <c r="B309" s="361"/>
      <c r="C309" s="362"/>
      <c r="D309" s="359"/>
      <c r="E309" s="373"/>
      <c r="F309" s="359"/>
      <c r="G309" s="364"/>
      <c r="H309" s="364"/>
      <c r="I309" s="364"/>
      <c r="J309" s="364"/>
      <c r="K309" s="184" t="s">
        <v>335</v>
      </c>
      <c r="L309" s="364" t="str">
        <f>VLOOKUP(K309,материалы!$A$5:$G$31,5, FALSE)</f>
        <v>кг</v>
      </c>
      <c r="M309" s="359">
        <f>VLOOKUP(K309,материалы!$A$5:$G$31,7, FALSE)</f>
        <v>95</v>
      </c>
      <c r="N309" s="185">
        <v>1E-3</v>
      </c>
      <c r="O309" s="359">
        <f>ROUND(M309*N309,2)</f>
        <v>0.1</v>
      </c>
      <c r="P309" s="364"/>
      <c r="Q309" s="364"/>
      <c r="R309" s="369"/>
      <c r="S309" s="369"/>
      <c r="T309" s="369"/>
      <c r="U309" s="121"/>
      <c r="V309" s="370"/>
      <c r="W309" s="377"/>
      <c r="X309" s="367"/>
      <c r="Z309" s="356"/>
      <c r="AA309" s="366"/>
      <c r="AB309" s="158"/>
      <c r="AC309" s="170"/>
      <c r="AD309" s="366"/>
      <c r="AG309" s="379"/>
      <c r="AH309" s="358"/>
      <c r="AJ309" s="379"/>
      <c r="AK309" s="366"/>
      <c r="AL309" s="366"/>
      <c r="AN309" s="152"/>
      <c r="AP309" s="379"/>
      <c r="AQ309" s="243"/>
      <c r="AR309" s="366"/>
      <c r="AT309" s="241"/>
    </row>
    <row r="310" spans="1:46" outlineLevel="1" x14ac:dyDescent="0.25">
      <c r="A310" s="361"/>
      <c r="B310" s="361"/>
      <c r="C310" s="362"/>
      <c r="D310" s="359"/>
      <c r="E310" s="373"/>
      <c r="F310" s="359"/>
      <c r="G310" s="364"/>
      <c r="H310" s="364"/>
      <c r="I310" s="364"/>
      <c r="J310" s="364"/>
      <c r="K310" s="184" t="s">
        <v>336</v>
      </c>
      <c r="L310" s="364" t="str">
        <f>VLOOKUP(K310,материалы!$A$5:$G$31,5, FALSE)</f>
        <v>кг</v>
      </c>
      <c r="M310" s="359">
        <f>VLOOKUP(K310,материалы!$A$5:$G$31,7, FALSE)</f>
        <v>80</v>
      </c>
      <c r="N310" s="364">
        <v>0.01</v>
      </c>
      <c r="O310" s="359">
        <f>ROUND(M310*N310,2)</f>
        <v>0.8</v>
      </c>
      <c r="P310" s="364"/>
      <c r="Q310" s="364"/>
      <c r="R310" s="369"/>
      <c r="S310" s="369"/>
      <c r="T310" s="369"/>
      <c r="U310" s="121"/>
      <c r="V310" s="370"/>
      <c r="W310" s="377"/>
      <c r="X310" s="367"/>
      <c r="Z310" s="356"/>
      <c r="AA310" s="366"/>
      <c r="AB310" s="158"/>
      <c r="AC310" s="170"/>
      <c r="AD310" s="366"/>
      <c r="AG310" s="379"/>
      <c r="AH310" s="358"/>
      <c r="AJ310" s="379"/>
      <c r="AK310" s="366"/>
      <c r="AL310" s="366"/>
      <c r="AN310" s="152"/>
      <c r="AP310" s="379"/>
      <c r="AQ310" s="243"/>
      <c r="AR310" s="366"/>
      <c r="AT310" s="241"/>
    </row>
    <row r="311" spans="1:46" ht="25.5" outlineLevel="1" x14ac:dyDescent="0.25">
      <c r="A311" s="361"/>
      <c r="B311" s="361"/>
      <c r="C311" s="362"/>
      <c r="D311" s="359"/>
      <c r="E311" s="373"/>
      <c r="F311" s="359"/>
      <c r="G311" s="364"/>
      <c r="H311" s="364"/>
      <c r="I311" s="364"/>
      <c r="J311" s="364"/>
      <c r="K311" s="184" t="s">
        <v>388</v>
      </c>
      <c r="L311" s="364" t="str">
        <f>VLOOKUP(K311,материалы!$A$5:$G$31,5, FALSE)</f>
        <v>м</v>
      </c>
      <c r="M311" s="359">
        <f>VLOOKUP(K311,материалы!$A$5:$G$31,7, FALSE)</f>
        <v>132.99</v>
      </c>
      <c r="N311" s="364">
        <v>1</v>
      </c>
      <c r="O311" s="359">
        <f t="shared" ref="O311" si="177">ROUND(M311*N311,2)</f>
        <v>132.99</v>
      </c>
      <c r="P311" s="364"/>
      <c r="Q311" s="364"/>
      <c r="R311" s="369"/>
      <c r="S311" s="369"/>
      <c r="T311" s="369"/>
      <c r="U311" s="121"/>
      <c r="V311" s="370"/>
      <c r="W311" s="377"/>
      <c r="X311" s="367"/>
      <c r="Z311" s="356"/>
      <c r="AA311" s="366"/>
      <c r="AB311" s="158"/>
      <c r="AC311" s="170"/>
      <c r="AD311" s="366"/>
      <c r="AG311" s="379"/>
      <c r="AH311" s="358"/>
      <c r="AJ311" s="379"/>
      <c r="AK311" s="366"/>
      <c r="AL311" s="366"/>
      <c r="AN311" s="152"/>
      <c r="AP311" s="379"/>
      <c r="AQ311" s="243"/>
      <c r="AR311" s="366"/>
      <c r="AT311" s="241"/>
    </row>
    <row r="312" spans="1:46" ht="21" customHeight="1" x14ac:dyDescent="0.25">
      <c r="A312" s="979" t="s">
        <v>567</v>
      </c>
      <c r="B312" s="979" t="s">
        <v>298</v>
      </c>
      <c r="C312" s="995" t="s">
        <v>610</v>
      </c>
      <c r="D312" s="985" t="s">
        <v>299</v>
      </c>
      <c r="E312" s="373" t="s">
        <v>168</v>
      </c>
      <c r="F312" s="359">
        <f>VLOOKUP(E312,'условия, ФОТ'!$A$14:$I$28,9, FALSE)</f>
        <v>282.83999999999997</v>
      </c>
      <c r="G312" s="1016">
        <v>3.38</v>
      </c>
      <c r="H312" s="1016">
        <f>ROUND((F312+F313)/2*G312,2)</f>
        <v>1248.6600000000001</v>
      </c>
      <c r="I312" s="985">
        <f t="shared" si="111"/>
        <v>377.1</v>
      </c>
      <c r="J312" s="985">
        <f t="shared" si="162"/>
        <v>1625.7600000000002</v>
      </c>
      <c r="K312" s="986"/>
      <c r="L312" s="985"/>
      <c r="M312" s="985"/>
      <c r="N312" s="985"/>
      <c r="O312" s="985">
        <f>SUM(O314:O319)</f>
        <v>482.19</v>
      </c>
      <c r="P312" s="1016">
        <f t="shared" si="163"/>
        <v>2107.9500000000003</v>
      </c>
      <c r="Q312" s="1016">
        <f t="shared" si="154"/>
        <v>1633.66</v>
      </c>
      <c r="R312" s="1004">
        <f>ROUND(T312/1.2,2)</f>
        <v>1830</v>
      </c>
      <c r="S312" s="1004">
        <f t="shared" si="155"/>
        <v>366</v>
      </c>
      <c r="T312" s="1004">
        <f>ROUND((P312+Q312)*(1+AC312)*1.2,0)</f>
        <v>2196</v>
      </c>
      <c r="U312" s="794">
        <v>2059</v>
      </c>
      <c r="V312" s="1022">
        <f t="shared" si="164"/>
        <v>6.6537153958232267</v>
      </c>
      <c r="W312" s="1001">
        <v>2124</v>
      </c>
      <c r="X312" s="1002">
        <f t="shared" si="165"/>
        <v>3.3898305084745743</v>
      </c>
      <c r="Y312" s="117">
        <v>2124</v>
      </c>
      <c r="Z312" s="751">
        <v>1.034</v>
      </c>
      <c r="AA312" s="1003">
        <f>ROUND(W312*Z312,2)</f>
        <v>2196.2199999999998</v>
      </c>
      <c r="AB312" s="1033">
        <f>ROUND((P312+Q312)*1.2,2)</f>
        <v>4489.93</v>
      </c>
      <c r="AC312" s="1006">
        <f>ROUND((AA312/AB312)*100%-100%,4)</f>
        <v>-0.51090000000000002</v>
      </c>
      <c r="AD312" s="751">
        <f t="shared" si="166"/>
        <v>-2293.9052370000004</v>
      </c>
      <c r="AF312">
        <v>2196.2159999999999</v>
      </c>
      <c r="AG312" s="759">
        <v>2196</v>
      </c>
      <c r="AH312" s="1008">
        <f t="shared" si="167"/>
        <v>0</v>
      </c>
      <c r="AJ312" s="759">
        <v>9.1200000000000003E-2</v>
      </c>
      <c r="AK312" s="751">
        <f t="shared" si="168"/>
        <v>9.1200000000000003E-2</v>
      </c>
      <c r="AL312" s="751">
        <v>0</v>
      </c>
      <c r="AN312" s="152"/>
      <c r="AP312" s="759">
        <v>1.034</v>
      </c>
      <c r="AQ312" s="877">
        <v>9.1200000000000003E-2</v>
      </c>
      <c r="AR312" s="751">
        <f t="shared" si="169"/>
        <v>0</v>
      </c>
      <c r="AT312" s="747">
        <f t="shared" si="170"/>
        <v>-0.60210000000000008</v>
      </c>
    </row>
    <row r="313" spans="1:46" ht="19.5" customHeight="1" x14ac:dyDescent="0.25">
      <c r="A313" s="979"/>
      <c r="B313" s="979"/>
      <c r="C313" s="995"/>
      <c r="D313" s="985"/>
      <c r="E313" s="373" t="s">
        <v>174</v>
      </c>
      <c r="F313" s="359">
        <f>VLOOKUP(E313,'условия, ФОТ'!$A$14:$I$28,9, FALSE)</f>
        <v>456.01</v>
      </c>
      <c r="G313" s="1016"/>
      <c r="H313" s="1016"/>
      <c r="I313" s="985"/>
      <c r="J313" s="985"/>
      <c r="K313" s="986"/>
      <c r="L313" s="985"/>
      <c r="M313" s="985"/>
      <c r="N313" s="985"/>
      <c r="O313" s="985"/>
      <c r="P313" s="1016"/>
      <c r="Q313" s="1016"/>
      <c r="R313" s="1004"/>
      <c r="S313" s="1004"/>
      <c r="T313" s="1004">
        <f>ROUND((P313+Q313)*(1+$R$5)*1.18,0)</f>
        <v>0</v>
      </c>
      <c r="U313" s="1009"/>
      <c r="V313" s="1022"/>
      <c r="W313" s="1001"/>
      <c r="X313" s="1002"/>
      <c r="Z313" s="752"/>
      <c r="AA313" s="1003"/>
      <c r="AB313" s="1034"/>
      <c r="AC313" s="1007"/>
      <c r="AD313" s="752"/>
      <c r="AG313" s="760"/>
      <c r="AH313" s="1008"/>
      <c r="AJ313" s="760"/>
      <c r="AK313" s="752"/>
      <c r="AL313" s="752"/>
      <c r="AN313" s="152"/>
      <c r="AP313" s="760"/>
      <c r="AQ313" s="878"/>
      <c r="AR313" s="752"/>
      <c r="AT313" s="748"/>
    </row>
    <row r="314" spans="1:46" ht="17.25" customHeight="1" outlineLevel="1" x14ac:dyDescent="0.25">
      <c r="A314" s="361"/>
      <c r="B314" s="361"/>
      <c r="C314" s="362"/>
      <c r="D314" s="359"/>
      <c r="E314" s="373"/>
      <c r="F314" s="359"/>
      <c r="G314" s="364"/>
      <c r="H314" s="364"/>
      <c r="I314" s="359"/>
      <c r="J314" s="178" t="s">
        <v>385</v>
      </c>
      <c r="K314" s="186" t="s">
        <v>329</v>
      </c>
      <c r="L314" s="364" t="str">
        <f>VLOOKUP(K314,материалы!$A$5:$G$31,5, FALSE)</f>
        <v>м3</v>
      </c>
      <c r="M314" s="359">
        <f>VLOOKUP(K314,материалы!$A$5:$G$31,7, FALSE)</f>
        <v>1033.33</v>
      </c>
      <c r="N314" s="359">
        <v>0.17499999999999999</v>
      </c>
      <c r="O314" s="359">
        <f>ROUND(M314*N314,2)</f>
        <v>180.83</v>
      </c>
      <c r="P314" s="364"/>
      <c r="Q314" s="364"/>
      <c r="R314" s="369"/>
      <c r="S314" s="369"/>
      <c r="T314" s="369"/>
      <c r="U314" s="121"/>
      <c r="V314" s="370"/>
      <c r="W314" s="377"/>
      <c r="X314" s="367"/>
      <c r="Z314" s="356"/>
      <c r="AA314" s="366"/>
      <c r="AB314" s="158"/>
      <c r="AC314" s="170"/>
      <c r="AD314" s="366"/>
      <c r="AG314" s="379"/>
      <c r="AH314" s="358"/>
      <c r="AJ314" s="379"/>
      <c r="AK314" s="366"/>
      <c r="AL314" s="366"/>
      <c r="AN314" s="152"/>
      <c r="AP314" s="379"/>
      <c r="AQ314" s="243"/>
      <c r="AR314" s="366"/>
      <c r="AT314" s="241"/>
    </row>
    <row r="315" spans="1:46" ht="17.25" customHeight="1" outlineLevel="1" x14ac:dyDescent="0.25">
      <c r="A315" s="361"/>
      <c r="B315" s="361"/>
      <c r="C315" s="362"/>
      <c r="D315" s="359"/>
      <c r="E315" s="373"/>
      <c r="F315" s="359"/>
      <c r="G315" s="364"/>
      <c r="H315" s="364"/>
      <c r="I315" s="359"/>
      <c r="J315" s="359"/>
      <c r="K315" s="186" t="s">
        <v>330</v>
      </c>
      <c r="L315" s="364" t="str">
        <f>VLOOKUP(K315,материалы!$A$5:$G$31,5, FALSE)</f>
        <v>м3</v>
      </c>
      <c r="M315" s="359">
        <f>VLOOKUP(K315,материалы!$A$5:$G$31,7, FALSE)</f>
        <v>116.67</v>
      </c>
      <c r="N315" s="359">
        <v>0.05</v>
      </c>
      <c r="O315" s="359">
        <f t="shared" ref="O315:O316" si="178">ROUND(M315*N315,2)</f>
        <v>5.83</v>
      </c>
      <c r="P315" s="364"/>
      <c r="Q315" s="364"/>
      <c r="R315" s="369"/>
      <c r="S315" s="369"/>
      <c r="T315" s="369"/>
      <c r="U315" s="121"/>
      <c r="V315" s="370"/>
      <c r="W315" s="377"/>
      <c r="X315" s="367"/>
      <c r="Z315" s="356"/>
      <c r="AA315" s="366"/>
      <c r="AB315" s="158"/>
      <c r="AC315" s="170"/>
      <c r="AD315" s="366"/>
      <c r="AG315" s="379"/>
      <c r="AH315" s="358"/>
      <c r="AJ315" s="379"/>
      <c r="AK315" s="366"/>
      <c r="AL315" s="366"/>
      <c r="AN315" s="152"/>
      <c r="AP315" s="379"/>
      <c r="AQ315" s="243"/>
      <c r="AR315" s="366"/>
      <c r="AT315" s="241"/>
    </row>
    <row r="316" spans="1:46" ht="39" customHeight="1" outlineLevel="1" x14ac:dyDescent="0.25">
      <c r="A316" s="361"/>
      <c r="B316" s="361"/>
      <c r="C316" s="362"/>
      <c r="D316" s="359"/>
      <c r="E316" s="373"/>
      <c r="F316" s="359"/>
      <c r="G316" s="364"/>
      <c r="H316" s="364"/>
      <c r="I316" s="359"/>
      <c r="J316" s="359"/>
      <c r="K316" s="92" t="s">
        <v>347</v>
      </c>
      <c r="L316" s="364" t="str">
        <f>VLOOKUP(K316,материалы!$A$5:$G$31,5, FALSE)</f>
        <v>кг</v>
      </c>
      <c r="M316" s="359">
        <f>VLOOKUP(K316,материалы!$A$5:$G$31,7, FALSE)</f>
        <v>300</v>
      </c>
      <c r="N316" s="359">
        <v>1.7000000000000001E-2</v>
      </c>
      <c r="O316" s="359">
        <f t="shared" si="178"/>
        <v>5.0999999999999996</v>
      </c>
      <c r="P316" s="364"/>
      <c r="Q316" s="364"/>
      <c r="R316" s="369"/>
      <c r="S316" s="369"/>
      <c r="T316" s="369"/>
      <c r="U316" s="121"/>
      <c r="V316" s="370"/>
      <c r="W316" s="377"/>
      <c r="X316" s="367"/>
      <c r="Z316" s="356"/>
      <c r="AA316" s="366"/>
      <c r="AB316" s="158"/>
      <c r="AC316" s="170"/>
      <c r="AD316" s="366"/>
      <c r="AG316" s="379"/>
      <c r="AH316" s="358"/>
      <c r="AJ316" s="379"/>
      <c r="AK316" s="366"/>
      <c r="AL316" s="366"/>
      <c r="AN316" s="152"/>
      <c r="AP316" s="379"/>
      <c r="AQ316" s="243"/>
      <c r="AR316" s="366"/>
      <c r="AT316" s="241"/>
    </row>
    <row r="317" spans="1:46" outlineLevel="1" x14ac:dyDescent="0.25">
      <c r="A317" s="361"/>
      <c r="B317" s="361"/>
      <c r="C317" s="362"/>
      <c r="D317" s="359"/>
      <c r="E317" s="373"/>
      <c r="F317" s="359"/>
      <c r="G317" s="364"/>
      <c r="H317" s="364"/>
      <c r="I317" s="359"/>
      <c r="J317" s="359"/>
      <c r="K317" s="184" t="s">
        <v>335</v>
      </c>
      <c r="L317" s="364" t="str">
        <f>VLOOKUP(K317,материалы!$A$5:$G$31,5, FALSE)</f>
        <v>кг</v>
      </c>
      <c r="M317" s="359">
        <f>VLOOKUP(K317,материалы!$A$5:$G$31,7, FALSE)</f>
        <v>95</v>
      </c>
      <c r="N317" s="185">
        <v>1E-3</v>
      </c>
      <c r="O317" s="359">
        <f>ROUND(M317*N317,2)</f>
        <v>0.1</v>
      </c>
      <c r="P317" s="364"/>
      <c r="Q317" s="364"/>
      <c r="R317" s="369"/>
      <c r="S317" s="369"/>
      <c r="T317" s="369"/>
      <c r="U317" s="121"/>
      <c r="V317" s="370"/>
      <c r="W317" s="377"/>
      <c r="X317" s="367"/>
      <c r="Z317" s="356"/>
      <c r="AA317" s="366"/>
      <c r="AB317" s="158"/>
      <c r="AC317" s="170"/>
      <c r="AD317" s="366"/>
      <c r="AG317" s="379"/>
      <c r="AH317" s="358"/>
      <c r="AJ317" s="379"/>
      <c r="AK317" s="366"/>
      <c r="AL317" s="366"/>
      <c r="AN317" s="152"/>
      <c r="AP317" s="379"/>
      <c r="AQ317" s="243"/>
      <c r="AR317" s="366"/>
      <c r="AT317" s="241"/>
    </row>
    <row r="318" spans="1:46" outlineLevel="1" x14ac:dyDescent="0.25">
      <c r="A318" s="361"/>
      <c r="B318" s="361"/>
      <c r="C318" s="362"/>
      <c r="D318" s="359"/>
      <c r="E318" s="373"/>
      <c r="F318" s="359"/>
      <c r="G318" s="364"/>
      <c r="H318" s="364"/>
      <c r="I318" s="359"/>
      <c r="J318" s="359"/>
      <c r="K318" s="184" t="s">
        <v>336</v>
      </c>
      <c r="L318" s="364" t="str">
        <f>VLOOKUP(K318,материалы!$A$5:$G$31,5, FALSE)</f>
        <v>кг</v>
      </c>
      <c r="M318" s="359">
        <f>VLOOKUP(K318,материалы!$A$5:$G$31,7, FALSE)</f>
        <v>80</v>
      </c>
      <c r="N318" s="364">
        <v>0.01</v>
      </c>
      <c r="O318" s="359">
        <f>ROUND(M318*N318,2)</f>
        <v>0.8</v>
      </c>
      <c r="P318" s="364"/>
      <c r="Q318" s="364"/>
      <c r="R318" s="369"/>
      <c r="S318" s="369"/>
      <c r="T318" s="369"/>
      <c r="U318" s="121"/>
      <c r="V318" s="370"/>
      <c r="W318" s="377"/>
      <c r="X318" s="367"/>
      <c r="Z318" s="356"/>
      <c r="AA318" s="366"/>
      <c r="AB318" s="158"/>
      <c r="AC318" s="170"/>
      <c r="AD318" s="366"/>
      <c r="AG318" s="379"/>
      <c r="AH318" s="358"/>
      <c r="AJ318" s="379"/>
      <c r="AK318" s="366"/>
      <c r="AL318" s="366"/>
      <c r="AN318" s="152"/>
      <c r="AP318" s="379"/>
      <c r="AQ318" s="243"/>
      <c r="AR318" s="366"/>
      <c r="AT318" s="241"/>
    </row>
    <row r="319" spans="1:46" ht="25.5" outlineLevel="1" x14ac:dyDescent="0.25">
      <c r="A319" s="361"/>
      <c r="B319" s="361"/>
      <c r="C319" s="362"/>
      <c r="D319" s="359"/>
      <c r="E319" s="373"/>
      <c r="F319" s="359"/>
      <c r="G319" s="364"/>
      <c r="H319" s="364"/>
      <c r="I319" s="359"/>
      <c r="J319" s="359"/>
      <c r="K319" s="184" t="s">
        <v>397</v>
      </c>
      <c r="L319" s="364" t="str">
        <f>VLOOKUP(K319,материалы!$A$5:$G$31,5, FALSE)</f>
        <v>м</v>
      </c>
      <c r="M319" s="359">
        <f>VLOOKUP(K319,материалы!$A$5:$G$31,7, FALSE)</f>
        <v>289.52999999999997</v>
      </c>
      <c r="N319" s="364">
        <v>1</v>
      </c>
      <c r="O319" s="359">
        <f>ROUND(M319*N319,2)</f>
        <v>289.52999999999997</v>
      </c>
      <c r="P319" s="364"/>
      <c r="Q319" s="364"/>
      <c r="R319" s="369"/>
      <c r="S319" s="369"/>
      <c r="T319" s="369"/>
      <c r="U319" s="121"/>
      <c r="V319" s="370"/>
      <c r="W319" s="377"/>
      <c r="X319" s="367"/>
      <c r="Z319" s="356"/>
      <c r="AA319" s="366"/>
      <c r="AB319" s="158"/>
      <c r="AC319" s="170"/>
      <c r="AD319" s="366"/>
      <c r="AG319" s="379"/>
      <c r="AH319" s="358"/>
      <c r="AJ319" s="379"/>
      <c r="AK319" s="366"/>
      <c r="AL319" s="366"/>
      <c r="AN319" s="152"/>
      <c r="AP319" s="379"/>
      <c r="AQ319" s="243"/>
      <c r="AR319" s="366"/>
      <c r="AT319" s="241"/>
    </row>
    <row r="320" spans="1:46" x14ac:dyDescent="0.25">
      <c r="A320" s="979" t="s">
        <v>568</v>
      </c>
      <c r="B320" s="979" t="s">
        <v>300</v>
      </c>
      <c r="C320" s="995" t="s">
        <v>398</v>
      </c>
      <c r="D320" s="985" t="s">
        <v>36</v>
      </c>
      <c r="E320" s="373" t="s">
        <v>168</v>
      </c>
      <c r="F320" s="359">
        <f>VLOOKUP(E320,'условия, ФОТ'!$A$14:$I$28,9, FALSE)</f>
        <v>282.83999999999997</v>
      </c>
      <c r="G320" s="985">
        <v>0.86</v>
      </c>
      <c r="H320" s="1016">
        <f>ROUND((F320+F321)/2*G320,2)</f>
        <v>317.70999999999998</v>
      </c>
      <c r="I320" s="985">
        <f t="shared" si="111"/>
        <v>95.95</v>
      </c>
      <c r="J320" s="985">
        <f t="shared" si="162"/>
        <v>413.65999999999997</v>
      </c>
      <c r="K320" s="986"/>
      <c r="L320" s="985"/>
      <c r="M320" s="985"/>
      <c r="N320" s="985"/>
      <c r="O320" s="985">
        <f>O322</f>
        <v>132.99</v>
      </c>
      <c r="P320" s="1016">
        <f t="shared" si="163"/>
        <v>546.65</v>
      </c>
      <c r="Q320" s="1016">
        <f t="shared" si="154"/>
        <v>423.65</v>
      </c>
      <c r="R320" s="1004">
        <f>ROUND(T320/1.2,2)</f>
        <v>479.17</v>
      </c>
      <c r="S320" s="1004">
        <f t="shared" si="155"/>
        <v>95.83</v>
      </c>
      <c r="T320" s="1004">
        <f>ROUND((P320+Q320)*(1+AC320)*1.2,0)</f>
        <v>575</v>
      </c>
      <c r="U320" s="794">
        <v>539</v>
      </c>
      <c r="V320" s="1022">
        <f t="shared" si="164"/>
        <v>6.6790352504638264</v>
      </c>
      <c r="W320" s="1001">
        <v>556</v>
      </c>
      <c r="X320" s="1002">
        <f t="shared" si="165"/>
        <v>3.4172661870503589</v>
      </c>
      <c r="Y320" s="117">
        <v>556</v>
      </c>
      <c r="Z320" s="751">
        <v>1.034</v>
      </c>
      <c r="AA320" s="1003">
        <f>ROUND(W320*Z320,2)</f>
        <v>574.9</v>
      </c>
      <c r="AB320" s="1005">
        <f>ROUND((P320+Q320)*1.2,2)</f>
        <v>1164.3599999999999</v>
      </c>
      <c r="AC320" s="1006">
        <f>ROUND((AA320/AB320)*100%-100%,4)</f>
        <v>-0.50629999999999997</v>
      </c>
      <c r="AD320" s="751">
        <f t="shared" si="166"/>
        <v>-589.51546799999994</v>
      </c>
      <c r="AF320">
        <v>574.904</v>
      </c>
      <c r="AG320" s="759">
        <v>575</v>
      </c>
      <c r="AH320" s="1008">
        <f t="shared" si="167"/>
        <v>0</v>
      </c>
      <c r="AJ320" s="759">
        <v>9.6199999999999994E-2</v>
      </c>
      <c r="AK320" s="751">
        <f t="shared" si="168"/>
        <v>9.6199999999999994E-2</v>
      </c>
      <c r="AL320" s="751">
        <v>0</v>
      </c>
      <c r="AN320" s="152"/>
      <c r="AP320" s="759">
        <v>1.034</v>
      </c>
      <c r="AQ320" s="877">
        <v>9.6199999999999994E-2</v>
      </c>
      <c r="AR320" s="751">
        <f t="shared" si="169"/>
        <v>0</v>
      </c>
      <c r="AT320" s="747">
        <f t="shared" si="170"/>
        <v>-0.60249999999999992</v>
      </c>
    </row>
    <row r="321" spans="1:46" ht="13.5" customHeight="1" x14ac:dyDescent="0.25">
      <c r="A321" s="979"/>
      <c r="B321" s="979"/>
      <c r="C321" s="995"/>
      <c r="D321" s="985"/>
      <c r="E321" s="373" t="s">
        <v>174</v>
      </c>
      <c r="F321" s="359">
        <f>VLOOKUP(E321,'условия, ФОТ'!$A$14:$I$28,9, FALSE)</f>
        <v>456.01</v>
      </c>
      <c r="G321" s="985"/>
      <c r="H321" s="1016"/>
      <c r="I321" s="985"/>
      <c r="J321" s="985"/>
      <c r="K321" s="986"/>
      <c r="L321" s="985"/>
      <c r="M321" s="985"/>
      <c r="N321" s="985"/>
      <c r="O321" s="985"/>
      <c r="P321" s="1016"/>
      <c r="Q321" s="1016"/>
      <c r="R321" s="1004"/>
      <c r="S321" s="1004"/>
      <c r="T321" s="1004">
        <f>ROUND((P321+Q321)*(1+$R$5)*1.18,0)</f>
        <v>0</v>
      </c>
      <c r="U321" s="1009"/>
      <c r="V321" s="1022"/>
      <c r="W321" s="1001"/>
      <c r="X321" s="1002"/>
      <c r="Z321" s="752"/>
      <c r="AA321" s="1003"/>
      <c r="AB321" s="1005"/>
      <c r="AC321" s="1007"/>
      <c r="AD321" s="752"/>
      <c r="AG321" s="760"/>
      <c r="AH321" s="1008"/>
      <c r="AJ321" s="760"/>
      <c r="AK321" s="752"/>
      <c r="AL321" s="752"/>
      <c r="AN321" s="152"/>
      <c r="AP321" s="760"/>
      <c r="AQ321" s="878"/>
      <c r="AR321" s="752"/>
      <c r="AT321" s="748"/>
    </row>
    <row r="322" spans="1:46" ht="24" customHeight="1" outlineLevel="1" x14ac:dyDescent="0.25">
      <c r="A322" s="361"/>
      <c r="B322" s="361"/>
      <c r="C322" s="362"/>
      <c r="D322" s="359"/>
      <c r="E322" s="373"/>
      <c r="F322" s="359"/>
      <c r="G322" s="359"/>
      <c r="H322" s="364"/>
      <c r="I322" s="359"/>
      <c r="J322" s="178" t="s">
        <v>385</v>
      </c>
      <c r="K322" s="184" t="s">
        <v>388</v>
      </c>
      <c r="L322" s="364" t="str">
        <f>VLOOKUP(K322,материалы!$A$5:$G$31,5, FALSE)</f>
        <v>м</v>
      </c>
      <c r="M322" s="359">
        <f>VLOOKUP(K322,материалы!$A$5:$G$31,7, FALSE)</f>
        <v>132.99</v>
      </c>
      <c r="N322" s="364">
        <v>1</v>
      </c>
      <c r="O322" s="359">
        <f t="shared" ref="O322" si="179">ROUND(M322*N322,2)</f>
        <v>132.99</v>
      </c>
      <c r="P322" s="364"/>
      <c r="Q322" s="364"/>
      <c r="R322" s="369"/>
      <c r="S322" s="369"/>
      <c r="T322" s="369"/>
      <c r="U322" s="121"/>
      <c r="V322" s="370"/>
      <c r="W322" s="377"/>
      <c r="X322" s="367"/>
      <c r="Z322" s="356"/>
      <c r="AA322" s="366"/>
      <c r="AB322" s="158"/>
      <c r="AC322" s="170"/>
      <c r="AD322" s="366"/>
      <c r="AG322" s="379"/>
      <c r="AH322" s="358"/>
      <c r="AJ322" s="379"/>
      <c r="AK322" s="366"/>
      <c r="AL322" s="366"/>
      <c r="AN322" s="152"/>
      <c r="AP322" s="379"/>
      <c r="AQ322" s="243"/>
      <c r="AR322" s="366"/>
      <c r="AT322" s="241"/>
    </row>
    <row r="323" spans="1:46" ht="16.5" customHeight="1" x14ac:dyDescent="0.25">
      <c r="A323" s="979" t="s">
        <v>569</v>
      </c>
      <c r="B323" s="979" t="s">
        <v>300</v>
      </c>
      <c r="C323" s="995" t="s">
        <v>399</v>
      </c>
      <c r="D323" s="985" t="s">
        <v>36</v>
      </c>
      <c r="E323" s="373" t="s">
        <v>168</v>
      </c>
      <c r="F323" s="359">
        <f>VLOOKUP(E323,'условия, ФОТ'!$A$14:$I$28,9, FALSE)</f>
        <v>282.83999999999997</v>
      </c>
      <c r="G323" s="985">
        <v>1.02</v>
      </c>
      <c r="H323" s="1016">
        <f>ROUND((F323+F324)/2*G323,2)</f>
        <v>376.81</v>
      </c>
      <c r="I323" s="985">
        <f t="shared" si="111"/>
        <v>113.8</v>
      </c>
      <c r="J323" s="985">
        <f t="shared" si="162"/>
        <v>490.61</v>
      </c>
      <c r="K323" s="986"/>
      <c r="L323" s="985"/>
      <c r="M323" s="985"/>
      <c r="N323" s="985"/>
      <c r="O323" s="985">
        <f>O325</f>
        <v>289.52999999999997</v>
      </c>
      <c r="P323" s="1016">
        <f t="shared" si="163"/>
        <v>780.14</v>
      </c>
      <c r="Q323" s="1016">
        <f>ROUND(P323*$Q$5,2)</f>
        <v>604.61</v>
      </c>
      <c r="R323" s="1004">
        <f>ROUND(T323/1.2,2)</f>
        <v>633.33000000000004</v>
      </c>
      <c r="S323" s="1004">
        <f t="shared" si="155"/>
        <v>126.67</v>
      </c>
      <c r="T323" s="1004">
        <f>ROUND((P323+Q323)*(1+AC323)*1.2,0)</f>
        <v>760</v>
      </c>
      <c r="U323" s="794">
        <v>712</v>
      </c>
      <c r="V323" s="1022">
        <f t="shared" si="164"/>
        <v>6.7415730337078656</v>
      </c>
      <c r="W323" s="1001">
        <v>735</v>
      </c>
      <c r="X323" s="1002">
        <f t="shared" si="165"/>
        <v>3.4013605442176953</v>
      </c>
      <c r="Y323" s="117">
        <v>735</v>
      </c>
      <c r="Z323" s="751">
        <v>1.034</v>
      </c>
      <c r="AA323" s="1003">
        <f>ROUND(W323*Z323,2)</f>
        <v>759.99</v>
      </c>
      <c r="AB323" s="1005">
        <f>ROUND((P323+Q323)*1.2,2)</f>
        <v>1661.7</v>
      </c>
      <c r="AC323" s="1006">
        <f>ROUND((AA323/AB323)*100%-100%,4)</f>
        <v>-0.54259999999999997</v>
      </c>
      <c r="AD323" s="751">
        <f t="shared" si="166"/>
        <v>-901.63842</v>
      </c>
      <c r="AF323">
        <v>759.99</v>
      </c>
      <c r="AG323" s="759">
        <v>760</v>
      </c>
      <c r="AH323" s="1008">
        <f t="shared" si="167"/>
        <v>0</v>
      </c>
      <c r="AJ323" s="759">
        <v>0.11210000000000001</v>
      </c>
      <c r="AK323" s="751">
        <f t="shared" si="168"/>
        <v>0.11210000000000001</v>
      </c>
      <c r="AL323" s="751">
        <v>0</v>
      </c>
      <c r="AN323" s="152"/>
      <c r="AP323" s="759">
        <v>1.034</v>
      </c>
      <c r="AQ323" s="877">
        <v>0.11210000000000001</v>
      </c>
      <c r="AR323" s="751">
        <f t="shared" si="169"/>
        <v>0</v>
      </c>
      <c r="AT323" s="747">
        <f t="shared" si="170"/>
        <v>-0.65469999999999995</v>
      </c>
    </row>
    <row r="324" spans="1:46" ht="13.5" customHeight="1" x14ac:dyDescent="0.25">
      <c r="A324" s="979"/>
      <c r="B324" s="979"/>
      <c r="C324" s="995"/>
      <c r="D324" s="985"/>
      <c r="E324" s="373" t="s">
        <v>174</v>
      </c>
      <c r="F324" s="359">
        <f>VLOOKUP(E324,'условия, ФОТ'!$A$14:$I$28,9, FALSE)</f>
        <v>456.01</v>
      </c>
      <c r="G324" s="985"/>
      <c r="H324" s="1016"/>
      <c r="I324" s="985"/>
      <c r="J324" s="985"/>
      <c r="K324" s="986"/>
      <c r="L324" s="985"/>
      <c r="M324" s="985"/>
      <c r="N324" s="985"/>
      <c r="O324" s="985"/>
      <c r="P324" s="1016"/>
      <c r="Q324" s="1016"/>
      <c r="R324" s="1004"/>
      <c r="S324" s="1004"/>
      <c r="T324" s="1004">
        <f>ROUND((P324+Q324)*(1+$R$5)*1.18,0)</f>
        <v>0</v>
      </c>
      <c r="U324" s="1009"/>
      <c r="V324" s="1022"/>
      <c r="W324" s="1001"/>
      <c r="X324" s="1002"/>
      <c r="Z324" s="752"/>
      <c r="AA324" s="1003"/>
      <c r="AB324" s="1005"/>
      <c r="AC324" s="1007"/>
      <c r="AD324" s="752"/>
      <c r="AG324" s="760"/>
      <c r="AH324" s="1008"/>
      <c r="AJ324" s="760"/>
      <c r="AK324" s="752"/>
      <c r="AL324" s="752"/>
      <c r="AN324" s="152"/>
      <c r="AP324" s="760"/>
      <c r="AQ324" s="878"/>
      <c r="AR324" s="752"/>
      <c r="AT324" s="748"/>
    </row>
    <row r="325" spans="1:46" ht="27" customHeight="1" outlineLevel="1" x14ac:dyDescent="0.25">
      <c r="A325" s="361"/>
      <c r="B325" s="361"/>
      <c r="C325" s="362"/>
      <c r="D325" s="359"/>
      <c r="E325" s="373"/>
      <c r="F325" s="359"/>
      <c r="G325" s="359"/>
      <c r="H325" s="364"/>
      <c r="I325" s="359"/>
      <c r="J325" s="178" t="s">
        <v>385</v>
      </c>
      <c r="K325" s="184" t="s">
        <v>397</v>
      </c>
      <c r="L325" s="364" t="str">
        <f>VLOOKUP(K325,материалы!$A$5:$G$31,5, FALSE)</f>
        <v>м</v>
      </c>
      <c r="M325" s="359">
        <f>VLOOKUP(K325,материалы!$A$5:$G$31,7, FALSE)</f>
        <v>289.52999999999997</v>
      </c>
      <c r="N325" s="364">
        <v>1</v>
      </c>
      <c r="O325" s="359">
        <f>ROUND(M325*N325,2)</f>
        <v>289.52999999999997</v>
      </c>
      <c r="P325" s="364"/>
      <c r="Q325" s="364"/>
      <c r="R325" s="369"/>
      <c r="S325" s="369"/>
      <c r="T325" s="369"/>
      <c r="U325" s="121"/>
      <c r="V325" s="370"/>
      <c r="W325" s="377"/>
      <c r="X325" s="367"/>
      <c r="Z325" s="356"/>
      <c r="AA325" s="366"/>
      <c r="AB325" s="158"/>
      <c r="AC325" s="170"/>
      <c r="AD325" s="366"/>
      <c r="AG325" s="379"/>
      <c r="AH325" s="358"/>
      <c r="AJ325" s="379"/>
      <c r="AK325" s="366"/>
      <c r="AL325" s="366"/>
      <c r="AN325" s="152"/>
      <c r="AP325" s="379"/>
      <c r="AQ325" s="243"/>
      <c r="AR325" s="366"/>
      <c r="AT325" s="241"/>
    </row>
    <row r="326" spans="1:46" ht="25.5" customHeight="1" x14ac:dyDescent="0.25">
      <c r="A326" s="361" t="s">
        <v>570</v>
      </c>
      <c r="B326" s="361" t="s">
        <v>301</v>
      </c>
      <c r="C326" s="362" t="s">
        <v>401</v>
      </c>
      <c r="D326" s="359" t="s">
        <v>302</v>
      </c>
      <c r="E326" s="373" t="s">
        <v>168</v>
      </c>
      <c r="F326" s="359">
        <f>VLOOKUP(E326,'условия, ФОТ'!$A$14:$I$28,9, FALSE)</f>
        <v>282.83999999999997</v>
      </c>
      <c r="G326" s="359">
        <v>0.94</v>
      </c>
      <c r="H326" s="359">
        <f t="shared" si="161"/>
        <v>265.87</v>
      </c>
      <c r="I326" s="359">
        <f t="shared" si="111"/>
        <v>80.290000000000006</v>
      </c>
      <c r="J326" s="359">
        <f t="shared" si="162"/>
        <v>346.16</v>
      </c>
      <c r="K326" s="363"/>
      <c r="L326" s="359"/>
      <c r="M326" s="359"/>
      <c r="N326" s="359"/>
      <c r="O326" s="359">
        <f>SUM(O327:O330)</f>
        <v>71.53</v>
      </c>
      <c r="P326" s="359">
        <f>J326+O326</f>
        <v>417.69000000000005</v>
      </c>
      <c r="Q326" s="359">
        <f t="shared" si="154"/>
        <v>323.70999999999998</v>
      </c>
      <c r="R326" s="369">
        <f>ROUND(T326/1.2,2)</f>
        <v>446.67</v>
      </c>
      <c r="S326" s="369">
        <f t="shared" si="155"/>
        <v>89.33</v>
      </c>
      <c r="T326" s="369">
        <f>ROUND((P326+Q326)*(1+AC326)*1.2,0)</f>
        <v>536</v>
      </c>
      <c r="U326" s="121">
        <v>440</v>
      </c>
      <c r="V326" s="127">
        <f t="shared" si="164"/>
        <v>21.818181818181827</v>
      </c>
      <c r="W326" s="377">
        <v>454</v>
      </c>
      <c r="X326" s="367">
        <f t="shared" si="165"/>
        <v>18.061674008810584</v>
      </c>
      <c r="Y326" s="117">
        <v>454</v>
      </c>
      <c r="Z326" s="368">
        <v>1.18</v>
      </c>
      <c r="AA326" s="152">
        <f>ROUND(W326*Z326,2)</f>
        <v>535.72</v>
      </c>
      <c r="AB326" s="157">
        <f>ROUND((P326+Q326)*1.2,2)</f>
        <v>889.68</v>
      </c>
      <c r="AC326" s="170">
        <f>ROUND((AA326/AB326)*100%-100%,4)</f>
        <v>-0.39789999999999998</v>
      </c>
      <c r="AD326" s="366">
        <f t="shared" si="166"/>
        <v>-354.00367199999994</v>
      </c>
      <c r="AF326">
        <v>469.43600000000004</v>
      </c>
      <c r="AG326" s="379">
        <v>469</v>
      </c>
      <c r="AH326" s="358">
        <f t="shared" si="167"/>
        <v>67</v>
      </c>
      <c r="AJ326" s="379">
        <v>-8.0500000000000002E-2</v>
      </c>
      <c r="AK326" s="366">
        <f t="shared" si="168"/>
        <v>1.0805</v>
      </c>
      <c r="AL326" s="366">
        <v>1.117</v>
      </c>
      <c r="AN326" s="152">
        <f t="shared" si="171"/>
        <v>507.12</v>
      </c>
      <c r="AP326" s="379">
        <v>1.034</v>
      </c>
      <c r="AQ326" s="243">
        <v>-8.0500000000000002E-2</v>
      </c>
      <c r="AR326" s="366">
        <f t="shared" si="169"/>
        <v>0.14599999999999991</v>
      </c>
      <c r="AT326" s="241">
        <f t="shared" si="170"/>
        <v>-0.31739999999999996</v>
      </c>
    </row>
    <row r="327" spans="1:46" ht="25.5" outlineLevel="1" x14ac:dyDescent="0.25">
      <c r="A327" s="361"/>
      <c r="B327" s="361"/>
      <c r="C327" s="362"/>
      <c r="D327" s="359"/>
      <c r="E327" s="373"/>
      <c r="F327" s="359"/>
      <c r="G327" s="359"/>
      <c r="H327" s="359"/>
      <c r="I327" s="359"/>
      <c r="J327" s="178" t="s">
        <v>385</v>
      </c>
      <c r="K327" s="92" t="s">
        <v>341</v>
      </c>
      <c r="L327" s="364" t="str">
        <f>VLOOKUP(K327,материалы!$A$5:$G$31,5, FALSE)</f>
        <v>кг</v>
      </c>
      <c r="M327" s="359">
        <f>VLOOKUP(K327,материалы!$A$5:$G$31,7, FALSE)</f>
        <v>950</v>
      </c>
      <c r="N327" s="359">
        <v>5.0000000000000001E-3</v>
      </c>
      <c r="O327" s="359">
        <f>ROUND(M327*N327,2)</f>
        <v>4.75</v>
      </c>
      <c r="P327" s="359"/>
      <c r="Q327" s="359"/>
      <c r="R327" s="369"/>
      <c r="S327" s="369"/>
      <c r="T327" s="369"/>
      <c r="U327" s="121"/>
      <c r="V327" s="127"/>
      <c r="W327" s="377"/>
      <c r="X327" s="367"/>
      <c r="Z327" s="356"/>
      <c r="AA327" s="366"/>
      <c r="AB327" s="158"/>
      <c r="AC327" s="170"/>
      <c r="AD327" s="366"/>
      <c r="AG327" s="379"/>
      <c r="AH327" s="358"/>
      <c r="AJ327" s="379"/>
      <c r="AK327" s="366"/>
      <c r="AL327" s="366"/>
      <c r="AN327" s="152"/>
      <c r="AP327" s="379"/>
      <c r="AQ327" s="243"/>
      <c r="AR327" s="366"/>
      <c r="AT327" s="241"/>
    </row>
    <row r="328" spans="1:46" outlineLevel="1" x14ac:dyDescent="0.25">
      <c r="A328" s="361"/>
      <c r="B328" s="361"/>
      <c r="C328" s="362"/>
      <c r="D328" s="359"/>
      <c r="E328" s="373"/>
      <c r="F328" s="359"/>
      <c r="G328" s="359"/>
      <c r="H328" s="359"/>
      <c r="I328" s="359"/>
      <c r="J328" s="359"/>
      <c r="K328" s="184" t="s">
        <v>335</v>
      </c>
      <c r="L328" s="364" t="str">
        <f>VLOOKUP(K328,материалы!$A$5:$G$31,5, FALSE)</f>
        <v>кг</v>
      </c>
      <c r="M328" s="359">
        <f>VLOOKUP(K328,материалы!$A$5:$G$31,7, FALSE)</f>
        <v>95</v>
      </c>
      <c r="N328" s="185">
        <v>1E-3</v>
      </c>
      <c r="O328" s="359">
        <f>ROUND(M328*N328,2)</f>
        <v>0.1</v>
      </c>
      <c r="P328" s="359"/>
      <c r="Q328" s="359"/>
      <c r="R328" s="369"/>
      <c r="S328" s="369"/>
      <c r="T328" s="369"/>
      <c r="U328" s="121"/>
      <c r="V328" s="127"/>
      <c r="W328" s="377"/>
      <c r="X328" s="367"/>
      <c r="Z328" s="356"/>
      <c r="AA328" s="366"/>
      <c r="AB328" s="158"/>
      <c r="AC328" s="170"/>
      <c r="AD328" s="366"/>
      <c r="AG328" s="379"/>
      <c r="AH328" s="358"/>
      <c r="AJ328" s="379"/>
      <c r="AK328" s="366"/>
      <c r="AL328" s="366"/>
      <c r="AN328" s="152"/>
      <c r="AP328" s="379"/>
      <c r="AQ328" s="243"/>
      <c r="AR328" s="366"/>
      <c r="AT328" s="241"/>
    </row>
    <row r="329" spans="1:46" outlineLevel="1" x14ac:dyDescent="0.25">
      <c r="A329" s="361"/>
      <c r="B329" s="361"/>
      <c r="C329" s="362"/>
      <c r="D329" s="359"/>
      <c r="E329" s="373"/>
      <c r="F329" s="359"/>
      <c r="G329" s="359"/>
      <c r="H329" s="359"/>
      <c r="I329" s="359"/>
      <c r="J329" s="359"/>
      <c r="K329" s="184" t="s">
        <v>336</v>
      </c>
      <c r="L329" s="364" t="str">
        <f>VLOOKUP(K329,материалы!$A$5:$G$31,5, FALSE)</f>
        <v>кг</v>
      </c>
      <c r="M329" s="359">
        <f>VLOOKUP(K329,материалы!$A$5:$G$31,7, FALSE)</f>
        <v>80</v>
      </c>
      <c r="N329" s="364">
        <v>0.01</v>
      </c>
      <c r="O329" s="359">
        <f>ROUND(M329*N329,2)</f>
        <v>0.8</v>
      </c>
      <c r="P329" s="359"/>
      <c r="Q329" s="359"/>
      <c r="R329" s="369"/>
      <c r="S329" s="369"/>
      <c r="T329" s="369"/>
      <c r="U329" s="121"/>
      <c r="V329" s="127"/>
      <c r="W329" s="377"/>
      <c r="X329" s="367"/>
      <c r="Z329" s="356"/>
      <c r="AA329" s="366"/>
      <c r="AB329" s="158"/>
      <c r="AC329" s="170"/>
      <c r="AD329" s="366"/>
      <c r="AG329" s="379"/>
      <c r="AH329" s="358"/>
      <c r="AJ329" s="379"/>
      <c r="AK329" s="366"/>
      <c r="AL329" s="366"/>
      <c r="AN329" s="152"/>
      <c r="AP329" s="379"/>
      <c r="AQ329" s="243"/>
      <c r="AR329" s="366"/>
      <c r="AT329" s="241"/>
    </row>
    <row r="330" spans="1:46" outlineLevel="1" x14ac:dyDescent="0.25">
      <c r="A330" s="361"/>
      <c r="B330" s="361"/>
      <c r="C330" s="362"/>
      <c r="D330" s="359"/>
      <c r="E330" s="373"/>
      <c r="F330" s="359"/>
      <c r="G330" s="359"/>
      <c r="H330" s="359"/>
      <c r="I330" s="359"/>
      <c r="J330" s="359"/>
      <c r="K330" s="184" t="s">
        <v>400</v>
      </c>
      <c r="L330" s="364" t="str">
        <f>VLOOKUP(K330,материалы!$A$5:$G$31,5, FALSE)</f>
        <v>шт.</v>
      </c>
      <c r="M330" s="359">
        <f>VLOOKUP(K330,материалы!$A$5:$G$31,7, FALSE)</f>
        <v>65.88</v>
      </c>
      <c r="N330" s="364">
        <v>1</v>
      </c>
      <c r="O330" s="359">
        <f>ROUND(M330*N330,2)</f>
        <v>65.88</v>
      </c>
      <c r="P330" s="359"/>
      <c r="Q330" s="359"/>
      <c r="R330" s="369"/>
      <c r="S330" s="369"/>
      <c r="T330" s="369"/>
      <c r="U330" s="121"/>
      <c r="V330" s="127"/>
      <c r="W330" s="377"/>
      <c r="X330" s="367"/>
      <c r="Z330" s="356"/>
      <c r="AA330" s="366"/>
      <c r="AB330" s="158"/>
      <c r="AC330" s="170"/>
      <c r="AD330" s="366"/>
      <c r="AG330" s="379"/>
      <c r="AH330" s="358"/>
      <c r="AJ330" s="379"/>
      <c r="AK330" s="366"/>
      <c r="AL330" s="366"/>
      <c r="AN330" s="152"/>
      <c r="AP330" s="379"/>
      <c r="AQ330" s="243"/>
      <c r="AR330" s="366"/>
      <c r="AT330" s="241"/>
    </row>
    <row r="331" spans="1:46" ht="45" customHeight="1" x14ac:dyDescent="0.25">
      <c r="A331" s="361" t="s">
        <v>571</v>
      </c>
      <c r="B331" s="361" t="s">
        <v>303</v>
      </c>
      <c r="C331" s="362" t="s">
        <v>120</v>
      </c>
      <c r="D331" s="359" t="s">
        <v>304</v>
      </c>
      <c r="E331" s="373" t="s">
        <v>168</v>
      </c>
      <c r="F331" s="359">
        <f>VLOOKUP(E331,'условия, ФОТ'!$A$14:$I$28,9, FALSE)</f>
        <v>282.83999999999997</v>
      </c>
      <c r="G331" s="359">
        <v>0.65</v>
      </c>
      <c r="H331" s="359">
        <f t="shared" si="161"/>
        <v>183.85</v>
      </c>
      <c r="I331" s="359">
        <f t="shared" ref="I331:I334" si="180">ROUND(H331*$I$5,2)</f>
        <v>55.52</v>
      </c>
      <c r="J331" s="359">
        <f t="shared" si="162"/>
        <v>239.37</v>
      </c>
      <c r="K331" s="363"/>
      <c r="L331" s="359"/>
      <c r="M331" s="359"/>
      <c r="N331" s="359"/>
      <c r="O331" s="359"/>
      <c r="P331" s="359">
        <f t="shared" si="163"/>
        <v>239.37</v>
      </c>
      <c r="Q331" s="359">
        <f t="shared" si="154"/>
        <v>185.51</v>
      </c>
      <c r="R331" s="369">
        <f>ROUND(T331/1.2,2)</f>
        <v>262.5</v>
      </c>
      <c r="S331" s="369">
        <f>ROUND(R331*$S$5,2)</f>
        <v>52.5</v>
      </c>
      <c r="T331" s="369">
        <f>ROUND((P331+Q331)*(1+AC331)*1.2,0)</f>
        <v>315</v>
      </c>
      <c r="U331" s="121">
        <v>242</v>
      </c>
      <c r="V331" s="127">
        <f t="shared" si="164"/>
        <v>30.165289256198349</v>
      </c>
      <c r="W331" s="377">
        <v>249</v>
      </c>
      <c r="X331" s="367">
        <f t="shared" si="165"/>
        <v>26.506024096385545</v>
      </c>
      <c r="Y331" s="117">
        <v>249</v>
      </c>
      <c r="Z331" s="368">
        <v>1.2669999999999999</v>
      </c>
      <c r="AA331" s="152">
        <f>ROUND(W331*Z331,2)</f>
        <v>315.48</v>
      </c>
      <c r="AB331" s="157">
        <f>ROUND((P331+Q331)*1.2,2)</f>
        <v>509.86</v>
      </c>
      <c r="AC331" s="170">
        <f>ROUND((AA331/AB331)*100%-100%,4)</f>
        <v>-0.38119999999999998</v>
      </c>
      <c r="AD331" s="366">
        <f t="shared" ref="AD331:AD364" si="181">AB331*AC331</f>
        <v>-194.358632</v>
      </c>
      <c r="AF331">
        <v>257.46600000000001</v>
      </c>
      <c r="AG331" s="379">
        <v>257</v>
      </c>
      <c r="AH331" s="358">
        <f t="shared" ref="AH331:AH364" si="182">T331-AG331</f>
        <v>58</v>
      </c>
      <c r="AJ331" s="379">
        <v>-0.14330000000000001</v>
      </c>
      <c r="AK331" s="366">
        <f t="shared" ref="AK331:AK364" si="183">IF(AJ331&lt;0,-AJ331+1,AJ331)</f>
        <v>1.1433</v>
      </c>
      <c r="AL331" s="366">
        <v>1.1819999999999999</v>
      </c>
      <c r="AN331" s="152">
        <f t="shared" si="171"/>
        <v>294.32</v>
      </c>
      <c r="AP331" s="379">
        <v>1.034</v>
      </c>
      <c r="AQ331" s="243">
        <v>-0.14330000000000001</v>
      </c>
      <c r="AR331" s="366">
        <f t="shared" ref="AR331:AR364" si="184">Z331-AP331</f>
        <v>0.23299999999999987</v>
      </c>
      <c r="AT331" s="241">
        <f t="shared" ref="AT331:AT364" si="185">AC331-AQ331</f>
        <v>-0.23789999999999997</v>
      </c>
    </row>
    <row r="332" spans="1:46" ht="33" customHeight="1" x14ac:dyDescent="0.25">
      <c r="A332" s="361" t="s">
        <v>572</v>
      </c>
      <c r="B332" s="361" t="s">
        <v>305</v>
      </c>
      <c r="C332" s="362" t="s">
        <v>121</v>
      </c>
      <c r="D332" s="359" t="s">
        <v>234</v>
      </c>
      <c r="E332" s="373" t="s">
        <v>168</v>
      </c>
      <c r="F332" s="359">
        <f>VLOOKUP(E332,'условия, ФОТ'!$A$14:$I$28,9, FALSE)</f>
        <v>282.83999999999997</v>
      </c>
      <c r="G332" s="359">
        <v>0.39</v>
      </c>
      <c r="H332" s="359">
        <f t="shared" si="161"/>
        <v>110.31</v>
      </c>
      <c r="I332" s="359">
        <f t="shared" si="180"/>
        <v>33.31</v>
      </c>
      <c r="J332" s="359">
        <f t="shared" si="162"/>
        <v>143.62</v>
      </c>
      <c r="K332" s="363"/>
      <c r="L332" s="359"/>
      <c r="M332" s="359"/>
      <c r="N332" s="359"/>
      <c r="O332" s="359">
        <f>O333</f>
        <v>4.75</v>
      </c>
      <c r="P332" s="359">
        <f t="shared" si="163"/>
        <v>148.37</v>
      </c>
      <c r="Q332" s="359">
        <f t="shared" si="154"/>
        <v>114.99</v>
      </c>
      <c r="R332" s="369">
        <f>ROUND(T332/1.2,2)</f>
        <v>164.17</v>
      </c>
      <c r="S332" s="369">
        <f t="shared" si="155"/>
        <v>32.83</v>
      </c>
      <c r="T332" s="369">
        <f>ROUND((P332+Q332)*(1+AC332)*1.2,0)</f>
        <v>197</v>
      </c>
      <c r="U332" s="121">
        <v>154</v>
      </c>
      <c r="V332" s="127">
        <f t="shared" si="164"/>
        <v>27.922077922077932</v>
      </c>
      <c r="W332" s="377">
        <v>159</v>
      </c>
      <c r="X332" s="367">
        <f t="shared" si="165"/>
        <v>23.899371069182379</v>
      </c>
      <c r="Y332" s="117">
        <v>159</v>
      </c>
      <c r="Z332" s="368">
        <v>1.24</v>
      </c>
      <c r="AA332" s="152">
        <f>ROUND(W332*Z332,2)</f>
        <v>197.16</v>
      </c>
      <c r="AB332" s="157">
        <f>ROUND((P332+Q332)*1.2,2)</f>
        <v>316.02999999999997</v>
      </c>
      <c r="AC332" s="170">
        <f>ROUND((AA332/AB332)*100%-100%,4)</f>
        <v>-0.37609999999999999</v>
      </c>
      <c r="AD332" s="366">
        <f t="shared" si="181"/>
        <v>-118.85888299999999</v>
      </c>
      <c r="AF332">
        <v>164.40600000000001</v>
      </c>
      <c r="AG332" s="379">
        <v>164</v>
      </c>
      <c r="AH332" s="358">
        <f t="shared" si="182"/>
        <v>33</v>
      </c>
      <c r="AJ332" s="379">
        <v>-0.12509999999999999</v>
      </c>
      <c r="AK332" s="366">
        <f t="shared" si="183"/>
        <v>1.1251</v>
      </c>
      <c r="AL332" s="366">
        <v>1.163</v>
      </c>
      <c r="AN332" s="152">
        <f t="shared" si="171"/>
        <v>184.92</v>
      </c>
      <c r="AP332" s="379">
        <v>1.034</v>
      </c>
      <c r="AQ332" s="243">
        <v>-0.12509999999999999</v>
      </c>
      <c r="AR332" s="366">
        <f t="shared" si="184"/>
        <v>0.20599999999999996</v>
      </c>
      <c r="AT332" s="241">
        <f t="shared" si="185"/>
        <v>-0.251</v>
      </c>
    </row>
    <row r="333" spans="1:46" ht="25.5" outlineLevel="1" x14ac:dyDescent="0.25">
      <c r="A333" s="361"/>
      <c r="B333" s="361"/>
      <c r="C333" s="362"/>
      <c r="D333" s="359"/>
      <c r="E333" s="373"/>
      <c r="F333" s="359"/>
      <c r="G333" s="359"/>
      <c r="H333" s="359"/>
      <c r="I333" s="359"/>
      <c r="J333" s="178" t="s">
        <v>385</v>
      </c>
      <c r="K333" s="92" t="s">
        <v>341</v>
      </c>
      <c r="L333" s="364" t="str">
        <f>VLOOKUP(K333,материалы!$A$5:$G$31,5, FALSE)</f>
        <v>кг</v>
      </c>
      <c r="M333" s="359">
        <f>VLOOKUP(K333,материалы!$A$5:$G$31,7, FALSE)</f>
        <v>950</v>
      </c>
      <c r="N333" s="359">
        <v>5.0000000000000001E-3</v>
      </c>
      <c r="O333" s="359">
        <f>ROUND(M333*N333,2)</f>
        <v>4.75</v>
      </c>
      <c r="P333" s="359"/>
      <c r="Q333" s="359"/>
      <c r="R333" s="369"/>
      <c r="S333" s="369"/>
      <c r="T333" s="369"/>
      <c r="U333" s="121"/>
      <c r="V333" s="127"/>
      <c r="W333" s="377"/>
      <c r="X333" s="367"/>
      <c r="Z333" s="356"/>
      <c r="AA333" s="366"/>
      <c r="AB333" s="158"/>
      <c r="AC333" s="170"/>
      <c r="AD333" s="366"/>
      <c r="AG333" s="379"/>
      <c r="AH333" s="358"/>
      <c r="AJ333" s="379"/>
      <c r="AK333" s="366"/>
      <c r="AL333" s="366"/>
      <c r="AN333" s="152"/>
      <c r="AP333" s="379"/>
      <c r="AQ333" s="243"/>
      <c r="AR333" s="366"/>
      <c r="AT333" s="241"/>
    </row>
    <row r="334" spans="1:46" ht="33" customHeight="1" x14ac:dyDescent="0.25">
      <c r="A334" s="361" t="s">
        <v>573</v>
      </c>
      <c r="B334" s="361" t="s">
        <v>306</v>
      </c>
      <c r="C334" s="362" t="s">
        <v>122</v>
      </c>
      <c r="D334" s="359" t="s">
        <v>234</v>
      </c>
      <c r="E334" s="373" t="s">
        <v>168</v>
      </c>
      <c r="F334" s="359">
        <f>VLOOKUP(E334,'условия, ФОТ'!$A$14:$I$28,9, FALSE)</f>
        <v>282.83999999999997</v>
      </c>
      <c r="G334" s="359">
        <v>0.52</v>
      </c>
      <c r="H334" s="359">
        <f t="shared" si="161"/>
        <v>147.08000000000001</v>
      </c>
      <c r="I334" s="359">
        <f t="shared" si="180"/>
        <v>44.42</v>
      </c>
      <c r="J334" s="359">
        <f t="shared" si="162"/>
        <v>191.5</v>
      </c>
      <c r="K334" s="363"/>
      <c r="L334" s="359"/>
      <c r="M334" s="359"/>
      <c r="N334" s="359"/>
      <c r="O334" s="359">
        <f>O335</f>
        <v>4.75</v>
      </c>
      <c r="P334" s="359">
        <f t="shared" si="163"/>
        <v>196.25</v>
      </c>
      <c r="Q334" s="359">
        <f t="shared" si="154"/>
        <v>152.09</v>
      </c>
      <c r="R334" s="369">
        <f>ROUND(T334/1.2,2)</f>
        <v>216.67</v>
      </c>
      <c r="S334" s="369">
        <f t="shared" si="155"/>
        <v>43.33</v>
      </c>
      <c r="T334" s="369">
        <f>ROUND((P334+Q334)*(1+AC334)*1.2,0)</f>
        <v>260</v>
      </c>
      <c r="U334" s="121">
        <v>202</v>
      </c>
      <c r="V334" s="127">
        <f>T334/U334*100-100</f>
        <v>28.712871287128706</v>
      </c>
      <c r="W334" s="377">
        <v>209</v>
      </c>
      <c r="X334" s="367">
        <f t="shared" si="165"/>
        <v>24.401913875598098</v>
      </c>
      <c r="Y334" s="117">
        <v>209</v>
      </c>
      <c r="Z334" s="368">
        <v>1.246</v>
      </c>
      <c r="AA334" s="152">
        <f>ROUND(W334*Z334,2)</f>
        <v>260.41000000000003</v>
      </c>
      <c r="AB334" s="157">
        <f>ROUND((P334+Q334)*1.2,2)</f>
        <v>418.01</v>
      </c>
      <c r="AC334" s="170">
        <f>ROUND((AA334/AB334)*100%-100%,4)</f>
        <v>-0.377</v>
      </c>
      <c r="AD334" s="366">
        <f t="shared" si="181"/>
        <v>-157.58976999999999</v>
      </c>
      <c r="AF334">
        <v>216.10599999999999</v>
      </c>
      <c r="AG334" s="379">
        <v>216</v>
      </c>
      <c r="AH334" s="358">
        <f t="shared" si="182"/>
        <v>44</v>
      </c>
      <c r="AJ334" s="379">
        <v>-0.12870000000000001</v>
      </c>
      <c r="AK334" s="366">
        <f t="shared" si="183"/>
        <v>1.1287</v>
      </c>
      <c r="AL334" s="366">
        <v>1.167</v>
      </c>
      <c r="AN334" s="152">
        <f t="shared" si="171"/>
        <v>243.9</v>
      </c>
      <c r="AP334" s="379">
        <v>1.034</v>
      </c>
      <c r="AQ334" s="243">
        <v>-0.12870000000000001</v>
      </c>
      <c r="AR334" s="366">
        <f t="shared" si="184"/>
        <v>0.21199999999999997</v>
      </c>
      <c r="AT334" s="241">
        <f t="shared" si="185"/>
        <v>-0.24829999999999999</v>
      </c>
    </row>
    <row r="335" spans="1:46" ht="22.5" customHeight="1" outlineLevel="1" x14ac:dyDescent="0.25">
      <c r="A335" s="361"/>
      <c r="B335" s="361"/>
      <c r="C335" s="362"/>
      <c r="D335" s="359"/>
      <c r="E335" s="373"/>
      <c r="F335" s="359"/>
      <c r="G335" s="359"/>
      <c r="H335" s="359"/>
      <c r="I335" s="359"/>
      <c r="J335" s="178" t="s">
        <v>385</v>
      </c>
      <c r="K335" s="92" t="s">
        <v>341</v>
      </c>
      <c r="L335" s="364" t="str">
        <f>VLOOKUP(K335,материалы!$A$5:$G$31,5, FALSE)</f>
        <v>кг</v>
      </c>
      <c r="M335" s="359">
        <f>VLOOKUP(K335,материалы!$A$5:$G$31,7, FALSE)</f>
        <v>950</v>
      </c>
      <c r="N335" s="359">
        <v>5.0000000000000001E-3</v>
      </c>
      <c r="O335" s="359">
        <f>ROUND(M335*N335,2)</f>
        <v>4.75</v>
      </c>
      <c r="P335" s="359"/>
      <c r="Q335" s="359"/>
      <c r="R335" s="369"/>
      <c r="S335" s="369"/>
      <c r="T335" s="369"/>
      <c r="U335" s="121"/>
      <c r="V335" s="127"/>
      <c r="W335" s="377"/>
      <c r="X335" s="367"/>
      <c r="Z335" s="356"/>
      <c r="AA335" s="366"/>
      <c r="AB335" s="158"/>
      <c r="AC335" s="170"/>
      <c r="AD335" s="366"/>
      <c r="AG335" s="379"/>
      <c r="AH335" s="358"/>
      <c r="AJ335" s="379"/>
      <c r="AK335" s="366"/>
      <c r="AL335" s="366"/>
      <c r="AN335" s="152"/>
      <c r="AP335" s="379"/>
      <c r="AQ335" s="243"/>
      <c r="AR335" s="366"/>
      <c r="AT335" s="241"/>
    </row>
    <row r="336" spans="1:46" ht="36" customHeight="1" x14ac:dyDescent="0.25">
      <c r="A336" s="361" t="s">
        <v>574</v>
      </c>
      <c r="B336" s="361" t="s">
        <v>378</v>
      </c>
      <c r="C336" s="362" t="s">
        <v>377</v>
      </c>
      <c r="D336" s="359" t="s">
        <v>20</v>
      </c>
      <c r="E336" s="373" t="s">
        <v>168</v>
      </c>
      <c r="F336" s="359">
        <f>VLOOKUP(E336,'условия, ФОТ'!$A$14:$I$28,9, FALSE)</f>
        <v>282.83999999999997</v>
      </c>
      <c r="G336" s="359">
        <v>0.32</v>
      </c>
      <c r="H336" s="359">
        <f t="shared" ref="H336" si="186">ROUND(F336*G336,2)</f>
        <v>90.51</v>
      </c>
      <c r="I336" s="359">
        <f t="shared" ref="I336" si="187">ROUND(H336*$I$5,2)</f>
        <v>27.33</v>
      </c>
      <c r="J336" s="359">
        <f t="shared" ref="J336" si="188">H336+I336</f>
        <v>117.84</v>
      </c>
      <c r="K336" s="362"/>
      <c r="L336" s="364"/>
      <c r="M336" s="359"/>
      <c r="N336" s="359"/>
      <c r="O336" s="359"/>
      <c r="P336" s="359">
        <f t="shared" ref="P336" si="189">J336+O336</f>
        <v>117.84</v>
      </c>
      <c r="Q336" s="359">
        <f t="shared" ref="Q336" si="190">ROUND(P336*$Q$5,2)</f>
        <v>91.33</v>
      </c>
      <c r="R336" s="369">
        <f>ROUND(T336/1.2,2)</f>
        <v>129.16999999999999</v>
      </c>
      <c r="S336" s="369">
        <f t="shared" ref="S336" si="191">ROUND(R336*$S$5,2)</f>
        <v>25.83</v>
      </c>
      <c r="T336" s="369">
        <f>ROUND((P336+Q336)*(1+AC336)*1.2,0)</f>
        <v>155</v>
      </c>
      <c r="U336" s="121">
        <v>119</v>
      </c>
      <c r="V336" s="127">
        <f>T336/U336*100-100</f>
        <v>30.252100840336141</v>
      </c>
      <c r="W336" s="377">
        <v>123</v>
      </c>
      <c r="X336" s="367">
        <f t="shared" ref="X336:X364" si="192">T336/W336*100-100</f>
        <v>26.01626016260164</v>
      </c>
      <c r="Y336" s="117">
        <v>123</v>
      </c>
      <c r="Z336" s="368">
        <v>1.2629999999999999</v>
      </c>
      <c r="AA336" s="152">
        <f>ROUND(W336*Z336,2)</f>
        <v>155.35</v>
      </c>
      <c r="AB336" s="157">
        <f>ROUND((P336+Q336)*1.2,2)</f>
        <v>251</v>
      </c>
      <c r="AC336" s="170">
        <f>ROUND((AA336/AB336)*100%-100%,4)</f>
        <v>-0.38109999999999999</v>
      </c>
      <c r="AD336" s="366">
        <f t="shared" si="181"/>
        <v>-95.656099999999995</v>
      </c>
      <c r="AF336">
        <v>127.182</v>
      </c>
      <c r="AG336" s="379">
        <v>127</v>
      </c>
      <c r="AH336" s="358">
        <f t="shared" si="182"/>
        <v>28</v>
      </c>
      <c r="AJ336" s="379">
        <v>-0.1404</v>
      </c>
      <c r="AK336" s="366">
        <f t="shared" si="183"/>
        <v>1.1404000000000001</v>
      </c>
      <c r="AL336" s="366">
        <v>1.179</v>
      </c>
      <c r="AN336" s="152">
        <f t="shared" si="171"/>
        <v>145.02000000000001</v>
      </c>
      <c r="AP336" s="379">
        <v>1.034</v>
      </c>
      <c r="AQ336" s="243">
        <v>-0.1404</v>
      </c>
      <c r="AR336" s="366">
        <f t="shared" si="184"/>
        <v>0.22899999999999987</v>
      </c>
      <c r="AT336" s="241">
        <f t="shared" si="185"/>
        <v>-0.2407</v>
      </c>
    </row>
    <row r="337" spans="1:46" ht="63" customHeight="1" x14ac:dyDescent="0.25">
      <c r="A337" s="359" t="s">
        <v>575</v>
      </c>
      <c r="B337" s="361" t="s">
        <v>307</v>
      </c>
      <c r="C337" s="362" t="s">
        <v>123</v>
      </c>
      <c r="D337" s="359" t="s">
        <v>234</v>
      </c>
      <c r="E337" s="373" t="s">
        <v>168</v>
      </c>
      <c r="F337" s="359">
        <f>VLOOKUP(E337,'условия, ФОТ'!$A$14:$I$28,9, FALSE)</f>
        <v>282.83999999999997</v>
      </c>
      <c r="G337" s="359">
        <v>0.2</v>
      </c>
      <c r="H337" s="359">
        <f>ROUND(F337*G337,2)</f>
        <v>56.57</v>
      </c>
      <c r="I337" s="359">
        <f>ROUND(H337*$I$5,2)</f>
        <v>17.079999999999998</v>
      </c>
      <c r="J337" s="359">
        <f>H337+I337</f>
        <v>73.650000000000006</v>
      </c>
      <c r="K337" s="363"/>
      <c r="L337" s="359"/>
      <c r="M337" s="359"/>
      <c r="N337" s="359"/>
      <c r="O337" s="359"/>
      <c r="P337" s="359">
        <f>J337+O337</f>
        <v>73.650000000000006</v>
      </c>
      <c r="Q337" s="359">
        <f>ROUND(P337*$Q$5,2)</f>
        <v>57.08</v>
      </c>
      <c r="R337" s="369">
        <f>ROUND(T337/1.2,2)</f>
        <v>80.83</v>
      </c>
      <c r="S337" s="369">
        <f>ROUND(R337*$S$5,2)</f>
        <v>16.170000000000002</v>
      </c>
      <c r="T337" s="369">
        <f>ROUND((P337+Q337)*(1+AC337)*1.2,0)</f>
        <v>97</v>
      </c>
      <c r="U337" s="121">
        <v>74</v>
      </c>
      <c r="V337" s="127">
        <f>T337/U337*100-100</f>
        <v>31.081081081081066</v>
      </c>
      <c r="W337" s="377">
        <v>77</v>
      </c>
      <c r="X337" s="367">
        <f t="shared" si="192"/>
        <v>25.974025974025977</v>
      </c>
      <c r="Y337" s="117">
        <v>77</v>
      </c>
      <c r="Z337" s="368">
        <v>1.2609999999999999</v>
      </c>
      <c r="AA337" s="152">
        <f>ROUND(W337*Z337,2)</f>
        <v>97.1</v>
      </c>
      <c r="AB337" s="157">
        <f>ROUND((P337+Q337)*1.2,2)</f>
        <v>156.88</v>
      </c>
      <c r="AC337" s="170">
        <f>ROUND((AA337/AB337)*100%-100%,4)</f>
        <v>-0.38109999999999999</v>
      </c>
      <c r="AD337" s="366">
        <f t="shared" si="181"/>
        <v>-59.786967999999995</v>
      </c>
      <c r="AF337">
        <v>79.618000000000009</v>
      </c>
      <c r="AG337" s="379">
        <v>80</v>
      </c>
      <c r="AH337" s="358">
        <f t="shared" si="182"/>
        <v>17</v>
      </c>
      <c r="AJ337" s="379">
        <v>-0.1391</v>
      </c>
      <c r="AK337" s="366">
        <f t="shared" si="183"/>
        <v>1.1391</v>
      </c>
      <c r="AL337" s="366">
        <v>1.1779999999999999</v>
      </c>
      <c r="AN337" s="152">
        <f t="shared" si="171"/>
        <v>90.71</v>
      </c>
      <c r="AP337" s="379">
        <v>1.034</v>
      </c>
      <c r="AQ337" s="243">
        <v>-0.1391</v>
      </c>
      <c r="AR337" s="366">
        <f t="shared" si="184"/>
        <v>0.22699999999999987</v>
      </c>
      <c r="AT337" s="241">
        <f t="shared" si="185"/>
        <v>-0.24199999999999999</v>
      </c>
    </row>
    <row r="338" spans="1:46" s="83" customFormat="1" ht="24" customHeight="1" x14ac:dyDescent="0.25">
      <c r="A338" s="992" t="s">
        <v>434</v>
      </c>
      <c r="B338" s="993"/>
      <c r="C338" s="993"/>
      <c r="D338" s="993"/>
      <c r="E338" s="993"/>
      <c r="F338" s="993"/>
      <c r="G338" s="993"/>
      <c r="H338" s="993"/>
      <c r="I338" s="993"/>
      <c r="J338" s="993"/>
      <c r="K338" s="993"/>
      <c r="L338" s="993"/>
      <c r="M338" s="993"/>
      <c r="N338" s="993"/>
      <c r="O338" s="993"/>
      <c r="P338" s="993"/>
      <c r="Q338" s="993"/>
      <c r="R338" s="177"/>
      <c r="S338" s="177"/>
      <c r="T338" s="349"/>
      <c r="U338" s="121"/>
      <c r="V338" s="120"/>
      <c r="W338" s="377"/>
      <c r="X338" s="367"/>
      <c r="Y338" s="134"/>
      <c r="Z338" s="356"/>
      <c r="AA338" s="366"/>
      <c r="AB338" s="158"/>
      <c r="AC338" s="170"/>
      <c r="AD338" s="366"/>
      <c r="AG338" s="162"/>
      <c r="AH338" s="358"/>
      <c r="AJ338" s="162"/>
      <c r="AK338" s="366"/>
      <c r="AL338" s="366"/>
      <c r="AN338" s="152"/>
      <c r="AO338" s="150"/>
      <c r="AP338" s="162"/>
      <c r="AQ338" s="242"/>
      <c r="AR338" s="366"/>
      <c r="AT338" s="241"/>
    </row>
    <row r="339" spans="1:46" x14ac:dyDescent="0.25">
      <c r="A339" s="361" t="s">
        <v>576</v>
      </c>
      <c r="B339" s="361" t="s">
        <v>312</v>
      </c>
      <c r="C339" s="362" t="s">
        <v>313</v>
      </c>
      <c r="D339" s="359" t="s">
        <v>211</v>
      </c>
      <c r="E339" s="373" t="s">
        <v>169</v>
      </c>
      <c r="F339" s="359">
        <f>VLOOKUP(E339,'условия, ФОТ'!$A$14:$I$28,9, FALSE)</f>
        <v>326.24</v>
      </c>
      <c r="G339" s="359">
        <v>0.5</v>
      </c>
      <c r="H339" s="359">
        <f t="shared" ref="H339:H343" si="193">ROUND(F339*G339,2)</f>
        <v>163.12</v>
      </c>
      <c r="I339" s="359">
        <f t="shared" ref="I339:I364" si="194">ROUND(H339*$I$5,2)</f>
        <v>49.26</v>
      </c>
      <c r="J339" s="359">
        <f t="shared" ref="J339:J343" si="195">H339+I339</f>
        <v>212.38</v>
      </c>
      <c r="K339" s="363"/>
      <c r="L339" s="359"/>
      <c r="M339" s="359"/>
      <c r="N339" s="359"/>
      <c r="O339" s="359"/>
      <c r="P339" s="359">
        <f t="shared" ref="P339:P343" si="196">J339+O339</f>
        <v>212.38</v>
      </c>
      <c r="Q339" s="359">
        <f t="shared" ref="Q339:Q364" si="197">ROUND(P339*$Q$5,2)</f>
        <v>164.59</v>
      </c>
      <c r="R339" s="369">
        <f>ROUND(T339/1.2,2)</f>
        <v>202.5</v>
      </c>
      <c r="S339" s="369">
        <f t="shared" ref="S339:S360" si="198">ROUND(R339*$S$5,2)</f>
        <v>40.5</v>
      </c>
      <c r="T339" s="369">
        <f>ROUND((P339+Q339)*(1+AC339)*1.2,0)</f>
        <v>243</v>
      </c>
      <c r="U339" s="121">
        <v>210</v>
      </c>
      <c r="V339" s="127">
        <f t="shared" ref="V339:V364" si="199">T339/U339*100-100</f>
        <v>15.714285714285722</v>
      </c>
      <c r="W339" s="377">
        <v>217</v>
      </c>
      <c r="X339" s="367">
        <f t="shared" si="192"/>
        <v>11.981566820276484</v>
      </c>
      <c r="Y339" s="117">
        <v>217</v>
      </c>
      <c r="Z339" s="368">
        <v>1.1180000000000001</v>
      </c>
      <c r="AA339" s="152">
        <f>ROUND(W339*Z339,2)</f>
        <v>242.61</v>
      </c>
      <c r="AB339" s="157">
        <f>ROUND((P339+Q339)*1.2,2)</f>
        <v>452.36</v>
      </c>
      <c r="AC339" s="170">
        <f>ROUND((AA339/AB339)*100%-100%,4)</f>
        <v>-0.4637</v>
      </c>
      <c r="AD339" s="366">
        <f t="shared" si="181"/>
        <v>-209.759332</v>
      </c>
      <c r="AF339">
        <v>224.37800000000001</v>
      </c>
      <c r="AG339" s="379">
        <v>224</v>
      </c>
      <c r="AH339" s="358">
        <f t="shared" si="182"/>
        <v>19</v>
      </c>
      <c r="AJ339" s="379">
        <v>-2.9399999999999999E-2</v>
      </c>
      <c r="AK339" s="366">
        <f t="shared" si="183"/>
        <v>1.0294000000000001</v>
      </c>
      <c r="AL339" s="366">
        <v>1.0640000000000001</v>
      </c>
      <c r="AN339" s="152">
        <f t="shared" si="171"/>
        <v>230.89</v>
      </c>
      <c r="AP339" s="379">
        <v>1.034</v>
      </c>
      <c r="AQ339" s="243">
        <v>-2.9399999999999999E-2</v>
      </c>
      <c r="AR339" s="366">
        <f t="shared" si="184"/>
        <v>8.4000000000000075E-2</v>
      </c>
      <c r="AT339" s="241">
        <f t="shared" si="185"/>
        <v>-0.43430000000000002</v>
      </c>
    </row>
    <row r="340" spans="1:46" x14ac:dyDescent="0.25">
      <c r="A340" s="361" t="s">
        <v>577</v>
      </c>
      <c r="B340" s="361" t="s">
        <v>312</v>
      </c>
      <c r="C340" s="362" t="s">
        <v>314</v>
      </c>
      <c r="D340" s="359" t="s">
        <v>211</v>
      </c>
      <c r="E340" s="373" t="s">
        <v>169</v>
      </c>
      <c r="F340" s="359">
        <f>VLOOKUP(E340,'условия, ФОТ'!$A$14:$I$28,9, FALSE)</f>
        <v>326.24</v>
      </c>
      <c r="G340" s="359">
        <v>0.2</v>
      </c>
      <c r="H340" s="359">
        <f t="shared" si="193"/>
        <v>65.25</v>
      </c>
      <c r="I340" s="359">
        <f t="shared" si="194"/>
        <v>19.71</v>
      </c>
      <c r="J340" s="359">
        <f t="shared" si="195"/>
        <v>84.960000000000008</v>
      </c>
      <c r="K340" s="363"/>
      <c r="L340" s="359"/>
      <c r="M340" s="359"/>
      <c r="N340" s="359"/>
      <c r="O340" s="359"/>
      <c r="P340" s="359">
        <f t="shared" si="196"/>
        <v>84.960000000000008</v>
      </c>
      <c r="Q340" s="359">
        <f t="shared" si="197"/>
        <v>65.84</v>
      </c>
      <c r="R340" s="369">
        <f>ROUND(T340/1.2,2)</f>
        <v>80.83</v>
      </c>
      <c r="S340" s="369">
        <f t="shared" si="198"/>
        <v>16.170000000000002</v>
      </c>
      <c r="T340" s="369">
        <f>ROUND((P340+Q340)*(1+AC340)*1.2,0)</f>
        <v>97</v>
      </c>
      <c r="U340" s="121">
        <v>84</v>
      </c>
      <c r="V340" s="127">
        <f t="shared" si="199"/>
        <v>15.476190476190467</v>
      </c>
      <c r="W340" s="377">
        <v>87</v>
      </c>
      <c r="X340" s="367">
        <f t="shared" si="192"/>
        <v>11.494252873563227</v>
      </c>
      <c r="Y340" s="117">
        <v>87</v>
      </c>
      <c r="Z340" s="368">
        <v>1.1160000000000001</v>
      </c>
      <c r="AA340" s="152">
        <f>ROUND(W340*Z340,2)</f>
        <v>97.09</v>
      </c>
      <c r="AB340" s="157">
        <f>ROUND((P340+Q340)*1.2,2)</f>
        <v>180.96</v>
      </c>
      <c r="AC340" s="170">
        <f>ROUND((AA340/AB340)*100%-100%,4)</f>
        <v>-0.46350000000000002</v>
      </c>
      <c r="AD340" s="366">
        <f t="shared" si="181"/>
        <v>-83.874960000000002</v>
      </c>
      <c r="AF340">
        <v>89.957999999999998</v>
      </c>
      <c r="AG340" s="379">
        <v>90</v>
      </c>
      <c r="AH340" s="358">
        <f t="shared" si="182"/>
        <v>7</v>
      </c>
      <c r="AJ340" s="379">
        <v>-2.7199999999999998E-2</v>
      </c>
      <c r="AK340" s="366">
        <f t="shared" si="183"/>
        <v>1.0271999999999999</v>
      </c>
      <c r="AL340" s="366">
        <v>1.0620000000000001</v>
      </c>
      <c r="AN340" s="152">
        <f t="shared" si="171"/>
        <v>92.39</v>
      </c>
      <c r="AP340" s="379">
        <v>1.034</v>
      </c>
      <c r="AQ340" s="243">
        <v>-2.7199999999999998E-2</v>
      </c>
      <c r="AR340" s="366">
        <f t="shared" si="184"/>
        <v>8.2000000000000073E-2</v>
      </c>
      <c r="AT340" s="241">
        <f t="shared" si="185"/>
        <v>-0.43630000000000002</v>
      </c>
    </row>
    <row r="341" spans="1:46" ht="15.75" customHeight="1" x14ac:dyDescent="0.25">
      <c r="A341" s="979" t="s">
        <v>578</v>
      </c>
      <c r="B341" s="979" t="s">
        <v>315</v>
      </c>
      <c r="C341" s="995" t="s">
        <v>130</v>
      </c>
      <c r="D341" s="985" t="s">
        <v>211</v>
      </c>
      <c r="E341" s="373" t="s">
        <v>169</v>
      </c>
      <c r="F341" s="359">
        <f>VLOOKUP(E341,'условия, ФОТ'!$A$14:$I$28,9, FALSE)</f>
        <v>326.24</v>
      </c>
      <c r="G341" s="359">
        <v>0.3</v>
      </c>
      <c r="H341" s="985">
        <f>ROUND((F341*G341+F342*G342),2)</f>
        <v>234.68</v>
      </c>
      <c r="I341" s="985">
        <f>ROUND(H341*$I$5,2)</f>
        <v>70.87</v>
      </c>
      <c r="J341" s="985">
        <f>H341+I341</f>
        <v>305.55</v>
      </c>
      <c r="K341" s="363"/>
      <c r="L341" s="359"/>
      <c r="M341" s="359"/>
      <c r="N341" s="359"/>
      <c r="O341" s="359"/>
      <c r="P341" s="985">
        <f>J341+O341</f>
        <v>305.55</v>
      </c>
      <c r="Q341" s="985">
        <f>ROUND(P341*$Q$5,2)</f>
        <v>236.8</v>
      </c>
      <c r="R341" s="1004">
        <f>ROUND(T341/1.2,2)</f>
        <v>276.67</v>
      </c>
      <c r="S341" s="1004">
        <f t="shared" si="198"/>
        <v>55.33</v>
      </c>
      <c r="T341" s="1004">
        <f>ROUND((P341+Q341)*(1+AC341)*1.2,0)</f>
        <v>332</v>
      </c>
      <c r="U341" s="794">
        <v>311</v>
      </c>
      <c r="V341" s="1022">
        <f t="shared" si="199"/>
        <v>6.7524115755627037</v>
      </c>
      <c r="W341" s="1011">
        <v>321</v>
      </c>
      <c r="X341" s="1028">
        <f t="shared" si="192"/>
        <v>3.4267912772585589</v>
      </c>
      <c r="Y341" s="117">
        <v>321</v>
      </c>
      <c r="Z341" s="751">
        <v>1.034</v>
      </c>
      <c r="AA341" s="1003">
        <f>ROUND(W341*Z341,2)</f>
        <v>331.91</v>
      </c>
      <c r="AB341" s="1005">
        <f>ROUND((P341+Q341)*1.2,2)</f>
        <v>650.82000000000005</v>
      </c>
      <c r="AC341" s="1006">
        <f>ROUND((AA341/AB341)*100%-100%,4)</f>
        <v>-0.49</v>
      </c>
      <c r="AD341" s="751">
        <f t="shared" si="181"/>
        <v>-318.90180000000004</v>
      </c>
      <c r="AF341">
        <v>331.91399999999999</v>
      </c>
      <c r="AG341" s="759">
        <v>332</v>
      </c>
      <c r="AH341" s="1035">
        <f t="shared" si="182"/>
        <v>0</v>
      </c>
      <c r="AJ341" s="759">
        <v>0.1072</v>
      </c>
      <c r="AK341" s="751">
        <f t="shared" si="183"/>
        <v>0.1072</v>
      </c>
      <c r="AL341" s="751">
        <v>0</v>
      </c>
      <c r="AN341" s="879"/>
      <c r="AP341" s="759">
        <v>1.034</v>
      </c>
      <c r="AQ341" s="877">
        <v>0.1072</v>
      </c>
      <c r="AR341" s="751">
        <f t="shared" si="184"/>
        <v>0</v>
      </c>
      <c r="AT341" s="747">
        <f t="shared" si="185"/>
        <v>-0.59719999999999995</v>
      </c>
    </row>
    <row r="342" spans="1:46" x14ac:dyDescent="0.25">
      <c r="A342" s="979"/>
      <c r="B342" s="979"/>
      <c r="C342" s="995"/>
      <c r="D342" s="985"/>
      <c r="E342" s="373" t="s">
        <v>174</v>
      </c>
      <c r="F342" s="359">
        <f>VLOOKUP(E342,'условия, ФОТ'!$A$14:$I$28,9, FALSE)</f>
        <v>456.01</v>
      </c>
      <c r="G342" s="359">
        <v>0.3</v>
      </c>
      <c r="H342" s="985">
        <f t="shared" ref="H342" si="200">ROUND(F342*G342,2)</f>
        <v>136.80000000000001</v>
      </c>
      <c r="I342" s="985">
        <f t="shared" ref="I342" si="201">ROUND(H342*$I$5,2)</f>
        <v>41.31</v>
      </c>
      <c r="J342" s="985">
        <f t="shared" ref="J342" si="202">H342+I342</f>
        <v>178.11</v>
      </c>
      <c r="K342" s="363"/>
      <c r="L342" s="359"/>
      <c r="M342" s="359"/>
      <c r="N342" s="359"/>
      <c r="O342" s="359"/>
      <c r="P342" s="985"/>
      <c r="Q342" s="985"/>
      <c r="R342" s="1004">
        <f t="shared" ref="R342" si="203">ROUND(T342/1.18,2)</f>
        <v>0</v>
      </c>
      <c r="S342" s="1004">
        <f t="shared" si="198"/>
        <v>0</v>
      </c>
      <c r="T342" s="1004">
        <f>ROUND((P342+Q342)*(1+$R$5)*1.18,0)</f>
        <v>0</v>
      </c>
      <c r="U342" s="1009"/>
      <c r="V342" s="1022"/>
      <c r="W342" s="1012"/>
      <c r="X342" s="1029"/>
      <c r="Y342" s="117">
        <v>0</v>
      </c>
      <c r="Z342" s="752"/>
      <c r="AA342" s="1003"/>
      <c r="AB342" s="1005"/>
      <c r="AC342" s="1007"/>
      <c r="AD342" s="752"/>
      <c r="AG342" s="760"/>
      <c r="AH342" s="1036"/>
      <c r="AJ342" s="760"/>
      <c r="AK342" s="752"/>
      <c r="AL342" s="752"/>
      <c r="AN342" s="880"/>
      <c r="AP342" s="760"/>
      <c r="AQ342" s="878"/>
      <c r="AR342" s="752"/>
      <c r="AT342" s="748"/>
    </row>
    <row r="343" spans="1:46" ht="31.7" customHeight="1" x14ac:dyDescent="0.25">
      <c r="A343" s="361" t="s">
        <v>579</v>
      </c>
      <c r="B343" s="361" t="s">
        <v>316</v>
      </c>
      <c r="C343" s="362" t="s">
        <v>131</v>
      </c>
      <c r="D343" s="359" t="s">
        <v>211</v>
      </c>
      <c r="E343" s="373" t="s">
        <v>174</v>
      </c>
      <c r="F343" s="359">
        <f>VLOOKUP(E343,'условия, ФОТ'!$A$14:$I$28,9, FALSE)</f>
        <v>456.01</v>
      </c>
      <c r="G343" s="359">
        <v>1.1000000000000001</v>
      </c>
      <c r="H343" s="359">
        <f t="shared" si="193"/>
        <v>501.61</v>
      </c>
      <c r="I343" s="359">
        <f t="shared" si="194"/>
        <v>151.49</v>
      </c>
      <c r="J343" s="359">
        <f t="shared" si="195"/>
        <v>653.1</v>
      </c>
      <c r="K343" s="363"/>
      <c r="L343" s="359"/>
      <c r="M343" s="359"/>
      <c r="N343" s="359"/>
      <c r="O343" s="359">
        <f>SUM(O344:O346)</f>
        <v>201.47</v>
      </c>
      <c r="P343" s="359">
        <f t="shared" si="196"/>
        <v>854.57</v>
      </c>
      <c r="Q343" s="359">
        <f t="shared" si="197"/>
        <v>662.29</v>
      </c>
      <c r="R343" s="369">
        <f>ROUND(T343/1.2,2)</f>
        <v>855</v>
      </c>
      <c r="S343" s="369">
        <f t="shared" si="198"/>
        <v>171</v>
      </c>
      <c r="T343" s="369">
        <f>ROUND((P343+Q343)*(1+AC343)*1.2,0)</f>
        <v>1026</v>
      </c>
      <c r="U343" s="121">
        <v>961</v>
      </c>
      <c r="V343" s="127">
        <f t="shared" si="199"/>
        <v>6.7637877211238333</v>
      </c>
      <c r="W343" s="377">
        <v>992</v>
      </c>
      <c r="X343" s="367">
        <f t="shared" si="192"/>
        <v>3.4274193548387046</v>
      </c>
      <c r="Y343" s="117">
        <v>992</v>
      </c>
      <c r="Z343" s="356">
        <v>1.034</v>
      </c>
      <c r="AA343" s="152">
        <f>ROUND(W343*Z343,2)</f>
        <v>1025.73</v>
      </c>
      <c r="AB343" s="157">
        <f>ROUND((P343+Q343)*1.2,2)</f>
        <v>1820.23</v>
      </c>
      <c r="AC343" s="170">
        <f>ROUND((AA343/AB343)*100%-100%,4)</f>
        <v>-0.4365</v>
      </c>
      <c r="AD343" s="366">
        <f t="shared" si="181"/>
        <v>-794.530395</v>
      </c>
      <c r="AF343">
        <v>1025.7280000000001</v>
      </c>
      <c r="AG343" s="379">
        <v>1026</v>
      </c>
      <c r="AH343" s="358">
        <f t="shared" si="182"/>
        <v>0</v>
      </c>
      <c r="AJ343" s="379">
        <v>0.2412</v>
      </c>
      <c r="AK343" s="366">
        <f t="shared" si="183"/>
        <v>0.2412</v>
      </c>
      <c r="AL343" s="366">
        <v>0</v>
      </c>
      <c r="AN343" s="152"/>
      <c r="AP343" s="379">
        <v>1.034</v>
      </c>
      <c r="AQ343" s="243">
        <v>0.2412</v>
      </c>
      <c r="AR343" s="366">
        <f t="shared" si="184"/>
        <v>0</v>
      </c>
      <c r="AT343" s="241">
        <f t="shared" si="185"/>
        <v>-0.67769999999999997</v>
      </c>
    </row>
    <row r="344" spans="1:46" outlineLevel="1" x14ac:dyDescent="0.25">
      <c r="A344" s="361"/>
      <c r="B344" s="361"/>
      <c r="C344" s="362"/>
      <c r="D344" s="359"/>
      <c r="E344" s="373"/>
      <c r="F344" s="359"/>
      <c r="G344" s="359"/>
      <c r="H344" s="359"/>
      <c r="I344" s="359"/>
      <c r="J344" s="178" t="s">
        <v>385</v>
      </c>
      <c r="K344" s="186" t="s">
        <v>403</v>
      </c>
      <c r="L344" s="364" t="str">
        <f>VLOOKUP(K344,материалы!$A$5:$G$31,5, FALSE)</f>
        <v>кг</v>
      </c>
      <c r="M344" s="359">
        <f>VLOOKUP(K344,материалы!$A$5:$G$31,7, FALSE)</f>
        <v>720</v>
      </c>
      <c r="N344" s="359">
        <v>0.1</v>
      </c>
      <c r="O344" s="359">
        <f>ROUND(M344*N344,2)</f>
        <v>72</v>
      </c>
      <c r="P344" s="359"/>
      <c r="Q344" s="359"/>
      <c r="R344" s="369"/>
      <c r="S344" s="369"/>
      <c r="T344" s="369"/>
      <c r="U344" s="121"/>
      <c r="V344" s="127"/>
      <c r="W344" s="377"/>
      <c r="X344" s="367"/>
      <c r="Z344" s="356"/>
      <c r="AA344" s="366"/>
      <c r="AB344" s="158"/>
      <c r="AC344" s="170"/>
      <c r="AD344" s="366"/>
      <c r="AG344" s="379"/>
      <c r="AH344" s="358"/>
      <c r="AJ344" s="379"/>
      <c r="AK344" s="366"/>
      <c r="AL344" s="366"/>
      <c r="AN344" s="152"/>
      <c r="AP344" s="379"/>
      <c r="AQ344" s="243"/>
      <c r="AR344" s="366"/>
      <c r="AT344" s="241"/>
    </row>
    <row r="345" spans="1:46" outlineLevel="1" x14ac:dyDescent="0.25">
      <c r="A345" s="361"/>
      <c r="B345" s="361"/>
      <c r="C345" s="362"/>
      <c r="D345" s="359"/>
      <c r="E345" s="373"/>
      <c r="F345" s="359"/>
      <c r="G345" s="359"/>
      <c r="H345" s="359"/>
      <c r="I345" s="359"/>
      <c r="J345" s="359"/>
      <c r="K345" s="186" t="s">
        <v>402</v>
      </c>
      <c r="L345" s="364" t="str">
        <f>VLOOKUP(K345,материалы!$A$5:$G$31,5, FALSE)</f>
        <v>кг</v>
      </c>
      <c r="M345" s="359">
        <f>VLOOKUP(K345,материалы!$A$5:$G$31,7, FALSE)</f>
        <v>2400</v>
      </c>
      <c r="N345" s="359">
        <v>5.1999999999999998E-2</v>
      </c>
      <c r="O345" s="359">
        <f t="shared" ref="O345:O346" si="204">ROUND(M345*N345,2)</f>
        <v>124.8</v>
      </c>
      <c r="P345" s="359"/>
      <c r="Q345" s="359"/>
      <c r="R345" s="369"/>
      <c r="S345" s="369"/>
      <c r="T345" s="369"/>
      <c r="U345" s="121"/>
      <c r="V345" s="127"/>
      <c r="W345" s="377"/>
      <c r="X345" s="367"/>
      <c r="Z345" s="356"/>
      <c r="AA345" s="366"/>
      <c r="AB345" s="158"/>
      <c r="AC345" s="170"/>
      <c r="AD345" s="366"/>
      <c r="AG345" s="379"/>
      <c r="AH345" s="358"/>
      <c r="AJ345" s="379"/>
      <c r="AK345" s="366"/>
      <c r="AL345" s="366"/>
      <c r="AN345" s="152"/>
      <c r="AP345" s="379"/>
      <c r="AQ345" s="243"/>
      <c r="AR345" s="366"/>
      <c r="AT345" s="241"/>
    </row>
    <row r="346" spans="1:46" outlineLevel="1" x14ac:dyDescent="0.25">
      <c r="A346" s="361"/>
      <c r="B346" s="361"/>
      <c r="C346" s="362"/>
      <c r="D346" s="359"/>
      <c r="E346" s="373"/>
      <c r="F346" s="359"/>
      <c r="G346" s="359"/>
      <c r="H346" s="359"/>
      <c r="I346" s="359"/>
      <c r="J346" s="359"/>
      <c r="K346" s="186" t="s">
        <v>330</v>
      </c>
      <c r="L346" s="364" t="str">
        <f>VLOOKUP(K346,материалы!$A$5:$G$31,5, FALSE)</f>
        <v>м3</v>
      </c>
      <c r="M346" s="359">
        <f>VLOOKUP(K346,материалы!$A$5:$G$31,7, FALSE)</f>
        <v>116.67</v>
      </c>
      <c r="N346" s="359">
        <v>0.04</v>
      </c>
      <c r="O346" s="359">
        <f t="shared" si="204"/>
        <v>4.67</v>
      </c>
      <c r="P346" s="359"/>
      <c r="Q346" s="359"/>
      <c r="R346" s="369"/>
      <c r="S346" s="369"/>
      <c r="T346" s="369"/>
      <c r="U346" s="121"/>
      <c r="V346" s="127"/>
      <c r="W346" s="377"/>
      <c r="X346" s="367"/>
      <c r="Z346" s="356"/>
      <c r="AA346" s="366"/>
      <c r="AB346" s="158"/>
      <c r="AC346" s="170"/>
      <c r="AD346" s="366"/>
      <c r="AG346" s="379"/>
      <c r="AH346" s="358"/>
      <c r="AJ346" s="379"/>
      <c r="AK346" s="366"/>
      <c r="AL346" s="366"/>
      <c r="AN346" s="152"/>
      <c r="AP346" s="379"/>
      <c r="AQ346" s="243"/>
      <c r="AR346" s="366"/>
      <c r="AT346" s="241"/>
    </row>
    <row r="347" spans="1:46" s="83" customFormat="1" ht="24" customHeight="1" x14ac:dyDescent="0.25">
      <c r="A347" s="992" t="s">
        <v>631</v>
      </c>
      <c r="B347" s="993"/>
      <c r="C347" s="993"/>
      <c r="D347" s="993"/>
      <c r="E347" s="993"/>
      <c r="F347" s="993"/>
      <c r="G347" s="993"/>
      <c r="H347" s="993"/>
      <c r="I347" s="993"/>
      <c r="J347" s="993"/>
      <c r="K347" s="993"/>
      <c r="L347" s="993"/>
      <c r="M347" s="993"/>
      <c r="N347" s="993"/>
      <c r="O347" s="993"/>
      <c r="P347" s="993"/>
      <c r="Q347" s="993"/>
      <c r="R347" s="993"/>
      <c r="S347" s="993"/>
      <c r="T347" s="994"/>
      <c r="U347" s="121"/>
      <c r="V347" s="120"/>
      <c r="W347" s="377"/>
      <c r="X347" s="367"/>
      <c r="Y347" s="134"/>
      <c r="Z347" s="356"/>
      <c r="AA347" s="366"/>
      <c r="AB347" s="158"/>
      <c r="AC347" s="170"/>
      <c r="AD347" s="366"/>
      <c r="AG347" s="162"/>
      <c r="AH347" s="358"/>
      <c r="AJ347" s="162"/>
      <c r="AK347" s="366"/>
      <c r="AL347" s="366"/>
      <c r="AN347" s="152"/>
      <c r="AO347" s="150"/>
      <c r="AP347" s="162"/>
      <c r="AQ347" s="242"/>
      <c r="AR347" s="366"/>
      <c r="AT347" s="241"/>
    </row>
    <row r="348" spans="1:46" ht="25.5" x14ac:dyDescent="0.25">
      <c r="A348" s="361" t="s">
        <v>580</v>
      </c>
      <c r="B348" s="361" t="s">
        <v>35</v>
      </c>
      <c r="C348" s="362" t="s">
        <v>133</v>
      </c>
      <c r="D348" s="359" t="s">
        <v>317</v>
      </c>
      <c r="E348" s="373" t="s">
        <v>326</v>
      </c>
      <c r="F348" s="359">
        <f>VLOOKUP(E348,'условия, ФОТ'!$A$14:$I$28,9, FALSE)</f>
        <v>338.1</v>
      </c>
      <c r="G348" s="187">
        <v>1</v>
      </c>
      <c r="H348" s="359">
        <f t="shared" ref="H348:H364" si="205">ROUND(F348*G348,2)</f>
        <v>338.1</v>
      </c>
      <c r="I348" s="359">
        <f t="shared" si="194"/>
        <v>102.11</v>
      </c>
      <c r="J348" s="359">
        <f t="shared" ref="J348:J364" si="206">H348+I348</f>
        <v>440.21000000000004</v>
      </c>
      <c r="K348" s="363"/>
      <c r="L348" s="359"/>
      <c r="M348" s="359"/>
      <c r="N348" s="359"/>
      <c r="O348" s="359">
        <f>'расход ГСМ'!J6</f>
        <v>179.05</v>
      </c>
      <c r="P348" s="359">
        <f>J348+O348</f>
        <v>619.26</v>
      </c>
      <c r="Q348" s="359">
        <f t="shared" si="197"/>
        <v>479.93</v>
      </c>
      <c r="R348" s="369">
        <f>ROUND(T348/1.2,2)</f>
        <v>660</v>
      </c>
      <c r="S348" s="369">
        <f t="shared" si="198"/>
        <v>132</v>
      </c>
      <c r="T348" s="369">
        <f t="shared" ref="T348:T357" si="207">ROUND((P348+Q348)*(1+AC348)*1.2,0)</f>
        <v>792</v>
      </c>
      <c r="U348" s="121">
        <v>743</v>
      </c>
      <c r="V348" s="127">
        <f t="shared" si="199"/>
        <v>6.5948855989232982</v>
      </c>
      <c r="W348" s="377">
        <v>766</v>
      </c>
      <c r="X348" s="367">
        <f t="shared" si="192"/>
        <v>3.3942558746736324</v>
      </c>
      <c r="Y348" s="117">
        <v>766</v>
      </c>
      <c r="Z348" s="356">
        <v>1.034</v>
      </c>
      <c r="AA348" s="152">
        <f t="shared" ref="AA348:AA355" si="208">ROUND(W348*Z348,2)</f>
        <v>792.04</v>
      </c>
      <c r="AB348" s="157">
        <f t="shared" ref="AB348:AB357" si="209">ROUND((P348+Q348)*1.2,2)</f>
        <v>1319.03</v>
      </c>
      <c r="AC348" s="170">
        <f t="shared" ref="AC348:AC357" si="210">ROUND((AA348/AB348)*100%-100%,4)</f>
        <v>-0.39950000000000002</v>
      </c>
      <c r="AD348" s="366">
        <f t="shared" si="181"/>
        <v>-526.95248500000002</v>
      </c>
      <c r="AF348">
        <v>792.04399999999998</v>
      </c>
      <c r="AG348" s="379">
        <v>792</v>
      </c>
      <c r="AH348" s="358">
        <f t="shared" si="182"/>
        <v>0</v>
      </c>
      <c r="AJ348" s="379">
        <v>7.2900000000000006E-2</v>
      </c>
      <c r="AK348" s="366">
        <f t="shared" si="183"/>
        <v>7.2900000000000006E-2</v>
      </c>
      <c r="AL348" s="366">
        <v>0</v>
      </c>
      <c r="AN348" s="152"/>
      <c r="AP348" s="379">
        <v>1.034</v>
      </c>
      <c r="AQ348" s="243">
        <v>7.2900000000000006E-2</v>
      </c>
      <c r="AR348" s="366">
        <f t="shared" si="184"/>
        <v>0</v>
      </c>
      <c r="AT348" s="241">
        <f t="shared" si="185"/>
        <v>-0.47240000000000004</v>
      </c>
    </row>
    <row r="349" spans="1:46" ht="25.5" x14ac:dyDescent="0.25">
      <c r="A349" s="361" t="s">
        <v>581</v>
      </c>
      <c r="B349" s="361" t="s">
        <v>35</v>
      </c>
      <c r="C349" s="362" t="s">
        <v>133</v>
      </c>
      <c r="D349" s="359" t="s">
        <v>318</v>
      </c>
      <c r="E349" s="373" t="s">
        <v>326</v>
      </c>
      <c r="F349" s="359">
        <f>VLOOKUP(E349,'условия, ФОТ'!$A$14:$I$28,9, FALSE)</f>
        <v>338.1</v>
      </c>
      <c r="G349" s="359">
        <v>0.02</v>
      </c>
      <c r="H349" s="359">
        <f t="shared" si="205"/>
        <v>6.76</v>
      </c>
      <c r="I349" s="359">
        <f t="shared" si="194"/>
        <v>2.04</v>
      </c>
      <c r="J349" s="359">
        <f t="shared" si="206"/>
        <v>8.8000000000000007</v>
      </c>
      <c r="K349" s="363"/>
      <c r="L349" s="359"/>
      <c r="M349" s="359"/>
      <c r="N349" s="359"/>
      <c r="O349" s="359">
        <f>'расход ГСМ'!K6</f>
        <v>3.65</v>
      </c>
      <c r="P349" s="359">
        <f>J349+O349</f>
        <v>12.450000000000001</v>
      </c>
      <c r="Q349" s="359">
        <f t="shared" si="197"/>
        <v>9.65</v>
      </c>
      <c r="R349" s="369">
        <f t="shared" ref="R349:R355" si="211">ROUND(T349/1.2,2)</f>
        <v>13.33</v>
      </c>
      <c r="S349" s="369">
        <f t="shared" si="198"/>
        <v>2.67</v>
      </c>
      <c r="T349" s="369">
        <f t="shared" si="207"/>
        <v>16</v>
      </c>
      <c r="U349" s="121">
        <v>15</v>
      </c>
      <c r="V349" s="127">
        <f t="shared" si="199"/>
        <v>6.6666666666666714</v>
      </c>
      <c r="W349" s="377">
        <v>15</v>
      </c>
      <c r="X349" s="367">
        <f t="shared" si="192"/>
        <v>6.6666666666666714</v>
      </c>
      <c r="Y349" s="117">
        <v>15</v>
      </c>
      <c r="Z349" s="356">
        <v>1.034</v>
      </c>
      <c r="AA349" s="152">
        <f t="shared" si="208"/>
        <v>15.51</v>
      </c>
      <c r="AB349" s="157">
        <f t="shared" si="209"/>
        <v>26.52</v>
      </c>
      <c r="AC349" s="170">
        <f t="shared" si="210"/>
        <v>-0.41520000000000001</v>
      </c>
      <c r="AD349" s="366">
        <f t="shared" si="181"/>
        <v>-11.011104</v>
      </c>
      <c r="AF349">
        <v>15.51</v>
      </c>
      <c r="AG349" s="379">
        <v>16</v>
      </c>
      <c r="AH349" s="358">
        <f t="shared" si="182"/>
        <v>0</v>
      </c>
      <c r="AJ349" s="379">
        <v>4.6600000000000003E-2</v>
      </c>
      <c r="AK349" s="366">
        <f t="shared" si="183"/>
        <v>4.6600000000000003E-2</v>
      </c>
      <c r="AL349" s="366">
        <v>0</v>
      </c>
      <c r="AN349" s="152"/>
      <c r="AP349" s="379">
        <v>1.034</v>
      </c>
      <c r="AQ349" s="243">
        <v>4.6600000000000003E-2</v>
      </c>
      <c r="AR349" s="366">
        <f t="shared" si="184"/>
        <v>0</v>
      </c>
      <c r="AT349" s="241">
        <f t="shared" si="185"/>
        <v>-0.46179999999999999</v>
      </c>
    </row>
    <row r="350" spans="1:46" ht="25.5" x14ac:dyDescent="0.25">
      <c r="A350" s="361" t="s">
        <v>583</v>
      </c>
      <c r="B350" s="361" t="s">
        <v>35</v>
      </c>
      <c r="C350" s="362" t="s">
        <v>132</v>
      </c>
      <c r="D350" s="359" t="s">
        <v>317</v>
      </c>
      <c r="E350" s="373" t="s">
        <v>327</v>
      </c>
      <c r="F350" s="359">
        <f>VLOOKUP(E350,'условия, ФОТ'!$A$14:$I$28,9, FALSE)</f>
        <v>400.38</v>
      </c>
      <c r="G350" s="187">
        <v>1</v>
      </c>
      <c r="H350" s="359">
        <f t="shared" si="205"/>
        <v>400.38</v>
      </c>
      <c r="I350" s="359">
        <f t="shared" si="194"/>
        <v>120.91</v>
      </c>
      <c r="J350" s="359">
        <f t="shared" si="206"/>
        <v>521.29</v>
      </c>
      <c r="K350" s="363"/>
      <c r="L350" s="359"/>
      <c r="M350" s="359"/>
      <c r="N350" s="359"/>
      <c r="O350" s="359">
        <f>'расход ГСМ'!J8</f>
        <v>265.16000000000003</v>
      </c>
      <c r="P350" s="359">
        <f t="shared" ref="P350:P364" si="212">J350+O350</f>
        <v>786.45</v>
      </c>
      <c r="Q350" s="359">
        <f t="shared" si="197"/>
        <v>609.5</v>
      </c>
      <c r="R350" s="369">
        <f t="shared" si="211"/>
        <v>748.33</v>
      </c>
      <c r="S350" s="369">
        <f t="shared" si="198"/>
        <v>149.66999999999999</v>
      </c>
      <c r="T350" s="369">
        <f t="shared" si="207"/>
        <v>898</v>
      </c>
      <c r="U350" s="121">
        <v>841</v>
      </c>
      <c r="V350" s="127">
        <f t="shared" si="199"/>
        <v>6.7776456599286661</v>
      </c>
      <c r="W350" s="377">
        <v>868</v>
      </c>
      <c r="X350" s="367">
        <f t="shared" si="192"/>
        <v>3.4562211981566691</v>
      </c>
      <c r="Y350" s="117">
        <v>868</v>
      </c>
      <c r="Z350" s="356">
        <v>1.034</v>
      </c>
      <c r="AA350" s="152">
        <f t="shared" si="208"/>
        <v>897.51</v>
      </c>
      <c r="AB350" s="157">
        <f t="shared" si="209"/>
        <v>1675.14</v>
      </c>
      <c r="AC350" s="170">
        <f t="shared" si="210"/>
        <v>-0.4642</v>
      </c>
      <c r="AD350" s="366">
        <f t="shared" si="181"/>
        <v>-777.59998800000005</v>
      </c>
      <c r="AF350">
        <v>897.51199999999994</v>
      </c>
      <c r="AG350" s="379">
        <v>898</v>
      </c>
      <c r="AH350" s="358">
        <f t="shared" si="182"/>
        <v>0</v>
      </c>
      <c r="AJ350" s="379">
        <v>9.4E-2</v>
      </c>
      <c r="AK350" s="366">
        <f t="shared" si="183"/>
        <v>9.4E-2</v>
      </c>
      <c r="AL350" s="366">
        <v>0</v>
      </c>
      <c r="AN350" s="152"/>
      <c r="AP350" s="379">
        <v>1.034</v>
      </c>
      <c r="AQ350" s="243">
        <v>9.4E-2</v>
      </c>
      <c r="AR350" s="366">
        <f t="shared" si="184"/>
        <v>0</v>
      </c>
      <c r="AT350" s="241">
        <f t="shared" si="185"/>
        <v>-0.55820000000000003</v>
      </c>
    </row>
    <row r="351" spans="1:46" ht="25.5" x14ac:dyDescent="0.25">
      <c r="A351" s="361" t="s">
        <v>584</v>
      </c>
      <c r="B351" s="361" t="s">
        <v>35</v>
      </c>
      <c r="C351" s="362" t="s">
        <v>132</v>
      </c>
      <c r="D351" s="359" t="s">
        <v>318</v>
      </c>
      <c r="E351" s="373" t="s">
        <v>327</v>
      </c>
      <c r="F351" s="359">
        <f>VLOOKUP(E351,'условия, ФОТ'!$A$14:$I$28,9, FALSE)</f>
        <v>400.38</v>
      </c>
      <c r="G351" s="359">
        <v>0.02</v>
      </c>
      <c r="H351" s="359">
        <f t="shared" si="205"/>
        <v>8.01</v>
      </c>
      <c r="I351" s="359">
        <f t="shared" si="194"/>
        <v>2.42</v>
      </c>
      <c r="J351" s="359">
        <f t="shared" si="206"/>
        <v>10.43</v>
      </c>
      <c r="K351" s="363"/>
      <c r="L351" s="359"/>
      <c r="M351" s="359"/>
      <c r="N351" s="359"/>
      <c r="O351" s="359">
        <f>'расход ГСМ'!K8</f>
        <v>5.41</v>
      </c>
      <c r="P351" s="359">
        <f t="shared" si="212"/>
        <v>15.84</v>
      </c>
      <c r="Q351" s="359">
        <f t="shared" si="197"/>
        <v>12.28</v>
      </c>
      <c r="R351" s="369">
        <f t="shared" si="211"/>
        <v>15</v>
      </c>
      <c r="S351" s="369">
        <f t="shared" si="198"/>
        <v>3</v>
      </c>
      <c r="T351" s="369">
        <f t="shared" si="207"/>
        <v>18</v>
      </c>
      <c r="U351" s="121">
        <v>17</v>
      </c>
      <c r="V351" s="127">
        <f t="shared" si="199"/>
        <v>5.8823529411764781</v>
      </c>
      <c r="W351" s="377">
        <v>17</v>
      </c>
      <c r="X351" s="367">
        <f t="shared" si="192"/>
        <v>5.8823529411764781</v>
      </c>
      <c r="Y351" s="117">
        <v>17</v>
      </c>
      <c r="Z351" s="356">
        <v>1.034</v>
      </c>
      <c r="AA351" s="152">
        <f t="shared" si="208"/>
        <v>17.579999999999998</v>
      </c>
      <c r="AB351" s="157">
        <f t="shared" si="209"/>
        <v>33.74</v>
      </c>
      <c r="AC351" s="170">
        <f t="shared" si="210"/>
        <v>-0.47899999999999998</v>
      </c>
      <c r="AD351" s="366">
        <f t="shared" si="181"/>
        <v>-16.161460000000002</v>
      </c>
      <c r="AF351">
        <v>17.577999999999999</v>
      </c>
      <c r="AG351" s="379">
        <v>18</v>
      </c>
      <c r="AH351" s="358">
        <f t="shared" si="182"/>
        <v>0</v>
      </c>
      <c r="AJ351" s="379">
        <v>6.5500000000000003E-2</v>
      </c>
      <c r="AK351" s="366">
        <f t="shared" si="183"/>
        <v>6.5500000000000003E-2</v>
      </c>
      <c r="AL351" s="366">
        <v>0</v>
      </c>
      <c r="AN351" s="152"/>
      <c r="AP351" s="379">
        <v>1.034</v>
      </c>
      <c r="AQ351" s="243">
        <v>6.5500000000000003E-2</v>
      </c>
      <c r="AR351" s="366">
        <f t="shared" si="184"/>
        <v>0</v>
      </c>
      <c r="AT351" s="241">
        <f t="shared" si="185"/>
        <v>-0.54449999999999998</v>
      </c>
    </row>
    <row r="352" spans="1:46" ht="29.25" customHeight="1" x14ac:dyDescent="0.25">
      <c r="A352" s="361" t="s">
        <v>585</v>
      </c>
      <c r="B352" s="361" t="s">
        <v>319</v>
      </c>
      <c r="C352" s="362" t="s">
        <v>134</v>
      </c>
      <c r="D352" s="359" t="s">
        <v>20</v>
      </c>
      <c r="E352" s="359" t="s">
        <v>37</v>
      </c>
      <c r="F352" s="359">
        <f>VLOOKUP(E352,'условия, ФОТ'!$A$14:$I$28,9, FALSE)</f>
        <v>463.57</v>
      </c>
      <c r="G352" s="359">
        <v>0.4</v>
      </c>
      <c r="H352" s="359">
        <f t="shared" si="205"/>
        <v>185.43</v>
      </c>
      <c r="I352" s="359">
        <f t="shared" si="194"/>
        <v>56</v>
      </c>
      <c r="J352" s="359">
        <f t="shared" si="206"/>
        <v>241.43</v>
      </c>
      <c r="K352" s="363"/>
      <c r="L352" s="359"/>
      <c r="M352" s="359"/>
      <c r="N352" s="359"/>
      <c r="O352" s="359"/>
      <c r="P352" s="359">
        <f t="shared" si="212"/>
        <v>241.43</v>
      </c>
      <c r="Q352" s="359">
        <f t="shared" si="197"/>
        <v>187.11</v>
      </c>
      <c r="R352" s="369">
        <f t="shared" si="211"/>
        <v>173.33</v>
      </c>
      <c r="S352" s="369">
        <f t="shared" si="198"/>
        <v>34.67</v>
      </c>
      <c r="T352" s="369">
        <f t="shared" si="207"/>
        <v>208</v>
      </c>
      <c r="U352" s="121">
        <v>195</v>
      </c>
      <c r="V352" s="127">
        <f t="shared" si="199"/>
        <v>6.6666666666666714</v>
      </c>
      <c r="W352" s="377">
        <v>201</v>
      </c>
      <c r="X352" s="367">
        <f t="shared" si="192"/>
        <v>3.4825870646766077</v>
      </c>
      <c r="Y352" s="117">
        <v>201</v>
      </c>
      <c r="Z352" s="356">
        <v>1.034</v>
      </c>
      <c r="AA352" s="152">
        <f t="shared" si="208"/>
        <v>207.83</v>
      </c>
      <c r="AB352" s="157">
        <f t="shared" si="209"/>
        <v>514.25</v>
      </c>
      <c r="AC352" s="170">
        <f t="shared" si="210"/>
        <v>-0.59589999999999999</v>
      </c>
      <c r="AD352" s="366">
        <f t="shared" si="181"/>
        <v>-306.441575</v>
      </c>
      <c r="AF352">
        <v>207.834</v>
      </c>
      <c r="AG352" s="379">
        <v>208</v>
      </c>
      <c r="AH352" s="358">
        <f t="shared" si="182"/>
        <v>0</v>
      </c>
      <c r="AJ352" s="379">
        <v>0.1236</v>
      </c>
      <c r="AK352" s="366">
        <f t="shared" si="183"/>
        <v>0.1236</v>
      </c>
      <c r="AL352" s="366">
        <v>0</v>
      </c>
      <c r="AN352" s="152"/>
      <c r="AP352" s="379">
        <v>1.034</v>
      </c>
      <c r="AQ352" s="243">
        <v>0.1236</v>
      </c>
      <c r="AR352" s="366">
        <f t="shared" si="184"/>
        <v>0</v>
      </c>
      <c r="AT352" s="241">
        <f t="shared" si="185"/>
        <v>-0.71950000000000003</v>
      </c>
    </row>
    <row r="353" spans="1:47" ht="29.25" customHeight="1" x14ac:dyDescent="0.25">
      <c r="A353" s="361" t="s">
        <v>586</v>
      </c>
      <c r="B353" s="359" t="s">
        <v>35</v>
      </c>
      <c r="C353" s="362" t="s">
        <v>135</v>
      </c>
      <c r="D353" s="359" t="s">
        <v>320</v>
      </c>
      <c r="E353" s="373" t="s">
        <v>321</v>
      </c>
      <c r="F353" s="359">
        <f>VLOOKUP(E353,'условия, ФОТ'!$A$14:$I$28,9, FALSE)</f>
        <v>398.28</v>
      </c>
      <c r="G353" s="359">
        <v>0.15</v>
      </c>
      <c r="H353" s="359">
        <f t="shared" si="205"/>
        <v>59.74</v>
      </c>
      <c r="I353" s="359">
        <f t="shared" si="194"/>
        <v>18.04</v>
      </c>
      <c r="J353" s="359">
        <f t="shared" si="206"/>
        <v>77.78</v>
      </c>
      <c r="K353" s="363"/>
      <c r="L353" s="359"/>
      <c r="M353" s="359"/>
      <c r="N353" s="359"/>
      <c r="O353" s="359"/>
      <c r="P353" s="359">
        <f t="shared" si="212"/>
        <v>77.78</v>
      </c>
      <c r="Q353" s="359">
        <f t="shared" si="197"/>
        <v>60.28</v>
      </c>
      <c r="R353" s="369">
        <f t="shared" si="211"/>
        <v>59.17</v>
      </c>
      <c r="S353" s="369">
        <f t="shared" si="198"/>
        <v>11.83</v>
      </c>
      <c r="T353" s="369">
        <f t="shared" si="207"/>
        <v>71</v>
      </c>
      <c r="U353" s="121">
        <v>67</v>
      </c>
      <c r="V353" s="127">
        <f t="shared" si="199"/>
        <v>5.9701492537313356</v>
      </c>
      <c r="W353" s="377">
        <v>69</v>
      </c>
      <c r="X353" s="367">
        <f t="shared" si="192"/>
        <v>2.8985507246376727</v>
      </c>
      <c r="Y353" s="117">
        <v>69</v>
      </c>
      <c r="Z353" s="356">
        <v>1.034</v>
      </c>
      <c r="AA353" s="152">
        <f t="shared" si="208"/>
        <v>71.349999999999994</v>
      </c>
      <c r="AB353" s="157">
        <f t="shared" si="209"/>
        <v>165.67</v>
      </c>
      <c r="AC353" s="170">
        <f t="shared" si="210"/>
        <v>-0.56930000000000003</v>
      </c>
      <c r="AD353" s="366">
        <f t="shared" si="181"/>
        <v>-94.315930999999992</v>
      </c>
      <c r="AF353">
        <v>71.346000000000004</v>
      </c>
      <c r="AG353" s="379">
        <v>71</v>
      </c>
      <c r="AH353" s="358">
        <f t="shared" si="182"/>
        <v>0</v>
      </c>
      <c r="AJ353" s="379">
        <v>2.9000000000000001E-2</v>
      </c>
      <c r="AK353" s="366">
        <f t="shared" si="183"/>
        <v>2.9000000000000001E-2</v>
      </c>
      <c r="AL353" s="366">
        <v>0</v>
      </c>
      <c r="AN353" s="152"/>
      <c r="AP353" s="379">
        <v>1.034</v>
      </c>
      <c r="AQ353" s="243">
        <v>2.9000000000000001E-2</v>
      </c>
      <c r="AR353" s="366">
        <f t="shared" si="184"/>
        <v>0</v>
      </c>
      <c r="AT353" s="241">
        <f t="shared" si="185"/>
        <v>-0.59830000000000005</v>
      </c>
    </row>
    <row r="354" spans="1:47" ht="26.25" x14ac:dyDescent="0.25">
      <c r="A354" s="378" t="s">
        <v>587</v>
      </c>
      <c r="B354" s="359" t="s">
        <v>35</v>
      </c>
      <c r="C354" s="362" t="s">
        <v>136</v>
      </c>
      <c r="D354" s="359" t="s">
        <v>320</v>
      </c>
      <c r="E354" s="188" t="s">
        <v>381</v>
      </c>
      <c r="F354" s="359">
        <f>VLOOKUP(E354,'условия, ФОТ'!$A$14:$I$28,9, FALSE)</f>
        <v>326.24</v>
      </c>
      <c r="G354" s="359">
        <v>0.13</v>
      </c>
      <c r="H354" s="359">
        <f t="shared" si="205"/>
        <v>42.41</v>
      </c>
      <c r="I354" s="359">
        <f t="shared" si="194"/>
        <v>12.81</v>
      </c>
      <c r="J354" s="359">
        <f t="shared" si="206"/>
        <v>55.22</v>
      </c>
      <c r="K354" s="363"/>
      <c r="L354" s="359"/>
      <c r="M354" s="359"/>
      <c r="N354" s="359"/>
      <c r="O354" s="359"/>
      <c r="P354" s="359">
        <f t="shared" si="212"/>
        <v>55.22</v>
      </c>
      <c r="Q354" s="359">
        <f t="shared" si="197"/>
        <v>42.8</v>
      </c>
      <c r="R354" s="369">
        <f t="shared" si="211"/>
        <v>52.5</v>
      </c>
      <c r="S354" s="369">
        <f t="shared" si="198"/>
        <v>10.5</v>
      </c>
      <c r="T354" s="369">
        <f t="shared" si="207"/>
        <v>63</v>
      </c>
      <c r="U354" s="121">
        <v>40</v>
      </c>
      <c r="V354" s="127">
        <f t="shared" si="199"/>
        <v>57.5</v>
      </c>
      <c r="W354" s="377">
        <v>41</v>
      </c>
      <c r="X354" s="367">
        <f t="shared" si="192"/>
        <v>53.658536585365852</v>
      </c>
      <c r="Y354" s="117">
        <v>41</v>
      </c>
      <c r="Z354" s="368">
        <v>1.5389999999999999</v>
      </c>
      <c r="AA354" s="152">
        <f t="shared" si="208"/>
        <v>63.1</v>
      </c>
      <c r="AB354" s="157">
        <f t="shared" si="209"/>
        <v>117.62</v>
      </c>
      <c r="AC354" s="170">
        <f t="shared" si="210"/>
        <v>-0.46350000000000002</v>
      </c>
      <c r="AD354" s="366">
        <f t="shared" si="181"/>
        <v>-54.516870000000004</v>
      </c>
      <c r="AF354">
        <v>42.393999999999998</v>
      </c>
      <c r="AG354" s="379">
        <v>42</v>
      </c>
      <c r="AH354" s="358">
        <f t="shared" si="182"/>
        <v>21</v>
      </c>
      <c r="AJ354" s="379">
        <v>-0.29470000000000002</v>
      </c>
      <c r="AK354" s="366">
        <f t="shared" si="183"/>
        <v>1.2947</v>
      </c>
      <c r="AL354" s="366">
        <v>1.339</v>
      </c>
      <c r="AN354" s="152">
        <f t="shared" ref="AN354:AN364" si="213">ROUND(W354*AL354,2)</f>
        <v>54.9</v>
      </c>
      <c r="AP354" s="379">
        <v>1.034</v>
      </c>
      <c r="AQ354" s="243">
        <v>-0.29470000000000002</v>
      </c>
      <c r="AR354" s="366">
        <f t="shared" si="184"/>
        <v>0.50499999999999989</v>
      </c>
      <c r="AT354" s="241">
        <f t="shared" si="185"/>
        <v>-0.16880000000000001</v>
      </c>
    </row>
    <row r="355" spans="1:47" ht="22.7" customHeight="1" x14ac:dyDescent="0.25">
      <c r="A355" s="378" t="s">
        <v>582</v>
      </c>
      <c r="B355" s="359" t="s">
        <v>35</v>
      </c>
      <c r="C355" s="362" t="s">
        <v>137</v>
      </c>
      <c r="D355" s="359" t="s">
        <v>325</v>
      </c>
      <c r="E355" s="359" t="s">
        <v>324</v>
      </c>
      <c r="F355" s="359">
        <f>VLOOKUP(E355,'условия, ФОТ'!$A$14:$I$28,9, FALSE)</f>
        <v>326.24</v>
      </c>
      <c r="G355" s="359">
        <v>0.03</v>
      </c>
      <c r="H355" s="359">
        <f t="shared" si="205"/>
        <v>9.7899999999999991</v>
      </c>
      <c r="I355" s="359">
        <f t="shared" si="194"/>
        <v>2.96</v>
      </c>
      <c r="J355" s="359">
        <f t="shared" si="206"/>
        <v>12.75</v>
      </c>
      <c r="K355" s="363"/>
      <c r="L355" s="359"/>
      <c r="M355" s="359"/>
      <c r="N355" s="359"/>
      <c r="O355" s="359"/>
      <c r="P355" s="359">
        <f t="shared" si="212"/>
        <v>12.75</v>
      </c>
      <c r="Q355" s="359">
        <f t="shared" si="197"/>
        <v>9.8800000000000008</v>
      </c>
      <c r="R355" s="369">
        <f t="shared" si="211"/>
        <v>12.5</v>
      </c>
      <c r="S355" s="369">
        <f t="shared" si="198"/>
        <v>2.5</v>
      </c>
      <c r="T355" s="369">
        <f t="shared" si="207"/>
        <v>15</v>
      </c>
      <c r="U355" s="121">
        <v>11</v>
      </c>
      <c r="V355" s="127">
        <f t="shared" si="199"/>
        <v>36.363636363636346</v>
      </c>
      <c r="W355" s="377">
        <v>11</v>
      </c>
      <c r="X355" s="367">
        <f t="shared" si="192"/>
        <v>36.363636363636346</v>
      </c>
      <c r="Y355" s="117">
        <v>11</v>
      </c>
      <c r="Z355" s="368">
        <v>1.3240000000000001</v>
      </c>
      <c r="AA355" s="152">
        <f t="shared" si="208"/>
        <v>14.56</v>
      </c>
      <c r="AB355" s="157">
        <f t="shared" si="209"/>
        <v>27.16</v>
      </c>
      <c r="AC355" s="170">
        <f t="shared" si="210"/>
        <v>-0.46389999999999998</v>
      </c>
      <c r="AD355" s="366">
        <f t="shared" si="181"/>
        <v>-12.599523999999999</v>
      </c>
      <c r="AF355">
        <v>11.374000000000001</v>
      </c>
      <c r="AG355" s="379">
        <v>11</v>
      </c>
      <c r="AH355" s="358">
        <f t="shared" si="182"/>
        <v>4</v>
      </c>
      <c r="AJ355" s="379">
        <v>-0.1802</v>
      </c>
      <c r="AK355" s="366">
        <f t="shared" si="183"/>
        <v>1.1801999999999999</v>
      </c>
      <c r="AL355" s="366">
        <v>1.22</v>
      </c>
      <c r="AN355" s="152">
        <f t="shared" si="213"/>
        <v>13.42</v>
      </c>
      <c r="AP355" s="379">
        <v>1.034</v>
      </c>
      <c r="AQ355" s="243">
        <v>-0.1802</v>
      </c>
      <c r="AR355" s="366">
        <f t="shared" si="184"/>
        <v>0.29000000000000004</v>
      </c>
      <c r="AT355" s="241">
        <f t="shared" si="185"/>
        <v>-0.28369999999999995</v>
      </c>
    </row>
    <row r="356" spans="1:47" ht="29.25" customHeight="1" x14ac:dyDescent="0.25">
      <c r="A356" s="378" t="s">
        <v>588</v>
      </c>
      <c r="B356" s="359" t="s">
        <v>35</v>
      </c>
      <c r="C356" s="362" t="s">
        <v>138</v>
      </c>
      <c r="D356" s="359" t="s">
        <v>325</v>
      </c>
      <c r="E356" s="373" t="s">
        <v>321</v>
      </c>
      <c r="F356" s="359">
        <f>VLOOKUP(E356,'условия, ФОТ'!$A$14:$I$28,9, FALSE)</f>
        <v>398.28</v>
      </c>
      <c r="G356" s="359">
        <v>0.12</v>
      </c>
      <c r="H356" s="359">
        <f t="shared" si="205"/>
        <v>47.79</v>
      </c>
      <c r="I356" s="359">
        <f t="shared" si="194"/>
        <v>14.43</v>
      </c>
      <c r="J356" s="359">
        <f t="shared" si="206"/>
        <v>62.22</v>
      </c>
      <c r="K356" s="363"/>
      <c r="L356" s="359"/>
      <c r="M356" s="359"/>
      <c r="N356" s="359"/>
      <c r="O356" s="359"/>
      <c r="P356" s="359">
        <f t="shared" si="212"/>
        <v>62.22</v>
      </c>
      <c r="Q356" s="359">
        <f t="shared" si="197"/>
        <v>48.22</v>
      </c>
      <c r="R356" s="369">
        <f>ROUND(T356/1.2,2)</f>
        <v>47.5</v>
      </c>
      <c r="S356" s="369">
        <f>ROUND(R356*$S$5,2)</f>
        <v>9.5</v>
      </c>
      <c r="T356" s="369">
        <f t="shared" si="207"/>
        <v>57</v>
      </c>
      <c r="U356" s="121">
        <v>54</v>
      </c>
      <c r="V356" s="127">
        <f t="shared" si="199"/>
        <v>5.5555555555555571</v>
      </c>
      <c r="W356" s="377">
        <v>55</v>
      </c>
      <c r="X356" s="367">
        <f t="shared" si="192"/>
        <v>3.6363636363636402</v>
      </c>
      <c r="Y356" s="117">
        <v>55</v>
      </c>
      <c r="Z356" s="356">
        <v>1.034</v>
      </c>
      <c r="AA356" s="366">
        <v>56.870000000000005</v>
      </c>
      <c r="AB356" s="157">
        <f t="shared" si="209"/>
        <v>132.53</v>
      </c>
      <c r="AC356" s="170">
        <f t="shared" si="210"/>
        <v>-0.57089999999999996</v>
      </c>
      <c r="AD356" s="366">
        <f t="shared" si="181"/>
        <v>-75.661377000000002</v>
      </c>
      <c r="AF356">
        <v>56.870000000000005</v>
      </c>
      <c r="AG356" s="379">
        <v>57</v>
      </c>
      <c r="AH356" s="358">
        <f t="shared" si="182"/>
        <v>0</v>
      </c>
      <c r="AJ356" s="379">
        <v>2.4899999999999999E-2</v>
      </c>
      <c r="AK356" s="366">
        <f t="shared" si="183"/>
        <v>2.4899999999999999E-2</v>
      </c>
      <c r="AL356" s="366">
        <v>0</v>
      </c>
      <c r="AN356" s="152"/>
      <c r="AP356" s="379">
        <v>1.034</v>
      </c>
      <c r="AQ356" s="243">
        <v>2.4899999999999999E-2</v>
      </c>
      <c r="AR356" s="366">
        <f t="shared" si="184"/>
        <v>0</v>
      </c>
      <c r="AT356" s="241">
        <f t="shared" si="185"/>
        <v>-0.5958</v>
      </c>
    </row>
    <row r="357" spans="1:47" ht="16.5" customHeight="1" x14ac:dyDescent="0.25">
      <c r="A357" s="920" t="s">
        <v>633</v>
      </c>
      <c r="B357" s="985" t="s">
        <v>35</v>
      </c>
      <c r="C357" s="995" t="s">
        <v>139</v>
      </c>
      <c r="D357" s="978" t="s">
        <v>20</v>
      </c>
      <c r="E357" s="373" t="s">
        <v>169</v>
      </c>
      <c r="F357" s="359">
        <f>VLOOKUP(E357,'условия, ФОТ'!$A$14:$I$28,9, FALSE)</f>
        <v>326.24</v>
      </c>
      <c r="G357" s="359">
        <v>1.1200000000000001</v>
      </c>
      <c r="H357" s="985">
        <f>ROUND(F357*G357+F358*G358,2)</f>
        <v>495.88</v>
      </c>
      <c r="I357" s="985">
        <f t="shared" si="194"/>
        <v>149.76</v>
      </c>
      <c r="J357" s="985">
        <f t="shared" si="206"/>
        <v>645.64</v>
      </c>
      <c r="K357" s="363"/>
      <c r="L357" s="359"/>
      <c r="M357" s="359"/>
      <c r="N357" s="359"/>
      <c r="O357" s="359"/>
      <c r="P357" s="985">
        <f t="shared" si="212"/>
        <v>645.64</v>
      </c>
      <c r="Q357" s="985">
        <f t="shared" si="197"/>
        <v>500.37</v>
      </c>
      <c r="R357" s="1004">
        <f>ROUND(T357/1.2,2)</f>
        <v>615</v>
      </c>
      <c r="S357" s="1004">
        <f t="shared" si="198"/>
        <v>123</v>
      </c>
      <c r="T357" s="1004">
        <f t="shared" si="207"/>
        <v>738</v>
      </c>
      <c r="U357" s="794">
        <v>593</v>
      </c>
      <c r="V357" s="1022">
        <f t="shared" si="199"/>
        <v>24.45193929173692</v>
      </c>
      <c r="W357" s="1001">
        <v>611</v>
      </c>
      <c r="X357" s="1002">
        <f t="shared" si="192"/>
        <v>20.785597381342072</v>
      </c>
      <c r="Y357" s="117">
        <v>611</v>
      </c>
      <c r="Z357" s="1037">
        <v>1.2070000000000001</v>
      </c>
      <c r="AA357" s="1003">
        <f>ROUND(W357*Z357,2)</f>
        <v>737.48</v>
      </c>
      <c r="AB357" s="1005">
        <f t="shared" si="209"/>
        <v>1375.21</v>
      </c>
      <c r="AC357" s="1006">
        <f t="shared" si="210"/>
        <v>-0.4637</v>
      </c>
      <c r="AD357" s="751">
        <f t="shared" si="181"/>
        <v>-637.68487700000003</v>
      </c>
      <c r="AF357">
        <v>631.774</v>
      </c>
      <c r="AG357" s="759">
        <v>632</v>
      </c>
      <c r="AH357" s="1008">
        <f t="shared" si="182"/>
        <v>106</v>
      </c>
      <c r="AJ357" s="759">
        <v>-0.10100000000000001</v>
      </c>
      <c r="AK357" s="751">
        <f t="shared" si="183"/>
        <v>1.101</v>
      </c>
      <c r="AL357" s="751">
        <v>1.1379999999999999</v>
      </c>
      <c r="AN357" s="879">
        <f t="shared" si="213"/>
        <v>695.32</v>
      </c>
      <c r="AP357" s="759">
        <v>1.034</v>
      </c>
      <c r="AQ357" s="877">
        <v>-0.10100000000000001</v>
      </c>
      <c r="AR357" s="751">
        <f t="shared" si="184"/>
        <v>0.17300000000000004</v>
      </c>
      <c r="AT357" s="747">
        <f t="shared" si="185"/>
        <v>-0.36270000000000002</v>
      </c>
    </row>
    <row r="358" spans="1:47" ht="25.5" x14ac:dyDescent="0.25">
      <c r="A358" s="922"/>
      <c r="B358" s="985"/>
      <c r="C358" s="995"/>
      <c r="D358" s="978"/>
      <c r="E358" s="365" t="s">
        <v>381</v>
      </c>
      <c r="F358" s="359">
        <f>VLOOKUP(E358,'условия, ФОТ'!$A$14:$I$28,9, FALSE)</f>
        <v>326.24</v>
      </c>
      <c r="G358" s="359">
        <v>0.4</v>
      </c>
      <c r="H358" s="985"/>
      <c r="I358" s="985"/>
      <c r="J358" s="985"/>
      <c r="K358" s="363"/>
      <c r="L358" s="359"/>
      <c r="M358" s="359"/>
      <c r="N358" s="359"/>
      <c r="O358" s="359"/>
      <c r="P358" s="985">
        <f t="shared" si="212"/>
        <v>0</v>
      </c>
      <c r="Q358" s="985">
        <f t="shared" si="197"/>
        <v>0</v>
      </c>
      <c r="R358" s="1004">
        <f t="shared" ref="R358" si="214">ROUND(T358/1.18,2)</f>
        <v>0</v>
      </c>
      <c r="S358" s="1004">
        <f t="shared" si="198"/>
        <v>0</v>
      </c>
      <c r="T358" s="1004">
        <f>ROUND((P358+Q358)*(1+$R$5)*1.18,0)</f>
        <v>0</v>
      </c>
      <c r="U358" s="1009"/>
      <c r="V358" s="1022"/>
      <c r="W358" s="1001"/>
      <c r="X358" s="1002"/>
      <c r="Y358" s="117">
        <v>0</v>
      </c>
      <c r="Z358" s="1038"/>
      <c r="AA358" s="1003"/>
      <c r="AB358" s="1005"/>
      <c r="AC358" s="1007"/>
      <c r="AD358" s="752"/>
      <c r="AG358" s="760"/>
      <c r="AH358" s="1008"/>
      <c r="AJ358" s="760"/>
      <c r="AK358" s="752"/>
      <c r="AL358" s="752"/>
      <c r="AN358" s="880"/>
      <c r="AP358" s="760"/>
      <c r="AQ358" s="878"/>
      <c r="AR358" s="752"/>
      <c r="AT358" s="748"/>
    </row>
    <row r="359" spans="1:47" ht="25.5" x14ac:dyDescent="0.25">
      <c r="A359" s="378" t="s">
        <v>634</v>
      </c>
      <c r="B359" s="359" t="s">
        <v>35</v>
      </c>
      <c r="C359" s="362" t="s">
        <v>140</v>
      </c>
      <c r="D359" s="359" t="s">
        <v>325</v>
      </c>
      <c r="E359" s="373" t="s">
        <v>170</v>
      </c>
      <c r="F359" s="359">
        <f>VLOOKUP(E359,'условия, ФОТ'!$A$14:$I$28,9, FALSE)</f>
        <v>319.19</v>
      </c>
      <c r="G359" s="359">
        <v>0.34</v>
      </c>
      <c r="H359" s="359">
        <f t="shared" si="205"/>
        <v>108.52</v>
      </c>
      <c r="I359" s="359">
        <f t="shared" si="194"/>
        <v>32.770000000000003</v>
      </c>
      <c r="J359" s="359">
        <f t="shared" si="206"/>
        <v>141.29</v>
      </c>
      <c r="K359" s="363"/>
      <c r="L359" s="359"/>
      <c r="M359" s="359"/>
      <c r="N359" s="359"/>
      <c r="O359" s="359"/>
      <c r="P359" s="359">
        <f t="shared" si="212"/>
        <v>141.29</v>
      </c>
      <c r="Q359" s="359">
        <f t="shared" si="197"/>
        <v>109.5</v>
      </c>
      <c r="R359" s="369">
        <f>ROUND(T359/1.2,2)</f>
        <v>182.5</v>
      </c>
      <c r="S359" s="369">
        <f t="shared" si="198"/>
        <v>36.5</v>
      </c>
      <c r="T359" s="369">
        <f>ROUND((P359+Q359)*(1+AC359)*1.2,0)</f>
        <v>219</v>
      </c>
      <c r="U359" s="121">
        <v>205</v>
      </c>
      <c r="V359" s="127">
        <f t="shared" si="199"/>
        <v>6.82926829268294</v>
      </c>
      <c r="W359" s="377">
        <v>212</v>
      </c>
      <c r="X359" s="367">
        <f t="shared" si="192"/>
        <v>3.3018867924528195</v>
      </c>
      <c r="Y359" s="117">
        <v>212</v>
      </c>
      <c r="Z359" s="356">
        <v>1.034</v>
      </c>
      <c r="AA359" s="152">
        <f>ROUND(W359*Z359,2)</f>
        <v>219.21</v>
      </c>
      <c r="AB359" s="157">
        <f>ROUND((P359+Q359)*1.2,2)</f>
        <v>300.95</v>
      </c>
      <c r="AC359" s="170">
        <f>ROUND((AA359/AB359)*100%-100%,4)</f>
        <v>-0.27160000000000001</v>
      </c>
      <c r="AD359" s="366">
        <f t="shared" si="181"/>
        <v>-81.738020000000006</v>
      </c>
      <c r="AF359">
        <v>219.208</v>
      </c>
      <c r="AG359" s="379">
        <v>219</v>
      </c>
      <c r="AH359" s="358">
        <f t="shared" si="182"/>
        <v>0</v>
      </c>
      <c r="AJ359" s="379">
        <v>2.7699999999999999E-2</v>
      </c>
      <c r="AK359" s="366">
        <f t="shared" si="183"/>
        <v>2.7699999999999999E-2</v>
      </c>
      <c r="AL359" s="366">
        <v>0</v>
      </c>
      <c r="AN359" s="152"/>
      <c r="AP359" s="379">
        <v>1.034</v>
      </c>
      <c r="AQ359" s="243">
        <v>2.7699999999999999E-2</v>
      </c>
      <c r="AR359" s="366">
        <f t="shared" si="184"/>
        <v>0</v>
      </c>
      <c r="AT359" s="241">
        <f t="shared" si="185"/>
        <v>-0.29930000000000001</v>
      </c>
    </row>
    <row r="360" spans="1:47" ht="19.5" customHeight="1" x14ac:dyDescent="0.25">
      <c r="A360" s="920" t="s">
        <v>635</v>
      </c>
      <c r="B360" s="985" t="s">
        <v>35</v>
      </c>
      <c r="C360" s="995" t="s">
        <v>141</v>
      </c>
      <c r="D360" s="985" t="s">
        <v>334</v>
      </c>
      <c r="E360" s="359" t="s">
        <v>362</v>
      </c>
      <c r="F360" s="359" t="e">
        <f>VLOOKUP(E360,'условия, ФОТ'!$A$14:$I$28,9, FALSE)</f>
        <v>#N/A</v>
      </c>
      <c r="G360" s="359">
        <v>0.2</v>
      </c>
      <c r="H360" s="985" t="e">
        <f>ROUND(F360*G360+F361*G361,2)</f>
        <v>#N/A</v>
      </c>
      <c r="I360" s="985" t="e">
        <f t="shared" si="194"/>
        <v>#N/A</v>
      </c>
      <c r="J360" s="985" t="e">
        <f t="shared" si="206"/>
        <v>#N/A</v>
      </c>
      <c r="K360" s="363"/>
      <c r="L360" s="359"/>
      <c r="M360" s="359"/>
      <c r="N360" s="359"/>
      <c r="O360" s="985">
        <f>ROUND('расход ГСМ'!J4/4,2)</f>
        <v>117.71</v>
      </c>
      <c r="P360" s="985" t="e">
        <f>J360+O360</f>
        <v>#N/A</v>
      </c>
      <c r="Q360" s="985" t="e">
        <f t="shared" si="197"/>
        <v>#N/A</v>
      </c>
      <c r="R360" s="1004" t="e">
        <f>ROUND(T360/1.2,2)</f>
        <v>#N/A</v>
      </c>
      <c r="S360" s="1004" t="e">
        <f t="shared" si="198"/>
        <v>#N/A</v>
      </c>
      <c r="T360" s="1004" t="e">
        <f>ROUND((P360+Q360)*(1+AC360)*1.2,0)</f>
        <v>#N/A</v>
      </c>
      <c r="U360" s="794">
        <v>329</v>
      </c>
      <c r="V360" s="1022" t="e">
        <f t="shared" si="199"/>
        <v>#N/A</v>
      </c>
      <c r="W360" s="1001">
        <v>339</v>
      </c>
      <c r="X360" s="1002" t="e">
        <f t="shared" si="192"/>
        <v>#N/A</v>
      </c>
      <c r="Y360" s="117">
        <v>339</v>
      </c>
      <c r="Z360" s="751">
        <v>1.034</v>
      </c>
      <c r="AA360" s="1003">
        <f>ROUND(W360*Z360,2)</f>
        <v>350.53</v>
      </c>
      <c r="AB360" s="1005" t="e">
        <f>ROUND((P360+Q360)*1.2,2)</f>
        <v>#N/A</v>
      </c>
      <c r="AC360" s="1006" t="e">
        <f>ROUND((AA360/AB360)*100%-100%,4)</f>
        <v>#N/A</v>
      </c>
      <c r="AD360" s="751" t="e">
        <f t="shared" si="181"/>
        <v>#N/A</v>
      </c>
      <c r="AF360">
        <v>350.52600000000001</v>
      </c>
      <c r="AG360" s="759">
        <v>351</v>
      </c>
      <c r="AH360" s="1008" t="e">
        <f t="shared" si="182"/>
        <v>#N/A</v>
      </c>
      <c r="AJ360" s="759">
        <v>7.85E-2</v>
      </c>
      <c r="AK360" s="751">
        <f t="shared" si="183"/>
        <v>7.85E-2</v>
      </c>
      <c r="AL360" s="751">
        <v>0</v>
      </c>
      <c r="AN360" s="879"/>
      <c r="AP360" s="759">
        <v>1.034</v>
      </c>
      <c r="AQ360" s="877">
        <v>7.85E-2</v>
      </c>
      <c r="AR360" s="751">
        <f t="shared" si="184"/>
        <v>0</v>
      </c>
      <c r="AT360" s="747" t="e">
        <f t="shared" si="185"/>
        <v>#N/A</v>
      </c>
    </row>
    <row r="361" spans="1:47" ht="24" customHeight="1" x14ac:dyDescent="0.25">
      <c r="A361" s="922"/>
      <c r="B361" s="985"/>
      <c r="C361" s="995"/>
      <c r="D361" s="985"/>
      <c r="E361" s="373" t="s">
        <v>361</v>
      </c>
      <c r="F361" s="359" t="e">
        <f>VLOOKUP(E361,'условия, ФОТ'!$A$14:$I$28,9, FALSE)</f>
        <v>#N/A</v>
      </c>
      <c r="G361" s="359">
        <v>0.2</v>
      </c>
      <c r="H361" s="985"/>
      <c r="I361" s="985"/>
      <c r="J361" s="985">
        <f t="shared" si="206"/>
        <v>0</v>
      </c>
      <c r="K361" s="363"/>
      <c r="L361" s="359"/>
      <c r="M361" s="359"/>
      <c r="N361" s="359"/>
      <c r="O361" s="985"/>
      <c r="P361" s="985"/>
      <c r="Q361" s="985"/>
      <c r="R361" s="1004"/>
      <c r="S361" s="1004"/>
      <c r="T361" s="1004">
        <f>ROUND((P361+Q361)*(1+$R$5)*1.18,0)</f>
        <v>0</v>
      </c>
      <c r="U361" s="1009"/>
      <c r="V361" s="1022"/>
      <c r="W361" s="1001"/>
      <c r="X361" s="1002"/>
      <c r="Z361" s="752"/>
      <c r="AA361" s="1003"/>
      <c r="AB361" s="1005"/>
      <c r="AC361" s="1007"/>
      <c r="AD361" s="752"/>
      <c r="AG361" s="760"/>
      <c r="AH361" s="1008"/>
      <c r="AJ361" s="760"/>
      <c r="AK361" s="752"/>
      <c r="AL361" s="752"/>
      <c r="AN361" s="880"/>
      <c r="AP361" s="760"/>
      <c r="AQ361" s="878"/>
      <c r="AR361" s="752"/>
      <c r="AT361" s="748"/>
    </row>
    <row r="362" spans="1:47" ht="39.75" customHeight="1" x14ac:dyDescent="0.25">
      <c r="A362" s="378" t="s">
        <v>636</v>
      </c>
      <c r="B362" s="359" t="s">
        <v>35</v>
      </c>
      <c r="C362" s="362" t="s">
        <v>142</v>
      </c>
      <c r="D362" s="359" t="s">
        <v>320</v>
      </c>
      <c r="E362" s="359" t="s">
        <v>168</v>
      </c>
      <c r="F362" s="359">
        <f>VLOOKUP(E362,'условия, ФОТ'!$A$14:$I$28,9, FALSE)</f>
        <v>282.83999999999997</v>
      </c>
      <c r="G362" s="359">
        <v>1.4</v>
      </c>
      <c r="H362" s="359">
        <f t="shared" si="205"/>
        <v>395.98</v>
      </c>
      <c r="I362" s="359">
        <f t="shared" si="194"/>
        <v>119.59</v>
      </c>
      <c r="J362" s="359">
        <f t="shared" si="206"/>
        <v>515.57000000000005</v>
      </c>
      <c r="K362" s="363"/>
      <c r="L362" s="359"/>
      <c r="M362" s="359"/>
      <c r="N362" s="359"/>
      <c r="O362" s="359"/>
      <c r="P362" s="359">
        <f t="shared" si="212"/>
        <v>515.57000000000005</v>
      </c>
      <c r="Q362" s="359">
        <f t="shared" si="197"/>
        <v>399.57</v>
      </c>
      <c r="R362" s="369">
        <f>ROUND(T362/1.2,2)</f>
        <v>565.83000000000004</v>
      </c>
      <c r="S362" s="369">
        <f>ROUND(R362*$S$5,2)</f>
        <v>113.17</v>
      </c>
      <c r="T362" s="369">
        <f>ROUND((P362+Q362)*(1+AC362)*1.2,0)</f>
        <v>679</v>
      </c>
      <c r="U362" s="121">
        <v>520</v>
      </c>
      <c r="V362" s="127">
        <f t="shared" si="199"/>
        <v>30.576923076923066</v>
      </c>
      <c r="W362" s="377">
        <v>537</v>
      </c>
      <c r="X362" s="367">
        <f t="shared" si="192"/>
        <v>26.443202979515831</v>
      </c>
      <c r="Y362" s="117">
        <v>537</v>
      </c>
      <c r="Z362" s="368">
        <v>1.2649999999999999</v>
      </c>
      <c r="AA362" s="152">
        <f>ROUND(W362*Z362,2)</f>
        <v>679.31</v>
      </c>
      <c r="AB362" s="157">
        <f>ROUND((P362+Q362)*1.2,2)</f>
        <v>1098.17</v>
      </c>
      <c r="AC362" s="170">
        <f>ROUND((AA362/AB362)*100%-100%,4)</f>
        <v>-0.38140000000000002</v>
      </c>
      <c r="AD362" s="366">
        <f t="shared" si="181"/>
        <v>-418.84203800000006</v>
      </c>
      <c r="AF362">
        <v>555.25800000000004</v>
      </c>
      <c r="AG362" s="379">
        <v>555</v>
      </c>
      <c r="AH362" s="358">
        <f t="shared" si="182"/>
        <v>124</v>
      </c>
      <c r="AJ362" s="379">
        <v>-0.14219999999999999</v>
      </c>
      <c r="AK362" s="366">
        <f t="shared" si="183"/>
        <v>1.1421999999999999</v>
      </c>
      <c r="AL362" s="366">
        <v>1.181</v>
      </c>
      <c r="AN362" s="152">
        <f t="shared" si="213"/>
        <v>634.20000000000005</v>
      </c>
      <c r="AP362" s="379">
        <v>1.034</v>
      </c>
      <c r="AQ362" s="243">
        <v>-0.14219999999999999</v>
      </c>
      <c r="AR362" s="366">
        <f t="shared" si="184"/>
        <v>0.23099999999999987</v>
      </c>
      <c r="AT362" s="241">
        <f t="shared" si="185"/>
        <v>-0.23920000000000002</v>
      </c>
    </row>
    <row r="363" spans="1:47" ht="43.5" customHeight="1" x14ac:dyDescent="0.25">
      <c r="A363" s="372" t="s">
        <v>637</v>
      </c>
      <c r="B363" s="359" t="s">
        <v>35</v>
      </c>
      <c r="C363" s="362" t="s">
        <v>143</v>
      </c>
      <c r="D363" s="359" t="s">
        <v>360</v>
      </c>
      <c r="E363" s="373" t="s">
        <v>170</v>
      </c>
      <c r="F363" s="359">
        <f>VLOOKUP(E363,'условия, ФОТ'!$A$14:$I$28,9, FALSE)</f>
        <v>319.19</v>
      </c>
      <c r="G363" s="359">
        <v>0.5</v>
      </c>
      <c r="H363" s="359">
        <f t="shared" si="205"/>
        <v>159.6</v>
      </c>
      <c r="I363" s="359">
        <f t="shared" si="194"/>
        <v>48.2</v>
      </c>
      <c r="J363" s="359">
        <f t="shared" si="206"/>
        <v>207.8</v>
      </c>
      <c r="K363" s="363"/>
      <c r="L363" s="359"/>
      <c r="M363" s="359"/>
      <c r="N363" s="359"/>
      <c r="O363" s="359"/>
      <c r="P363" s="359">
        <f t="shared" si="212"/>
        <v>207.8</v>
      </c>
      <c r="Q363" s="359">
        <f t="shared" si="197"/>
        <v>161.05000000000001</v>
      </c>
      <c r="R363" s="369">
        <f>ROUND(T363/1.2,2)</f>
        <v>268.33</v>
      </c>
      <c r="S363" s="369">
        <f>ROUND(R363*$S$5,2)</f>
        <v>53.67</v>
      </c>
      <c r="T363" s="369">
        <f>ROUND((P363+Q363)*(1+AC363)*1.2,0)</f>
        <v>322</v>
      </c>
      <c r="U363" s="121">
        <v>302</v>
      </c>
      <c r="V363" s="127">
        <f t="shared" si="199"/>
        <v>6.622516556291373</v>
      </c>
      <c r="W363" s="377">
        <v>311</v>
      </c>
      <c r="X363" s="367">
        <f t="shared" si="192"/>
        <v>3.536977491961423</v>
      </c>
      <c r="Y363" s="117">
        <v>311</v>
      </c>
      <c r="Z363" s="356">
        <v>1.034</v>
      </c>
      <c r="AA363" s="152">
        <f>ROUND(W363*Z363,2)</f>
        <v>321.57</v>
      </c>
      <c r="AB363" s="157">
        <f>ROUND((P363+Q363)*1.2,2)</f>
        <v>442.62</v>
      </c>
      <c r="AC363" s="170">
        <f>ROUND((AA363/AB363)*100%-100%,4)</f>
        <v>-0.27350000000000002</v>
      </c>
      <c r="AD363" s="366">
        <f t="shared" si="181"/>
        <v>-121.05657000000001</v>
      </c>
      <c r="AF363">
        <v>321.57400000000001</v>
      </c>
      <c r="AG363" s="379">
        <v>322</v>
      </c>
      <c r="AH363" s="358">
        <f t="shared" si="182"/>
        <v>0</v>
      </c>
      <c r="AJ363" s="379">
        <v>2.52E-2</v>
      </c>
      <c r="AK363" s="366">
        <f t="shared" si="183"/>
        <v>2.52E-2</v>
      </c>
      <c r="AL363" s="366">
        <v>0</v>
      </c>
      <c r="AN363" s="152"/>
      <c r="AP363" s="379">
        <v>1.034</v>
      </c>
      <c r="AQ363" s="243">
        <v>2.52E-2</v>
      </c>
      <c r="AR363" s="366">
        <f t="shared" si="184"/>
        <v>0</v>
      </c>
      <c r="AT363" s="241">
        <f t="shared" si="185"/>
        <v>-0.29870000000000002</v>
      </c>
    </row>
    <row r="364" spans="1:47" ht="66.75" customHeight="1" x14ac:dyDescent="0.25">
      <c r="A364" s="378" t="s">
        <v>638</v>
      </c>
      <c r="B364" s="359" t="s">
        <v>35</v>
      </c>
      <c r="C364" s="362" t="s">
        <v>323</v>
      </c>
      <c r="D364" s="359" t="s">
        <v>20</v>
      </c>
      <c r="E364" s="359" t="s">
        <v>168</v>
      </c>
      <c r="F364" s="359">
        <f>VLOOKUP(E364,'условия, ФОТ'!$A$14:$I$28,9, FALSE)</f>
        <v>282.83999999999997</v>
      </c>
      <c r="G364" s="359">
        <v>1.4</v>
      </c>
      <c r="H364" s="359">
        <f t="shared" si="205"/>
        <v>395.98</v>
      </c>
      <c r="I364" s="359">
        <f t="shared" si="194"/>
        <v>119.59</v>
      </c>
      <c r="J364" s="359">
        <f t="shared" si="206"/>
        <v>515.57000000000005</v>
      </c>
      <c r="K364" s="363"/>
      <c r="L364" s="359"/>
      <c r="M364" s="359"/>
      <c r="N364" s="359"/>
      <c r="O364" s="359"/>
      <c r="P364" s="359">
        <f t="shared" si="212"/>
        <v>515.57000000000005</v>
      </c>
      <c r="Q364" s="359">
        <f t="shared" si="197"/>
        <v>399.57</v>
      </c>
      <c r="R364" s="369">
        <f>ROUND(T364/1.2,2)</f>
        <v>565.83000000000004</v>
      </c>
      <c r="S364" s="369">
        <f>ROUND(R364*$S$5,2)</f>
        <v>113.17</v>
      </c>
      <c r="T364" s="369">
        <f>ROUND((P364+Q364)*(1+AC364)*1.2,0)</f>
        <v>679</v>
      </c>
      <c r="U364" s="121">
        <v>520</v>
      </c>
      <c r="V364" s="127">
        <f t="shared" si="199"/>
        <v>30.576923076923066</v>
      </c>
      <c r="W364" s="377">
        <v>537</v>
      </c>
      <c r="X364" s="367">
        <f t="shared" si="192"/>
        <v>26.443202979515831</v>
      </c>
      <c r="Y364" s="117">
        <v>537</v>
      </c>
      <c r="Z364" s="248">
        <v>1.2649999999999999</v>
      </c>
      <c r="AA364" s="152">
        <f>ROUND(W364*Z364,2)</f>
        <v>679.31</v>
      </c>
      <c r="AB364" s="157">
        <f>ROUND((P364+Q364)*1.2,2)</f>
        <v>1098.17</v>
      </c>
      <c r="AC364" s="170">
        <f>ROUND((AA364/AB364)*100%-100%,4)</f>
        <v>-0.38140000000000002</v>
      </c>
      <c r="AD364" s="366">
        <f t="shared" si="181"/>
        <v>-418.84203800000006</v>
      </c>
      <c r="AF364">
        <v>555.25800000000004</v>
      </c>
      <c r="AG364" s="379">
        <v>555</v>
      </c>
      <c r="AH364" s="358">
        <f t="shared" si="182"/>
        <v>124</v>
      </c>
      <c r="AJ364" s="379">
        <v>-0.14219999999999999</v>
      </c>
      <c r="AK364" s="366">
        <f t="shared" si="183"/>
        <v>1.1421999999999999</v>
      </c>
      <c r="AL364" s="366">
        <v>1.181</v>
      </c>
      <c r="AN364" s="152">
        <f t="shared" si="213"/>
        <v>634.20000000000005</v>
      </c>
      <c r="AP364" s="379">
        <v>1.034</v>
      </c>
      <c r="AQ364" s="243">
        <v>-0.14219999999999999</v>
      </c>
      <c r="AR364" s="366">
        <f t="shared" si="184"/>
        <v>0.23099999999999987</v>
      </c>
      <c r="AT364" s="241">
        <f t="shared" si="185"/>
        <v>-0.23920000000000002</v>
      </c>
    </row>
    <row r="365" spans="1:47" ht="8.25" customHeight="1" x14ac:dyDescent="0.25">
      <c r="A365" s="350"/>
      <c r="B365" s="172"/>
      <c r="C365" s="173"/>
      <c r="D365" s="172"/>
      <c r="E365" s="172"/>
      <c r="F365" s="172"/>
      <c r="G365" s="172"/>
      <c r="H365" s="172"/>
      <c r="I365" s="172"/>
      <c r="J365" s="172"/>
      <c r="K365" s="173"/>
      <c r="L365" s="174"/>
      <c r="M365" s="174"/>
      <c r="N365" s="174"/>
      <c r="O365" s="174"/>
      <c r="P365" s="172"/>
      <c r="Q365" s="172"/>
      <c r="R365" s="175"/>
      <c r="S365" s="175"/>
      <c r="T365" s="175"/>
      <c r="X365" s="115"/>
      <c r="AD365" s="379"/>
    </row>
    <row r="366" spans="1:47" x14ac:dyDescent="0.25">
      <c r="A366" s="350"/>
      <c r="B366" s="1039" t="s">
        <v>598</v>
      </c>
      <c r="C366" s="1039"/>
      <c r="D366" s="172"/>
      <c r="E366" s="172"/>
      <c r="F366" s="172"/>
      <c r="G366" s="172"/>
      <c r="H366" s="172"/>
      <c r="I366" s="172"/>
      <c r="J366" s="172"/>
      <c r="K366" s="173"/>
      <c r="L366" s="174"/>
      <c r="M366" s="174"/>
      <c r="N366" s="174"/>
      <c r="O366" s="174"/>
      <c r="P366" s="172"/>
      <c r="Q366" s="172"/>
      <c r="R366" s="175"/>
      <c r="S366" s="175"/>
      <c r="T366" s="175"/>
      <c r="W366" s="142">
        <f>SUM(W8:W364)</f>
        <v>62014</v>
      </c>
      <c r="Y366" s="117">
        <f>SUM(Y8:Y365)</f>
        <v>61545</v>
      </c>
      <c r="Z366" s="379">
        <f>SUM(Z8:Z364)</f>
        <v>182.18699999999984</v>
      </c>
      <c r="AA366" s="38">
        <f>ROUND(SUM(AA8:AA364),2)</f>
        <v>68769.42</v>
      </c>
      <c r="AB366" s="38" t="e">
        <f>ROUND(SUM(AB8:AB364),2)</f>
        <v>#N/A</v>
      </c>
      <c r="AC366" s="249" t="e">
        <f>SUM(AC8:AC364)</f>
        <v>#N/A</v>
      </c>
      <c r="AD366" s="38" t="e">
        <f>SUM(AD8:AD364)</f>
        <v>#N/A</v>
      </c>
      <c r="AF366" s="38">
        <f>SUM(AF8:AF364)</f>
        <v>64122.476000000031</v>
      </c>
      <c r="AG366" s="38">
        <f>SUM(AG8:AG364)</f>
        <v>64130</v>
      </c>
      <c r="AH366" s="101" t="e">
        <f>SUM(AH8:AH365)</f>
        <v>#N/A</v>
      </c>
      <c r="AP366" s="246">
        <f>SUM(AP8:AP364)</f>
        <v>165.44000000000003</v>
      </c>
      <c r="AQ366" s="160">
        <f>SUM(AQ8:AQ364)</f>
        <v>-4.1042999999999976</v>
      </c>
      <c r="AR366" s="246">
        <f>SUM(AR8:AR364)</f>
        <v>16.747</v>
      </c>
      <c r="AT366" s="256" t="e">
        <f>SUM(AT8:AT364)</f>
        <v>#N/A</v>
      </c>
      <c r="AU366" t="s">
        <v>659</v>
      </c>
    </row>
    <row r="367" spans="1:47" ht="30" customHeight="1" x14ac:dyDescent="0.25">
      <c r="A367" s="1040" t="s">
        <v>597</v>
      </c>
      <c r="B367" s="1040"/>
      <c r="C367" s="1040"/>
      <c r="D367" s="1040"/>
      <c r="E367" s="1040"/>
      <c r="F367" s="1040"/>
      <c r="G367" s="1040"/>
      <c r="H367" s="1040"/>
      <c r="I367" s="1040"/>
      <c r="J367" s="1040"/>
      <c r="K367" s="1040"/>
      <c r="L367" s="1040"/>
      <c r="M367" s="1040"/>
      <c r="N367" s="1040"/>
      <c r="O367" s="1040"/>
      <c r="P367" s="1040"/>
      <c r="Q367" s="1040"/>
      <c r="R367" s="1040"/>
      <c r="S367" s="1040"/>
      <c r="T367" s="1040"/>
      <c r="AA367" s="168" t="e">
        <f>T372-AA366</f>
        <v>#N/A</v>
      </c>
    </row>
    <row r="368" spans="1:47" ht="27" customHeight="1" x14ac:dyDescent="0.25">
      <c r="A368" s="350"/>
      <c r="B368" s="172"/>
      <c r="C368" s="190" t="s">
        <v>591</v>
      </c>
      <c r="D368" s="191"/>
      <c r="E368" s="191"/>
      <c r="F368" s="191"/>
      <c r="G368" s="191" t="s">
        <v>592</v>
      </c>
      <c r="H368" s="191"/>
      <c r="I368" s="191" t="s">
        <v>593</v>
      </c>
      <c r="J368" s="191"/>
      <c r="K368" s="173"/>
      <c r="L368" s="174"/>
      <c r="M368" s="174"/>
      <c r="N368" s="174"/>
      <c r="O368" s="174"/>
      <c r="P368" s="172"/>
      <c r="Q368" s="172"/>
      <c r="R368" s="175"/>
      <c r="S368" s="175"/>
      <c r="T368" s="175"/>
      <c r="AA368" s="38">
        <f>ROUND(AA366/W366,3)</f>
        <v>1.109</v>
      </c>
      <c r="AT368" s="254">
        <v>8.8387999999999991</v>
      </c>
    </row>
    <row r="369" spans="1:31" ht="9" customHeight="1" x14ac:dyDescent="0.25">
      <c r="A369" s="350"/>
      <c r="B369" s="351"/>
      <c r="C369" s="190"/>
      <c r="D369" s="191"/>
      <c r="E369" s="191"/>
      <c r="F369" s="191"/>
      <c r="G369" s="191"/>
      <c r="H369" s="191"/>
      <c r="I369" s="191"/>
      <c r="J369" s="191"/>
      <c r="K369" s="173"/>
      <c r="L369" s="352"/>
      <c r="M369" s="352"/>
      <c r="N369" s="352"/>
      <c r="O369" s="352"/>
      <c r="P369" s="351"/>
      <c r="Q369" s="351"/>
      <c r="R369" s="353"/>
      <c r="S369" s="353"/>
      <c r="T369" s="353"/>
    </row>
    <row r="370" spans="1:31" ht="30" customHeight="1" x14ac:dyDescent="0.25">
      <c r="A370" s="350"/>
      <c r="B370" s="351"/>
      <c r="C370" s="190" t="s">
        <v>594</v>
      </c>
      <c r="D370" s="191"/>
      <c r="E370" s="191"/>
      <c r="F370" s="191"/>
      <c r="G370" s="191" t="s">
        <v>592</v>
      </c>
      <c r="H370" s="191"/>
      <c r="I370" s="191" t="s">
        <v>595</v>
      </c>
      <c r="J370" s="191"/>
      <c r="K370" s="173"/>
      <c r="L370" s="352"/>
      <c r="M370" s="352"/>
      <c r="N370" s="352"/>
      <c r="O370" s="352"/>
      <c r="P370" s="351"/>
      <c r="Q370" s="351"/>
      <c r="R370" s="353"/>
      <c r="S370" s="353"/>
      <c r="T370" s="353"/>
      <c r="X370">
        <f>61119+313+582</f>
        <v>62014</v>
      </c>
    </row>
    <row r="371" spans="1:31" x14ac:dyDescent="0.25">
      <c r="A371" s="350"/>
      <c r="B371" s="351"/>
      <c r="C371" s="173"/>
      <c r="D371" s="172"/>
      <c r="E371" s="172"/>
      <c r="F371" s="172"/>
      <c r="G371" s="172"/>
      <c r="H371" s="172"/>
      <c r="I371" s="172"/>
      <c r="J371" s="172"/>
      <c r="K371" s="173"/>
      <c r="L371" s="352"/>
      <c r="M371" s="352"/>
      <c r="N371" s="352"/>
      <c r="O371" s="352"/>
      <c r="P371" s="351"/>
      <c r="Q371" s="351"/>
      <c r="R371" s="353"/>
      <c r="S371" s="353"/>
      <c r="T371" s="353"/>
    </row>
    <row r="372" spans="1:31" x14ac:dyDescent="0.25">
      <c r="C372" s="89"/>
      <c r="D372" s="79"/>
      <c r="E372" s="79"/>
      <c r="F372" s="79"/>
      <c r="G372" s="79"/>
      <c r="H372" s="79"/>
      <c r="I372" s="79"/>
      <c r="J372" s="79"/>
      <c r="K372" s="89"/>
      <c r="R372" s="166" t="e">
        <f>SUM(R8:R364)</f>
        <v>#N/A</v>
      </c>
      <c r="S372" s="259" t="e">
        <f>SUM(S8:S364)</f>
        <v>#N/A</v>
      </c>
      <c r="T372" s="259" t="e">
        <f>SUM(T8:T364)</f>
        <v>#N/A</v>
      </c>
      <c r="W372" s="101" t="e">
        <f>R372+S372</f>
        <v>#N/A</v>
      </c>
      <c r="X372" s="143" t="e">
        <f>ROUND(T372/W366*100-100,2)</f>
        <v>#N/A</v>
      </c>
      <c r="Y372" s="144"/>
      <c r="Z372" s="151" t="s">
        <v>647</v>
      </c>
      <c r="AB372" s="166" t="e">
        <f>T372-W366</f>
        <v>#N/A</v>
      </c>
      <c r="AC372" s="250" t="s">
        <v>653</v>
      </c>
      <c r="AD372" s="167"/>
      <c r="AE372" s="167"/>
    </row>
    <row r="374" spans="1:31" x14ac:dyDescent="0.25">
      <c r="T374" s="260" t="e">
        <f>T372/120*20</f>
        <v>#N/A</v>
      </c>
      <c r="W374" t="s">
        <v>665</v>
      </c>
    </row>
    <row r="375" spans="1:31" hidden="1" x14ac:dyDescent="0.25">
      <c r="T375" s="193">
        <v>64130</v>
      </c>
      <c r="W375" t="s">
        <v>660</v>
      </c>
      <c r="AA375" s="38">
        <v>64122.500000000015</v>
      </c>
      <c r="AB375" t="s">
        <v>657</v>
      </c>
      <c r="AC375" s="249">
        <v>-4.1042999999999976</v>
      </c>
      <c r="AD375">
        <v>-111.60674000000024</v>
      </c>
    </row>
    <row r="376" spans="1:31" hidden="1" x14ac:dyDescent="0.25">
      <c r="T376" s="193" t="e">
        <f>T372-T375</f>
        <v>#N/A</v>
      </c>
      <c r="AA376" s="38">
        <v>66883.679999999993</v>
      </c>
      <c r="AB376" t="s">
        <v>658</v>
      </c>
      <c r="AC376" s="249">
        <v>4.7345000000000033</v>
      </c>
      <c r="AD376">
        <v>2649.64</v>
      </c>
    </row>
    <row r="377" spans="1:31" hidden="1" x14ac:dyDescent="0.25">
      <c r="AA377" s="38">
        <f>AA376-AA375</f>
        <v>2761.1799999999785</v>
      </c>
      <c r="AB377" t="s">
        <v>659</v>
      </c>
      <c r="AC377" s="255">
        <f>-(AC375)+AC376</f>
        <v>8.8388000000000009</v>
      </c>
    </row>
    <row r="383" spans="1:31" x14ac:dyDescent="0.25">
      <c r="Q383" t="s">
        <v>666</v>
      </c>
      <c r="AC383" s="257" t="e">
        <f>ROUND(T372/W366*100%-100%,4)</f>
        <v>#N/A</v>
      </c>
      <c r="AD383" t="s">
        <v>663</v>
      </c>
    </row>
    <row r="384" spans="1:31" x14ac:dyDescent="0.25">
      <c r="T384" s="193" t="s">
        <v>667</v>
      </c>
      <c r="W384" s="101"/>
    </row>
  </sheetData>
  <mergeCells count="740">
    <mergeCell ref="B366:C366"/>
    <mergeCell ref="A367:T367"/>
    <mergeCell ref="AL360:AL361"/>
    <mergeCell ref="AN360:AN361"/>
    <mergeCell ref="AP360:AP361"/>
    <mergeCell ref="AQ360:AQ361"/>
    <mergeCell ref="AR360:AR361"/>
    <mergeCell ref="AT360:AT361"/>
    <mergeCell ref="AC360:AC361"/>
    <mergeCell ref="AD360:AD361"/>
    <mergeCell ref="AG360:AG361"/>
    <mergeCell ref="AH360:AH361"/>
    <mergeCell ref="AJ360:AJ361"/>
    <mergeCell ref="AK360:AK361"/>
    <mergeCell ref="V360:V361"/>
    <mergeCell ref="W360:W361"/>
    <mergeCell ref="X360:X361"/>
    <mergeCell ref="Z360:Z361"/>
    <mergeCell ref="AA360:AA361"/>
    <mergeCell ref="AB360:AB361"/>
    <mergeCell ref="P360:P361"/>
    <mergeCell ref="Q360:Q361"/>
    <mergeCell ref="R360:R361"/>
    <mergeCell ref="S360:S361"/>
    <mergeCell ref="T360:T361"/>
    <mergeCell ref="U360:U361"/>
    <mergeCell ref="AR357:AR358"/>
    <mergeCell ref="AT357:AT358"/>
    <mergeCell ref="A360:A361"/>
    <mergeCell ref="B360:B361"/>
    <mergeCell ref="C360:C361"/>
    <mergeCell ref="D360:D361"/>
    <mergeCell ref="H360:H361"/>
    <mergeCell ref="I360:I361"/>
    <mergeCell ref="J360:J361"/>
    <mergeCell ref="O360:O361"/>
    <mergeCell ref="AJ357:AJ358"/>
    <mergeCell ref="AK357:AK358"/>
    <mergeCell ref="AL357:AL358"/>
    <mergeCell ref="AN357:AN358"/>
    <mergeCell ref="AP357:AP358"/>
    <mergeCell ref="AQ357:AQ358"/>
    <mergeCell ref="AA357:AA358"/>
    <mergeCell ref="AB357:AB358"/>
    <mergeCell ref="AC357:AC358"/>
    <mergeCell ref="AD357:AD358"/>
    <mergeCell ref="AG357:AG358"/>
    <mergeCell ref="AH357:AH358"/>
    <mergeCell ref="T357:T358"/>
    <mergeCell ref="U357:U358"/>
    <mergeCell ref="V357:V358"/>
    <mergeCell ref="W357:W358"/>
    <mergeCell ref="X357:X358"/>
    <mergeCell ref="Z357:Z358"/>
    <mergeCell ref="I357:I358"/>
    <mergeCell ref="J357:J358"/>
    <mergeCell ref="P357:P358"/>
    <mergeCell ref="Q357:Q358"/>
    <mergeCell ref="R357:R358"/>
    <mergeCell ref="S357:S358"/>
    <mergeCell ref="AP341:AP342"/>
    <mergeCell ref="AQ341:AQ342"/>
    <mergeCell ref="AR341:AR342"/>
    <mergeCell ref="AT341:AT342"/>
    <mergeCell ref="A347:T347"/>
    <mergeCell ref="A357:A358"/>
    <mergeCell ref="B357:B358"/>
    <mergeCell ref="C357:C358"/>
    <mergeCell ref="D357:D358"/>
    <mergeCell ref="H357:H358"/>
    <mergeCell ref="AG341:AG342"/>
    <mergeCell ref="AH341:AH342"/>
    <mergeCell ref="AJ341:AJ342"/>
    <mergeCell ref="AK341:AK342"/>
    <mergeCell ref="AL341:AL342"/>
    <mergeCell ref="AN341:AN342"/>
    <mergeCell ref="X341:X342"/>
    <mergeCell ref="Z341:Z342"/>
    <mergeCell ref="AA341:AA342"/>
    <mergeCell ref="AB341:AB342"/>
    <mergeCell ref="AC341:AC342"/>
    <mergeCell ref="AD341:AD342"/>
    <mergeCell ref="R341:R342"/>
    <mergeCell ref="S341:S342"/>
    <mergeCell ref="T341:T342"/>
    <mergeCell ref="U341:U342"/>
    <mergeCell ref="V341:V342"/>
    <mergeCell ref="W341:W342"/>
    <mergeCell ref="A338:Q338"/>
    <mergeCell ref="A341:A342"/>
    <mergeCell ref="B341:B342"/>
    <mergeCell ref="C341:C342"/>
    <mergeCell ref="D341:D342"/>
    <mergeCell ref="H341:H342"/>
    <mergeCell ref="I341:I342"/>
    <mergeCell ref="J341:J342"/>
    <mergeCell ref="P341:P342"/>
    <mergeCell ref="Q341:Q342"/>
    <mergeCell ref="AK323:AK324"/>
    <mergeCell ref="AL323:AL324"/>
    <mergeCell ref="AP323:AP324"/>
    <mergeCell ref="AQ323:AQ324"/>
    <mergeCell ref="AR323:AR324"/>
    <mergeCell ref="AT323:AT324"/>
    <mergeCell ref="AB323:AB324"/>
    <mergeCell ref="AC323:AC324"/>
    <mergeCell ref="AD323:AD324"/>
    <mergeCell ref="AG323:AG324"/>
    <mergeCell ref="AH323:AH324"/>
    <mergeCell ref="AJ323:AJ324"/>
    <mergeCell ref="U323:U324"/>
    <mergeCell ref="V323:V324"/>
    <mergeCell ref="W323:W324"/>
    <mergeCell ref="X323:X324"/>
    <mergeCell ref="Z323:Z324"/>
    <mergeCell ref="AA323:AA324"/>
    <mergeCell ref="O323:O324"/>
    <mergeCell ref="P323:P324"/>
    <mergeCell ref="Q323:Q324"/>
    <mergeCell ref="R323:R324"/>
    <mergeCell ref="S323:S324"/>
    <mergeCell ref="T323:T324"/>
    <mergeCell ref="I323:I324"/>
    <mergeCell ref="J323:J324"/>
    <mergeCell ref="K323:K324"/>
    <mergeCell ref="L323:L324"/>
    <mergeCell ref="M323:M324"/>
    <mergeCell ref="N323:N324"/>
    <mergeCell ref="A323:A324"/>
    <mergeCell ref="B323:B324"/>
    <mergeCell ref="C323:C324"/>
    <mergeCell ref="D323:D324"/>
    <mergeCell ref="G323:G324"/>
    <mergeCell ref="H323:H324"/>
    <mergeCell ref="AK320:AK321"/>
    <mergeCell ref="AL320:AL321"/>
    <mergeCell ref="AP320:AP321"/>
    <mergeCell ref="AQ320:AQ321"/>
    <mergeCell ref="AR320:AR321"/>
    <mergeCell ref="AT320:AT321"/>
    <mergeCell ref="AB320:AB321"/>
    <mergeCell ref="AC320:AC321"/>
    <mergeCell ref="AD320:AD321"/>
    <mergeCell ref="AG320:AG321"/>
    <mergeCell ref="AH320:AH321"/>
    <mergeCell ref="AJ320:AJ321"/>
    <mergeCell ref="U320:U321"/>
    <mergeCell ref="V320:V321"/>
    <mergeCell ref="W320:W321"/>
    <mergeCell ref="X320:X321"/>
    <mergeCell ref="Z320:Z321"/>
    <mergeCell ref="AA320:AA321"/>
    <mergeCell ref="O320:O321"/>
    <mergeCell ref="P320:P321"/>
    <mergeCell ref="Q320:Q321"/>
    <mergeCell ref="R320:R321"/>
    <mergeCell ref="S320:S321"/>
    <mergeCell ref="T320:T321"/>
    <mergeCell ref="I320:I321"/>
    <mergeCell ref="J320:J321"/>
    <mergeCell ref="K320:K321"/>
    <mergeCell ref="L320:L321"/>
    <mergeCell ref="M320:M321"/>
    <mergeCell ref="N320:N321"/>
    <mergeCell ref="A320:A321"/>
    <mergeCell ref="B320:B321"/>
    <mergeCell ref="C320:C321"/>
    <mergeCell ref="D320:D321"/>
    <mergeCell ref="G320:G321"/>
    <mergeCell ref="H320:H321"/>
    <mergeCell ref="AK312:AK313"/>
    <mergeCell ref="AL312:AL313"/>
    <mergeCell ref="AP312:AP313"/>
    <mergeCell ref="AQ312:AQ313"/>
    <mergeCell ref="AR312:AR313"/>
    <mergeCell ref="AT312:AT313"/>
    <mergeCell ref="AB312:AB313"/>
    <mergeCell ref="AC312:AC313"/>
    <mergeCell ref="AD312:AD313"/>
    <mergeCell ref="AG312:AG313"/>
    <mergeCell ref="AH312:AH313"/>
    <mergeCell ref="AJ312:AJ313"/>
    <mergeCell ref="M312:M313"/>
    <mergeCell ref="N312:N313"/>
    <mergeCell ref="AP304:AP305"/>
    <mergeCell ref="AQ304:AQ305"/>
    <mergeCell ref="AR304:AR305"/>
    <mergeCell ref="W304:W305"/>
    <mergeCell ref="L304:L305"/>
    <mergeCell ref="M304:M305"/>
    <mergeCell ref="N304:N305"/>
    <mergeCell ref="O304:O305"/>
    <mergeCell ref="P304:P305"/>
    <mergeCell ref="Q304:Q305"/>
    <mergeCell ref="U312:U313"/>
    <mergeCell ref="V312:V313"/>
    <mergeCell ref="W312:W313"/>
    <mergeCell ref="X312:X313"/>
    <mergeCell ref="Z312:Z313"/>
    <mergeCell ref="AA312:AA313"/>
    <mergeCell ref="O312:O313"/>
    <mergeCell ref="P312:P313"/>
    <mergeCell ref="Q312:Q313"/>
    <mergeCell ref="R312:R313"/>
    <mergeCell ref="S312:S313"/>
    <mergeCell ref="T312:T313"/>
    <mergeCell ref="A312:A313"/>
    <mergeCell ref="B312:B313"/>
    <mergeCell ref="C312:C313"/>
    <mergeCell ref="D312:D313"/>
    <mergeCell ref="G312:G313"/>
    <mergeCell ref="H312:H313"/>
    <mergeCell ref="AG304:AG305"/>
    <mergeCell ref="AH304:AH305"/>
    <mergeCell ref="AJ304:AJ305"/>
    <mergeCell ref="X304:X305"/>
    <mergeCell ref="Z304:Z305"/>
    <mergeCell ref="AA304:AA305"/>
    <mergeCell ref="AB304:AB305"/>
    <mergeCell ref="AC304:AC305"/>
    <mergeCell ref="AD304:AD305"/>
    <mergeCell ref="R304:R305"/>
    <mergeCell ref="S304:S305"/>
    <mergeCell ref="T304:T305"/>
    <mergeCell ref="U304:U305"/>
    <mergeCell ref="V304:V305"/>
    <mergeCell ref="I312:I313"/>
    <mergeCell ref="J312:J313"/>
    <mergeCell ref="K312:K313"/>
    <mergeCell ref="L312:L313"/>
    <mergeCell ref="AT234:AT235"/>
    <mergeCell ref="AC234:AC235"/>
    <mergeCell ref="AD234:AD235"/>
    <mergeCell ref="AG234:AG235"/>
    <mergeCell ref="AH234:AH235"/>
    <mergeCell ref="AJ234:AJ235"/>
    <mergeCell ref="AK234:AK235"/>
    <mergeCell ref="A294:Q294"/>
    <mergeCell ref="A304:A305"/>
    <mergeCell ref="B304:B305"/>
    <mergeCell ref="C304:C305"/>
    <mergeCell ref="D304:D305"/>
    <mergeCell ref="G304:G305"/>
    <mergeCell ref="H304:H305"/>
    <mergeCell ref="I304:I305"/>
    <mergeCell ref="J304:J305"/>
    <mergeCell ref="K304:K305"/>
    <mergeCell ref="AT304:AT305"/>
    <mergeCell ref="AK304:AK305"/>
    <mergeCell ref="AL304:AL305"/>
    <mergeCell ref="AN304:AN305"/>
    <mergeCell ref="R234:R235"/>
    <mergeCell ref="S234:S235"/>
    <mergeCell ref="T234:T235"/>
    <mergeCell ref="U234:U235"/>
    <mergeCell ref="AL234:AL235"/>
    <mergeCell ref="AN234:AN235"/>
    <mergeCell ref="AP234:AP235"/>
    <mergeCell ref="AQ234:AQ235"/>
    <mergeCell ref="AR234:AR235"/>
    <mergeCell ref="J234:J235"/>
    <mergeCell ref="K234:K235"/>
    <mergeCell ref="L234:L235"/>
    <mergeCell ref="M234:M235"/>
    <mergeCell ref="N234:N235"/>
    <mergeCell ref="O234:O235"/>
    <mergeCell ref="V234:V235"/>
    <mergeCell ref="W234:W235"/>
    <mergeCell ref="X234:X235"/>
    <mergeCell ref="Z234:Z235"/>
    <mergeCell ref="AA234:AA235"/>
    <mergeCell ref="AB234:AB235"/>
    <mergeCell ref="P234:P235"/>
    <mergeCell ref="Q234:Q235"/>
    <mergeCell ref="AP225:AP226"/>
    <mergeCell ref="AQ225:AQ226"/>
    <mergeCell ref="AR225:AR226"/>
    <mergeCell ref="W225:W226"/>
    <mergeCell ref="L225:L226"/>
    <mergeCell ref="M225:M226"/>
    <mergeCell ref="N225:N226"/>
    <mergeCell ref="O225:O226"/>
    <mergeCell ref="P225:P226"/>
    <mergeCell ref="Q225:Q226"/>
    <mergeCell ref="AT225:AT226"/>
    <mergeCell ref="A234:A235"/>
    <mergeCell ref="B234:B235"/>
    <mergeCell ref="C234:C235"/>
    <mergeCell ref="D234:D235"/>
    <mergeCell ref="H234:H235"/>
    <mergeCell ref="I234:I235"/>
    <mergeCell ref="AG225:AG226"/>
    <mergeCell ref="AH225:AH226"/>
    <mergeCell ref="AJ225:AJ226"/>
    <mergeCell ref="AK225:AK226"/>
    <mergeCell ref="AL225:AL226"/>
    <mergeCell ref="AN225:AN226"/>
    <mergeCell ref="X225:X226"/>
    <mergeCell ref="Z225:Z226"/>
    <mergeCell ref="AA225:AA226"/>
    <mergeCell ref="AB225:AB226"/>
    <mergeCell ref="AC225:AC226"/>
    <mergeCell ref="AD225:AD226"/>
    <mergeCell ref="R225:R226"/>
    <mergeCell ref="S225:S226"/>
    <mergeCell ref="T225:T226"/>
    <mergeCell ref="U225:U226"/>
    <mergeCell ref="V225:V226"/>
    <mergeCell ref="AT145:AT146"/>
    <mergeCell ref="A211:Q211"/>
    <mergeCell ref="A225:A226"/>
    <mergeCell ref="B225:B226"/>
    <mergeCell ref="C225:C226"/>
    <mergeCell ref="D225:D226"/>
    <mergeCell ref="H225:H226"/>
    <mergeCell ref="I225:I226"/>
    <mergeCell ref="J225:J226"/>
    <mergeCell ref="K225:K226"/>
    <mergeCell ref="AJ145:AJ146"/>
    <mergeCell ref="AK145:AK146"/>
    <mergeCell ref="AL145:AL146"/>
    <mergeCell ref="AP145:AP146"/>
    <mergeCell ref="AQ145:AQ146"/>
    <mergeCell ref="AR145:AR146"/>
    <mergeCell ref="AA145:AA146"/>
    <mergeCell ref="AB145:AB146"/>
    <mergeCell ref="AC145:AC146"/>
    <mergeCell ref="AD145:AD146"/>
    <mergeCell ref="AG145:AG146"/>
    <mergeCell ref="AH145:AH146"/>
    <mergeCell ref="S145:S146"/>
    <mergeCell ref="T145:T146"/>
    <mergeCell ref="U145:U146"/>
    <mergeCell ref="W145:W146"/>
    <mergeCell ref="X145:X146"/>
    <mergeCell ref="Z145:Z146"/>
    <mergeCell ref="M145:M146"/>
    <mergeCell ref="N145:N146"/>
    <mergeCell ref="O145:O146"/>
    <mergeCell ref="P145:P146"/>
    <mergeCell ref="Q145:Q146"/>
    <mergeCell ref="R145:R146"/>
    <mergeCell ref="AL130:AL131"/>
    <mergeCell ref="A142:I144"/>
    <mergeCell ref="A145:A146"/>
    <mergeCell ref="C145:C146"/>
    <mergeCell ref="D145:D146"/>
    <mergeCell ref="H145:H146"/>
    <mergeCell ref="I145:I146"/>
    <mergeCell ref="J145:J146"/>
    <mergeCell ref="K145:K146"/>
    <mergeCell ref="L145:L146"/>
    <mergeCell ref="AC130:AC131"/>
    <mergeCell ref="AD130:AD131"/>
    <mergeCell ref="AG130:AG131"/>
    <mergeCell ref="AH130:AH131"/>
    <mergeCell ref="AJ130:AJ131"/>
    <mergeCell ref="AK130:AK131"/>
    <mergeCell ref="U130:U131"/>
    <mergeCell ref="W130:W131"/>
    <mergeCell ref="X130:X131"/>
    <mergeCell ref="Z130:Z131"/>
    <mergeCell ref="AA130:AA131"/>
    <mergeCell ref="AB130:AB131"/>
    <mergeCell ref="O130:O131"/>
    <mergeCell ref="P130:P131"/>
    <mergeCell ref="R130:R131"/>
    <mergeCell ref="S130:S131"/>
    <mergeCell ref="T130:T131"/>
    <mergeCell ref="I130:I131"/>
    <mergeCell ref="J130:J131"/>
    <mergeCell ref="K130:K131"/>
    <mergeCell ref="L130:L131"/>
    <mergeCell ref="M130:M131"/>
    <mergeCell ref="N130:N131"/>
    <mergeCell ref="AR117:AR118"/>
    <mergeCell ref="AT117:AT118"/>
    <mergeCell ref="A125:I127"/>
    <mergeCell ref="B128:C128"/>
    <mergeCell ref="A129:A141"/>
    <mergeCell ref="B130:B131"/>
    <mergeCell ref="C130:C131"/>
    <mergeCell ref="D130:D131"/>
    <mergeCell ref="H130:H131"/>
    <mergeCell ref="AG117:AG118"/>
    <mergeCell ref="AH117:AH118"/>
    <mergeCell ref="AJ117:AJ118"/>
    <mergeCell ref="AK117:AK118"/>
    <mergeCell ref="AL117:AL118"/>
    <mergeCell ref="AP117:AP118"/>
    <mergeCell ref="X117:X118"/>
    <mergeCell ref="Z117:Z118"/>
    <mergeCell ref="AA117:AA118"/>
    <mergeCell ref="AB117:AB118"/>
    <mergeCell ref="AC117:AC118"/>
    <mergeCell ref="AD117:AD118"/>
    <mergeCell ref="Q117:Q118"/>
    <mergeCell ref="R117:R118"/>
    <mergeCell ref="Q130:Q131"/>
    <mergeCell ref="U117:U118"/>
    <mergeCell ref="W117:W118"/>
    <mergeCell ref="K117:K118"/>
    <mergeCell ref="L117:L118"/>
    <mergeCell ref="M117:M118"/>
    <mergeCell ref="N117:N118"/>
    <mergeCell ref="O117:O118"/>
    <mergeCell ref="P117:P118"/>
    <mergeCell ref="AQ117:AQ118"/>
    <mergeCell ref="AP108:AP109"/>
    <mergeCell ref="AQ108:AQ109"/>
    <mergeCell ref="AR108:AR109"/>
    <mergeCell ref="AT108:AT109"/>
    <mergeCell ref="B117:B118"/>
    <mergeCell ref="C117:C118"/>
    <mergeCell ref="D117:D118"/>
    <mergeCell ref="H117:H118"/>
    <mergeCell ref="I117:I118"/>
    <mergeCell ref="J117:J118"/>
    <mergeCell ref="AD108:AD109"/>
    <mergeCell ref="AG108:AG109"/>
    <mergeCell ref="AH108:AH109"/>
    <mergeCell ref="AJ108:AJ109"/>
    <mergeCell ref="AK108:AK109"/>
    <mergeCell ref="AL108:AL109"/>
    <mergeCell ref="W108:W109"/>
    <mergeCell ref="X108:X109"/>
    <mergeCell ref="Z108:Z109"/>
    <mergeCell ref="AA108:AA109"/>
    <mergeCell ref="AB108:AB109"/>
    <mergeCell ref="AC108:AC109"/>
    <mergeCell ref="P108:P109"/>
    <mergeCell ref="Q108:Q109"/>
    <mergeCell ref="AD89:AD90"/>
    <mergeCell ref="AG89:AG90"/>
    <mergeCell ref="AH89:AH90"/>
    <mergeCell ref="AJ89:AJ90"/>
    <mergeCell ref="I89:I90"/>
    <mergeCell ref="J89:J90"/>
    <mergeCell ref="U89:U90"/>
    <mergeCell ref="V89:V90"/>
    <mergeCell ref="R108:R109"/>
    <mergeCell ref="S108:S109"/>
    <mergeCell ref="T108:T109"/>
    <mergeCell ref="U108:U109"/>
    <mergeCell ref="J108:J109"/>
    <mergeCell ref="K108:K109"/>
    <mergeCell ref="L108:L109"/>
    <mergeCell ref="M108:M109"/>
    <mergeCell ref="N108:N109"/>
    <mergeCell ref="O108:O109"/>
    <mergeCell ref="S89:S90"/>
    <mergeCell ref="T89:T90"/>
    <mergeCell ref="K89:K90"/>
    <mergeCell ref="L89:L90"/>
    <mergeCell ref="M89:M90"/>
    <mergeCell ref="N89:N90"/>
    <mergeCell ref="A100:T100"/>
    <mergeCell ref="A102:Q102"/>
    <mergeCell ref="B107:C107"/>
    <mergeCell ref="A108:A124"/>
    <mergeCell ref="B108:B109"/>
    <mergeCell ref="C108:C109"/>
    <mergeCell ref="D108:D109"/>
    <mergeCell ref="H108:H109"/>
    <mergeCell ref="I108:I109"/>
    <mergeCell ref="S117:S118"/>
    <mergeCell ref="T117:T118"/>
    <mergeCell ref="O89:O90"/>
    <mergeCell ref="P89:P90"/>
    <mergeCell ref="Q89:Q90"/>
    <mergeCell ref="R89:R90"/>
    <mergeCell ref="AT74:AT75"/>
    <mergeCell ref="V84:V85"/>
    <mergeCell ref="AL74:AL75"/>
    <mergeCell ref="AN74:AN75"/>
    <mergeCell ref="AP74:AP75"/>
    <mergeCell ref="AQ74:AQ75"/>
    <mergeCell ref="AR74:AR75"/>
    <mergeCell ref="W74:W75"/>
    <mergeCell ref="O74:O75"/>
    <mergeCell ref="P74:P75"/>
    <mergeCell ref="Q74:Q75"/>
    <mergeCell ref="AT89:AT90"/>
    <mergeCell ref="AK89:AK90"/>
    <mergeCell ref="AL89:AL90"/>
    <mergeCell ref="AN89:AN90"/>
    <mergeCell ref="AP89:AP90"/>
    <mergeCell ref="AQ89:AQ90"/>
    <mergeCell ref="AR89:AR90"/>
    <mergeCell ref="AB89:AB90"/>
    <mergeCell ref="AC89:AC90"/>
    <mergeCell ref="A89:A90"/>
    <mergeCell ref="B89:B90"/>
    <mergeCell ref="C89:C90"/>
    <mergeCell ref="D89:D90"/>
    <mergeCell ref="H89:H90"/>
    <mergeCell ref="AG74:AG75"/>
    <mergeCell ref="AH74:AH75"/>
    <mergeCell ref="AJ74:AJ75"/>
    <mergeCell ref="AK74:AK75"/>
    <mergeCell ref="X74:X75"/>
    <mergeCell ref="Z74:Z75"/>
    <mergeCell ref="AA74:AA75"/>
    <mergeCell ref="AB74:AB75"/>
    <mergeCell ref="AC74:AC75"/>
    <mergeCell ref="AD74:AD75"/>
    <mergeCell ref="R74:R75"/>
    <mergeCell ref="S74:S75"/>
    <mergeCell ref="T74:T75"/>
    <mergeCell ref="U74:U75"/>
    <mergeCell ref="V74:V75"/>
    <mergeCell ref="W89:W90"/>
    <mergeCell ref="X89:X90"/>
    <mergeCell ref="Z89:Z90"/>
    <mergeCell ref="AA89:AA90"/>
    <mergeCell ref="A53:I55"/>
    <mergeCell ref="A60:T60"/>
    <mergeCell ref="A74:A75"/>
    <mergeCell ref="B74:B75"/>
    <mergeCell ref="C74:C75"/>
    <mergeCell ref="D74:D75"/>
    <mergeCell ref="H74:H75"/>
    <mergeCell ref="I74:I75"/>
    <mergeCell ref="J74:J75"/>
    <mergeCell ref="K74:K75"/>
    <mergeCell ref="L74:L75"/>
    <mergeCell ref="M74:M75"/>
    <mergeCell ref="N74:N75"/>
    <mergeCell ref="AP43:AP44"/>
    <mergeCell ref="AQ43:AQ44"/>
    <mergeCell ref="AR43:AR44"/>
    <mergeCell ref="AT43:AT44"/>
    <mergeCell ref="AC43:AC44"/>
    <mergeCell ref="AD43:AD44"/>
    <mergeCell ref="AG43:AG44"/>
    <mergeCell ref="AH43:AH44"/>
    <mergeCell ref="AJ43:AJ44"/>
    <mergeCell ref="AK43:AK44"/>
    <mergeCell ref="AB43:AB44"/>
    <mergeCell ref="P43:P44"/>
    <mergeCell ref="Q43:Q44"/>
    <mergeCell ref="R43:R44"/>
    <mergeCell ref="S43:S44"/>
    <mergeCell ref="T43:T44"/>
    <mergeCell ref="U43:U44"/>
    <mergeCell ref="AL43:AL44"/>
    <mergeCell ref="AN43:AN44"/>
    <mergeCell ref="L40:L41"/>
    <mergeCell ref="M40:M41"/>
    <mergeCell ref="N40:N41"/>
    <mergeCell ref="O40:O41"/>
    <mergeCell ref="V43:V44"/>
    <mergeCell ref="W43:W44"/>
    <mergeCell ref="X43:X44"/>
    <mergeCell ref="Z43:Z44"/>
    <mergeCell ref="AA43:AA44"/>
    <mergeCell ref="AR40:AR41"/>
    <mergeCell ref="AT40:AT41"/>
    <mergeCell ref="B43:B44"/>
    <mergeCell ref="C43:C44"/>
    <mergeCell ref="D43:D44"/>
    <mergeCell ref="H43:H44"/>
    <mergeCell ref="I43:I44"/>
    <mergeCell ref="AD40:AD41"/>
    <mergeCell ref="AG40:AG41"/>
    <mergeCell ref="AH40:AH41"/>
    <mergeCell ref="AJ40:AJ41"/>
    <mergeCell ref="AK40:AK41"/>
    <mergeCell ref="AL40:AL41"/>
    <mergeCell ref="W40:W41"/>
    <mergeCell ref="X40:X41"/>
    <mergeCell ref="Z40:Z41"/>
    <mergeCell ref="AA40:AA41"/>
    <mergeCell ref="AB40:AB41"/>
    <mergeCell ref="AC40:AC41"/>
    <mergeCell ref="P40:P41"/>
    <mergeCell ref="Q40:Q41"/>
    <mergeCell ref="R40:R41"/>
    <mergeCell ref="S40:S41"/>
    <mergeCell ref="T40:T41"/>
    <mergeCell ref="A40:A52"/>
    <mergeCell ref="B40:B41"/>
    <mergeCell ref="C40:C41"/>
    <mergeCell ref="D40:D41"/>
    <mergeCell ref="H40:H41"/>
    <mergeCell ref="I40:I41"/>
    <mergeCell ref="AN25:AN26"/>
    <mergeCell ref="AP25:AP26"/>
    <mergeCell ref="AQ25:AQ26"/>
    <mergeCell ref="N25:N26"/>
    <mergeCell ref="O25:O26"/>
    <mergeCell ref="P25:P26"/>
    <mergeCell ref="J43:J44"/>
    <mergeCell ref="K43:K44"/>
    <mergeCell ref="L43:L44"/>
    <mergeCell ref="M43:M44"/>
    <mergeCell ref="N43:N44"/>
    <mergeCell ref="O43:O44"/>
    <mergeCell ref="AN40:AN41"/>
    <mergeCell ref="AP40:AP41"/>
    <mergeCell ref="AQ40:AQ41"/>
    <mergeCell ref="U40:U41"/>
    <mergeCell ref="J40:J41"/>
    <mergeCell ref="K40:K41"/>
    <mergeCell ref="AR25:AR26"/>
    <mergeCell ref="AT25:AT26"/>
    <mergeCell ref="B39:C39"/>
    <mergeCell ref="AD25:AD26"/>
    <mergeCell ref="AG25:AG26"/>
    <mergeCell ref="AH25:AH26"/>
    <mergeCell ref="AJ25:AJ26"/>
    <mergeCell ref="AK25:AK26"/>
    <mergeCell ref="AL25:AL26"/>
    <mergeCell ref="W25:W26"/>
    <mergeCell ref="X25:X26"/>
    <mergeCell ref="Z25:Z26"/>
    <mergeCell ref="AA25:AA26"/>
    <mergeCell ref="AB25:AB26"/>
    <mergeCell ref="AC25:AC26"/>
    <mergeCell ref="Q25:Q26"/>
    <mergeCell ref="R25:R26"/>
    <mergeCell ref="S25:S26"/>
    <mergeCell ref="T25:T26"/>
    <mergeCell ref="U25:U26"/>
    <mergeCell ref="V25:V26"/>
    <mergeCell ref="K25:K26"/>
    <mergeCell ref="L25:L26"/>
    <mergeCell ref="M25:M26"/>
    <mergeCell ref="AQ22:AQ23"/>
    <mergeCell ref="AR22:AR23"/>
    <mergeCell ref="AT22:AT23"/>
    <mergeCell ref="A25:A26"/>
    <mergeCell ref="B25:B26"/>
    <mergeCell ref="C25:C26"/>
    <mergeCell ref="D25:D26"/>
    <mergeCell ref="H25:H26"/>
    <mergeCell ref="I25:I26"/>
    <mergeCell ref="J25:J26"/>
    <mergeCell ref="AH22:AH23"/>
    <mergeCell ref="AJ22:AJ23"/>
    <mergeCell ref="AK22:AK23"/>
    <mergeCell ref="AL22:AL23"/>
    <mergeCell ref="AN22:AN23"/>
    <mergeCell ref="AP22:AP23"/>
    <mergeCell ref="Z22:Z23"/>
    <mergeCell ref="AA22:AA23"/>
    <mergeCell ref="AB22:AB23"/>
    <mergeCell ref="AC22:AC23"/>
    <mergeCell ref="AD22:AD23"/>
    <mergeCell ref="AG22:AG23"/>
    <mergeCell ref="S22:S23"/>
    <mergeCell ref="T22:T23"/>
    <mergeCell ref="U22:U23"/>
    <mergeCell ref="V22:V23"/>
    <mergeCell ref="W22:W23"/>
    <mergeCell ref="X22:X23"/>
    <mergeCell ref="M22:M23"/>
    <mergeCell ref="N22:N23"/>
    <mergeCell ref="O22:O23"/>
    <mergeCell ref="P22:P23"/>
    <mergeCell ref="Q22:Q23"/>
    <mergeCell ref="R22:R23"/>
    <mergeCell ref="AT11:AT12"/>
    <mergeCell ref="A22:A23"/>
    <mergeCell ref="B22:B23"/>
    <mergeCell ref="C22:C23"/>
    <mergeCell ref="D22:D23"/>
    <mergeCell ref="H22:H23"/>
    <mergeCell ref="I22:I23"/>
    <mergeCell ref="J22:J23"/>
    <mergeCell ref="K22:K23"/>
    <mergeCell ref="L22:L23"/>
    <mergeCell ref="AK11:AK12"/>
    <mergeCell ref="AL11:AL12"/>
    <mergeCell ref="AN11:AN12"/>
    <mergeCell ref="AP11:AP12"/>
    <mergeCell ref="AQ11:AQ12"/>
    <mergeCell ref="AR11:AR12"/>
    <mergeCell ref="AB11:AB12"/>
    <mergeCell ref="AC11:AC12"/>
    <mergeCell ref="AD11:AD12"/>
    <mergeCell ref="AG11:AG12"/>
    <mergeCell ref="AH11:AH12"/>
    <mergeCell ref="AJ11:AJ12"/>
    <mergeCell ref="U11:U12"/>
    <mergeCell ref="V11:V12"/>
    <mergeCell ref="W11:W12"/>
    <mergeCell ref="X11:X12"/>
    <mergeCell ref="Z11:Z12"/>
    <mergeCell ref="AA11:AA12"/>
    <mergeCell ref="O11:O12"/>
    <mergeCell ref="P11:P12"/>
    <mergeCell ref="Q11:Q12"/>
    <mergeCell ref="R11:R12"/>
    <mergeCell ref="S11:S12"/>
    <mergeCell ref="T11:T12"/>
    <mergeCell ref="I11:I12"/>
    <mergeCell ref="J11:J12"/>
    <mergeCell ref="K11:K12"/>
    <mergeCell ref="L11:L12"/>
    <mergeCell ref="M11:M12"/>
    <mergeCell ref="N11:N12"/>
    <mergeCell ref="X4:X7"/>
    <mergeCell ref="AC4:AC7"/>
    <mergeCell ref="AD4:AD7"/>
    <mergeCell ref="A7:T7"/>
    <mergeCell ref="A10:T10"/>
    <mergeCell ref="A11:A12"/>
    <mergeCell ref="B11:B12"/>
    <mergeCell ref="C11:C12"/>
    <mergeCell ref="D11:D12"/>
    <mergeCell ref="H11:H12"/>
    <mergeCell ref="O4:O5"/>
    <mergeCell ref="P4:P5"/>
    <mergeCell ref="T4:T5"/>
    <mergeCell ref="U4:U5"/>
    <mergeCell ref="V4:V5"/>
    <mergeCell ref="W4:W7"/>
    <mergeCell ref="H4:H5"/>
    <mergeCell ref="J4:J5"/>
    <mergeCell ref="P1:T1"/>
    <mergeCell ref="AT1:AT7"/>
    <mergeCell ref="A2:T2"/>
    <mergeCell ref="Z2:Z7"/>
    <mergeCell ref="AG2:AG7"/>
    <mergeCell ref="AH2:AH7"/>
    <mergeCell ref="AL2:AL7"/>
    <mergeCell ref="AP2:AP7"/>
    <mergeCell ref="AQ2:AQ7"/>
    <mergeCell ref="A4:A5"/>
    <mergeCell ref="K4:K5"/>
    <mergeCell ref="L4:L5"/>
    <mergeCell ref="M4:M5"/>
    <mergeCell ref="N4:N5"/>
    <mergeCell ref="B4:B5"/>
    <mergeCell ref="C4:C5"/>
    <mergeCell ref="D4:D5"/>
    <mergeCell ref="E4:E5"/>
    <mergeCell ref="F4:F5"/>
    <mergeCell ref="G4:G5"/>
  </mergeCells>
  <conditionalFormatting sqref="AJ8:AJ364 AQ8:AQ364">
    <cfRule type="cellIs" dxfId="3" priority="4" operator="lessThan">
      <formula>0</formula>
    </cfRule>
  </conditionalFormatting>
  <conditionalFormatting sqref="AK8:AL364">
    <cfRule type="cellIs" dxfId="2" priority="3" operator="greaterThan">
      <formula>1</formula>
    </cfRule>
  </conditionalFormatting>
  <conditionalFormatting sqref="AT8:AT364">
    <cfRule type="cellIs" dxfId="1" priority="2" operator="greaterThan">
      <formula>0</formula>
    </cfRule>
  </conditionalFormatting>
  <conditionalFormatting sqref="AT1:AT1048576">
    <cfRule type="cellIs" dxfId="0" priority="1" operator="greaterThan">
      <formula>0</formula>
    </cfRule>
  </conditionalFormatting>
  <pageMargins left="0.70866141732283472" right="0.70866141732283472" top="0.74803149606299213" bottom="0.74803149606299213" header="0.31496062992125984" footer="0.31496062992125984"/>
  <pageSetup paperSize="9" scale="56" fitToHeight="0" orientation="landscape" r:id="rId1"/>
  <headerFooter>
    <oddFooter>&amp;R&amp;P</oddFooter>
  </headerFooter>
  <rowBreaks count="10" manualBreakCount="10">
    <brk id="31" max="19" man="1"/>
    <brk id="59" max="19" man="1"/>
    <brk id="84" max="19" man="1"/>
    <brk id="107" max="19" man="1"/>
    <brk id="137" max="19" man="1"/>
    <brk id="172" max="19" man="1"/>
    <brk id="210" max="19" man="1"/>
    <brk id="248" max="19" man="1"/>
    <brk id="292" max="19" man="1"/>
    <brk id="330"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C28" sqref="C28"/>
    </sheetView>
  </sheetViews>
  <sheetFormatPr defaultRowHeight="15" x14ac:dyDescent="0.25"/>
  <cols>
    <col min="1" max="1" width="26.7109375" customWidth="1"/>
    <col min="2" max="2" width="19.42578125" customWidth="1"/>
    <col min="3" max="3" width="14.7109375" style="155" customWidth="1"/>
    <col min="4" max="6" width="14.7109375" customWidth="1"/>
    <col min="7" max="7" width="12.5703125" customWidth="1"/>
    <col min="8" max="8" width="10.85546875" customWidth="1"/>
  </cols>
  <sheetData>
    <row r="1" spans="1:9" ht="15.75" x14ac:dyDescent="0.25">
      <c r="A1" s="1041" t="s">
        <v>386</v>
      </c>
      <c r="B1" s="1041"/>
      <c r="C1" s="1041"/>
      <c r="D1" s="1041"/>
      <c r="E1" s="1041"/>
      <c r="F1" s="1041"/>
      <c r="G1" s="1041"/>
    </row>
    <row r="2" spans="1:9" x14ac:dyDescent="0.25">
      <c r="A2" s="458"/>
      <c r="B2" s="460"/>
      <c r="C2" s="351"/>
      <c r="D2" s="57"/>
      <c r="E2" s="57"/>
      <c r="F2" s="57"/>
      <c r="G2" s="57">
        <v>2022</v>
      </c>
    </row>
    <row r="3" spans="1:9" ht="75" x14ac:dyDescent="0.25">
      <c r="A3" s="40" t="s">
        <v>9</v>
      </c>
      <c r="B3" s="40" t="s">
        <v>428</v>
      </c>
      <c r="C3" s="454" t="s">
        <v>331</v>
      </c>
      <c r="D3" s="40" t="s">
        <v>332</v>
      </c>
      <c r="E3" s="40" t="s">
        <v>429</v>
      </c>
      <c r="F3" s="40" t="s">
        <v>430</v>
      </c>
      <c r="G3" s="40" t="s">
        <v>333</v>
      </c>
    </row>
    <row r="4" spans="1:9" ht="11.25" customHeight="1" x14ac:dyDescent="0.25">
      <c r="A4" s="41">
        <v>1</v>
      </c>
      <c r="B4" s="41">
        <v>2</v>
      </c>
      <c r="C4" s="455">
        <v>3</v>
      </c>
      <c r="D4" s="41">
        <v>4</v>
      </c>
      <c r="E4" s="42">
        <v>5</v>
      </c>
      <c r="F4" s="41">
        <v>6</v>
      </c>
      <c r="G4" s="41">
        <v>7</v>
      </c>
    </row>
    <row r="5" spans="1:9" x14ac:dyDescent="0.25">
      <c r="A5" s="58" t="s">
        <v>329</v>
      </c>
      <c r="B5" s="59" t="s">
        <v>334</v>
      </c>
      <c r="C5" s="532">
        <f>6200*1.2</f>
        <v>7440</v>
      </c>
      <c r="D5" s="456">
        <f>ROUND(C5/1.2,2)</f>
        <v>6200</v>
      </c>
      <c r="E5" s="59" t="s">
        <v>25</v>
      </c>
      <c r="F5" s="59">
        <v>6</v>
      </c>
      <c r="G5" s="459">
        <f>ROUND(D5/F5*(1+$B$2),2)</f>
        <v>1033.33</v>
      </c>
      <c r="I5" s="142" t="b">
        <f>D5=G5</f>
        <v>0</v>
      </c>
    </row>
    <row r="6" spans="1:9" x14ac:dyDescent="0.25">
      <c r="A6" s="58" t="s">
        <v>336</v>
      </c>
      <c r="B6" s="59" t="s">
        <v>26</v>
      </c>
      <c r="C6" s="457">
        <f>80*1.2</f>
        <v>96</v>
      </c>
      <c r="D6" s="456">
        <f t="shared" ref="D6:D34" si="0">ROUND(C6/1.2,2)</f>
        <v>80</v>
      </c>
      <c r="E6" s="59" t="s">
        <v>26</v>
      </c>
      <c r="F6" s="59">
        <v>1</v>
      </c>
      <c r="G6" s="59">
        <f>ROUND(D6/F6*(1+$B$2),2)</f>
        <v>80</v>
      </c>
      <c r="I6" t="b">
        <f>D6=G6</f>
        <v>1</v>
      </c>
    </row>
    <row r="7" spans="1:9" x14ac:dyDescent="0.25">
      <c r="A7" s="58" t="s">
        <v>330</v>
      </c>
      <c r="B7" s="59" t="s">
        <v>334</v>
      </c>
      <c r="C7" s="532">
        <f>700*1.2</f>
        <v>840</v>
      </c>
      <c r="D7" s="456">
        <f t="shared" si="0"/>
        <v>700</v>
      </c>
      <c r="E7" s="59" t="s">
        <v>25</v>
      </c>
      <c r="F7" s="59">
        <v>6</v>
      </c>
      <c r="G7" s="459">
        <f>ROUND(D7/F7*(1+$B$2),2)</f>
        <v>116.67</v>
      </c>
      <c r="I7" s="142" t="b">
        <f t="shared" ref="I7:I34" si="1">D7=G7</f>
        <v>0</v>
      </c>
    </row>
    <row r="8" spans="1:9" x14ac:dyDescent="0.25">
      <c r="A8" s="58" t="s">
        <v>342</v>
      </c>
      <c r="B8" s="59" t="s">
        <v>27</v>
      </c>
      <c r="C8" s="457">
        <f>30*1.2</f>
        <v>36</v>
      </c>
      <c r="D8" s="456">
        <f t="shared" si="0"/>
        <v>30</v>
      </c>
      <c r="E8" s="59" t="s">
        <v>27</v>
      </c>
      <c r="F8" s="59">
        <v>1</v>
      </c>
      <c r="G8" s="59">
        <f t="shared" ref="G8:G31" si="2">ROUND(D8/F8*(1+$B$2),2)</f>
        <v>30</v>
      </c>
      <c r="I8" t="b">
        <f t="shared" si="1"/>
        <v>1</v>
      </c>
    </row>
    <row r="9" spans="1:9" ht="30" x14ac:dyDescent="0.25">
      <c r="A9" s="44" t="s">
        <v>348</v>
      </c>
      <c r="B9" s="39" t="s">
        <v>27</v>
      </c>
      <c r="C9" s="457">
        <f>45*1.2</f>
        <v>54</v>
      </c>
      <c r="D9" s="456">
        <f t="shared" si="0"/>
        <v>45</v>
      </c>
      <c r="E9" s="39" t="s">
        <v>27</v>
      </c>
      <c r="F9" s="39">
        <v>1</v>
      </c>
      <c r="G9" s="59">
        <f t="shared" si="2"/>
        <v>45</v>
      </c>
      <c r="I9" t="b">
        <f t="shared" si="1"/>
        <v>1</v>
      </c>
    </row>
    <row r="10" spans="1:9" x14ac:dyDescent="0.25">
      <c r="A10" s="44" t="s">
        <v>403</v>
      </c>
      <c r="B10" s="39" t="s">
        <v>26</v>
      </c>
      <c r="C10" s="457">
        <f>720*1.2</f>
        <v>864</v>
      </c>
      <c r="D10" s="456">
        <f t="shared" si="0"/>
        <v>720</v>
      </c>
      <c r="E10" s="39" t="s">
        <v>26</v>
      </c>
      <c r="F10" s="39">
        <v>1</v>
      </c>
      <c r="G10" s="59">
        <f t="shared" si="2"/>
        <v>720</v>
      </c>
      <c r="I10" t="b">
        <f t="shared" si="1"/>
        <v>1</v>
      </c>
    </row>
    <row r="11" spans="1:9" x14ac:dyDescent="0.25">
      <c r="A11" s="44" t="s">
        <v>341</v>
      </c>
      <c r="B11" s="39" t="s">
        <v>26</v>
      </c>
      <c r="C11" s="532">
        <f>950*1.2</f>
        <v>1140</v>
      </c>
      <c r="D11" s="456">
        <f t="shared" si="0"/>
        <v>950</v>
      </c>
      <c r="E11" s="39" t="s">
        <v>26</v>
      </c>
      <c r="F11" s="39">
        <v>1</v>
      </c>
      <c r="G11" s="59">
        <f t="shared" si="2"/>
        <v>950</v>
      </c>
      <c r="I11" t="b">
        <f t="shared" si="1"/>
        <v>1</v>
      </c>
    </row>
    <row r="12" spans="1:9" x14ac:dyDescent="0.25">
      <c r="A12" s="44" t="s">
        <v>343</v>
      </c>
      <c r="B12" s="39" t="s">
        <v>27</v>
      </c>
      <c r="C12" s="457">
        <f>40*1.2</f>
        <v>48</v>
      </c>
      <c r="D12" s="456">
        <f t="shared" si="0"/>
        <v>40</v>
      </c>
      <c r="E12" s="39" t="s">
        <v>27</v>
      </c>
      <c r="F12" s="39">
        <v>1</v>
      </c>
      <c r="G12" s="59">
        <f>ROUND(D12/F12*(1+$B$2),2)</f>
        <v>40</v>
      </c>
      <c r="I12" t="b">
        <f t="shared" si="1"/>
        <v>1</v>
      </c>
    </row>
    <row r="13" spans="1:9" x14ac:dyDescent="0.25">
      <c r="A13" s="44" t="s">
        <v>335</v>
      </c>
      <c r="B13" s="39" t="s">
        <v>26</v>
      </c>
      <c r="C13" s="457">
        <f>95*1.2</f>
        <v>114</v>
      </c>
      <c r="D13" s="456">
        <f t="shared" si="0"/>
        <v>95</v>
      </c>
      <c r="E13" s="39" t="s">
        <v>26</v>
      </c>
      <c r="F13" s="39">
        <v>1</v>
      </c>
      <c r="G13" s="59">
        <f t="shared" si="2"/>
        <v>95</v>
      </c>
      <c r="I13" t="b">
        <f t="shared" si="1"/>
        <v>1</v>
      </c>
    </row>
    <row r="14" spans="1:9" x14ac:dyDescent="0.25">
      <c r="A14" s="44" t="s">
        <v>364</v>
      </c>
      <c r="B14" s="39" t="s">
        <v>27</v>
      </c>
      <c r="C14" s="457">
        <f>80*1.2</f>
        <v>96</v>
      </c>
      <c r="D14" s="456">
        <f t="shared" si="0"/>
        <v>80</v>
      </c>
      <c r="E14" s="39" t="s">
        <v>27</v>
      </c>
      <c r="F14" s="39">
        <v>1</v>
      </c>
      <c r="G14" s="59">
        <f t="shared" si="2"/>
        <v>80</v>
      </c>
      <c r="I14" t="b">
        <f t="shared" si="1"/>
        <v>1</v>
      </c>
    </row>
    <row r="15" spans="1:9" x14ac:dyDescent="0.25">
      <c r="A15" s="45" t="s">
        <v>373</v>
      </c>
      <c r="B15" s="39" t="s">
        <v>27</v>
      </c>
      <c r="C15" s="457">
        <f>50*1.2</f>
        <v>60</v>
      </c>
      <c r="D15" s="456">
        <f t="shared" si="0"/>
        <v>50</v>
      </c>
      <c r="E15" s="39" t="s">
        <v>27</v>
      </c>
      <c r="F15" s="39">
        <v>1</v>
      </c>
      <c r="G15" s="59">
        <f t="shared" si="2"/>
        <v>50</v>
      </c>
      <c r="I15" t="b">
        <f t="shared" si="1"/>
        <v>1</v>
      </c>
    </row>
    <row r="16" spans="1:9" x14ac:dyDescent="0.25">
      <c r="A16" s="62" t="s">
        <v>402</v>
      </c>
      <c r="B16" s="39" t="s">
        <v>26</v>
      </c>
      <c r="C16" s="532">
        <f>2400*1.2</f>
        <v>2880</v>
      </c>
      <c r="D16" s="456">
        <f t="shared" si="0"/>
        <v>2400</v>
      </c>
      <c r="E16" s="39" t="s">
        <v>26</v>
      </c>
      <c r="F16" s="39">
        <v>1</v>
      </c>
      <c r="G16" s="59">
        <f t="shared" si="2"/>
        <v>2400</v>
      </c>
      <c r="I16" t="b">
        <f t="shared" si="1"/>
        <v>1</v>
      </c>
    </row>
    <row r="17" spans="1:9" x14ac:dyDescent="0.25">
      <c r="A17" s="44" t="s">
        <v>338</v>
      </c>
      <c r="B17" s="39" t="s">
        <v>27</v>
      </c>
      <c r="C17" s="532">
        <v>2.52</v>
      </c>
      <c r="D17" s="456">
        <f t="shared" si="0"/>
        <v>2.1</v>
      </c>
      <c r="E17" s="39" t="s">
        <v>27</v>
      </c>
      <c r="F17" s="39">
        <v>1</v>
      </c>
      <c r="G17" s="77">
        <f>D17</f>
        <v>2.1</v>
      </c>
      <c r="H17" t="s">
        <v>382</v>
      </c>
      <c r="I17" t="b">
        <f t="shared" si="1"/>
        <v>1</v>
      </c>
    </row>
    <row r="18" spans="1:9" ht="30" x14ac:dyDescent="0.25">
      <c r="A18" s="61" t="s">
        <v>390</v>
      </c>
      <c r="B18" s="39" t="s">
        <v>27</v>
      </c>
      <c r="C18" s="457">
        <v>0.7</v>
      </c>
      <c r="D18" s="456">
        <f t="shared" si="0"/>
        <v>0.57999999999999996</v>
      </c>
      <c r="E18" s="39" t="s">
        <v>27</v>
      </c>
      <c r="F18" s="39">
        <v>1</v>
      </c>
      <c r="G18" s="77">
        <f>D18</f>
        <v>0.57999999999999996</v>
      </c>
      <c r="H18" t="s">
        <v>382</v>
      </c>
      <c r="I18" t="b">
        <f t="shared" si="1"/>
        <v>1</v>
      </c>
    </row>
    <row r="19" spans="1:9" x14ac:dyDescent="0.25">
      <c r="A19" s="44" t="s">
        <v>340</v>
      </c>
      <c r="B19" s="63" t="s">
        <v>27</v>
      </c>
      <c r="C19" s="457">
        <v>0.8</v>
      </c>
      <c r="D19" s="456">
        <f t="shared" si="0"/>
        <v>0.67</v>
      </c>
      <c r="E19" s="39"/>
      <c r="F19" s="39">
        <v>1</v>
      </c>
      <c r="G19" s="60">
        <f>D19</f>
        <v>0.67</v>
      </c>
      <c r="H19" t="s">
        <v>382</v>
      </c>
      <c r="I19" t="b">
        <f t="shared" si="1"/>
        <v>1</v>
      </c>
    </row>
    <row r="20" spans="1:9" x14ac:dyDescent="0.25">
      <c r="A20" s="44" t="s">
        <v>358</v>
      </c>
      <c r="B20" s="39" t="s">
        <v>27</v>
      </c>
      <c r="C20" s="457">
        <f>35*1.2</f>
        <v>42</v>
      </c>
      <c r="D20" s="456">
        <f t="shared" si="0"/>
        <v>35</v>
      </c>
      <c r="E20" s="39" t="s">
        <v>27</v>
      </c>
      <c r="F20" s="39">
        <v>1</v>
      </c>
      <c r="G20" s="60">
        <f>D20</f>
        <v>35</v>
      </c>
      <c r="H20" t="s">
        <v>382</v>
      </c>
      <c r="I20" t="b">
        <f t="shared" si="1"/>
        <v>1</v>
      </c>
    </row>
    <row r="21" spans="1:9" ht="30" x14ac:dyDescent="0.25">
      <c r="A21" s="44" t="s">
        <v>347</v>
      </c>
      <c r="B21" s="39" t="s">
        <v>346</v>
      </c>
      <c r="C21" s="532">
        <v>360000</v>
      </c>
      <c r="D21" s="456">
        <f t="shared" si="0"/>
        <v>300000</v>
      </c>
      <c r="E21" s="39" t="s">
        <v>26</v>
      </c>
      <c r="F21" s="39">
        <v>1000</v>
      </c>
      <c r="G21" s="459">
        <f>ROUND(D21/F21*(1+$B$2),2)</f>
        <v>300</v>
      </c>
      <c r="I21" s="142" t="b">
        <f>D21=G21</f>
        <v>0</v>
      </c>
    </row>
    <row r="22" spans="1:9" x14ac:dyDescent="0.25">
      <c r="A22" s="44" t="s">
        <v>400</v>
      </c>
      <c r="B22" s="39" t="s">
        <v>27</v>
      </c>
      <c r="C22" s="532">
        <v>79.05</v>
      </c>
      <c r="D22" s="456">
        <f t="shared" si="0"/>
        <v>65.88</v>
      </c>
      <c r="E22" s="39" t="s">
        <v>27</v>
      </c>
      <c r="F22" s="39">
        <v>1</v>
      </c>
      <c r="G22" s="59">
        <f t="shared" si="2"/>
        <v>65.88</v>
      </c>
      <c r="I22" t="b">
        <f t="shared" si="1"/>
        <v>1</v>
      </c>
    </row>
    <row r="23" spans="1:9" x14ac:dyDescent="0.25">
      <c r="A23" s="44" t="s">
        <v>388</v>
      </c>
      <c r="B23" s="39" t="s">
        <v>36</v>
      </c>
      <c r="C23" s="457">
        <f>132.99*1.2</f>
        <v>159.58799999999999</v>
      </c>
      <c r="D23" s="456">
        <f>ROUND(C23/1.2,2)</f>
        <v>132.99</v>
      </c>
      <c r="E23" s="39" t="s">
        <v>36</v>
      </c>
      <c r="F23" s="39">
        <v>1</v>
      </c>
      <c r="G23" s="59">
        <f t="shared" si="2"/>
        <v>132.99</v>
      </c>
      <c r="I23" t="b">
        <f t="shared" si="1"/>
        <v>1</v>
      </c>
    </row>
    <row r="24" spans="1:9" x14ac:dyDescent="0.25">
      <c r="A24" s="44" t="s">
        <v>397</v>
      </c>
      <c r="B24" s="39" t="s">
        <v>36</v>
      </c>
      <c r="C24" s="457">
        <f>289.53*1.2</f>
        <v>347.43599999999998</v>
      </c>
      <c r="D24" s="456">
        <f t="shared" si="0"/>
        <v>289.52999999999997</v>
      </c>
      <c r="E24" s="39" t="s">
        <v>36</v>
      </c>
      <c r="F24" s="39">
        <v>1</v>
      </c>
      <c r="G24" s="59">
        <f t="shared" si="2"/>
        <v>289.52999999999997</v>
      </c>
      <c r="I24" t="b">
        <f t="shared" si="1"/>
        <v>1</v>
      </c>
    </row>
    <row r="25" spans="1:9" x14ac:dyDescent="0.25">
      <c r="A25" s="44" t="s">
        <v>344</v>
      </c>
      <c r="B25" s="39" t="s">
        <v>27</v>
      </c>
      <c r="C25" s="457">
        <f>50*1.2</f>
        <v>60</v>
      </c>
      <c r="D25" s="456">
        <f>ROUND(C25/1.2,2)</f>
        <v>50</v>
      </c>
      <c r="E25" s="39" t="s">
        <v>27</v>
      </c>
      <c r="F25" s="39">
        <v>1</v>
      </c>
      <c r="G25" s="59">
        <f t="shared" si="2"/>
        <v>50</v>
      </c>
      <c r="I25" t="b">
        <f t="shared" si="1"/>
        <v>1</v>
      </c>
    </row>
    <row r="26" spans="1:9" ht="30" x14ac:dyDescent="0.25">
      <c r="A26" s="44" t="s">
        <v>426</v>
      </c>
      <c r="B26" s="39" t="s">
        <v>27</v>
      </c>
      <c r="C26" s="532">
        <f>35*1.2</f>
        <v>42</v>
      </c>
      <c r="D26" s="456">
        <f t="shared" si="0"/>
        <v>35</v>
      </c>
      <c r="E26" s="39" t="s">
        <v>27</v>
      </c>
      <c r="F26" s="39">
        <v>1</v>
      </c>
      <c r="G26" s="59">
        <f t="shared" si="2"/>
        <v>35</v>
      </c>
      <c r="I26" t="b">
        <f t="shared" si="1"/>
        <v>1</v>
      </c>
    </row>
    <row r="27" spans="1:9" ht="28.5" customHeight="1" x14ac:dyDescent="0.25">
      <c r="A27" s="44" t="s">
        <v>345</v>
      </c>
      <c r="B27" s="39" t="s">
        <v>27</v>
      </c>
      <c r="C27" s="532">
        <f>30*1.2</f>
        <v>36</v>
      </c>
      <c r="D27" s="456">
        <f t="shared" si="0"/>
        <v>30</v>
      </c>
      <c r="E27" s="39" t="s">
        <v>27</v>
      </c>
      <c r="F27" s="39">
        <v>1</v>
      </c>
      <c r="G27" s="59">
        <f t="shared" si="2"/>
        <v>30</v>
      </c>
      <c r="I27" t="b">
        <f t="shared" si="1"/>
        <v>1</v>
      </c>
    </row>
    <row r="28" spans="1:9" x14ac:dyDescent="0.25">
      <c r="A28" s="44" t="s">
        <v>339</v>
      </c>
      <c r="B28" s="39" t="s">
        <v>26</v>
      </c>
      <c r="C28" s="457">
        <f>281.57*1.2</f>
        <v>337.88399999999996</v>
      </c>
      <c r="D28" s="456">
        <f t="shared" si="0"/>
        <v>281.57</v>
      </c>
      <c r="E28" s="39" t="s">
        <v>26</v>
      </c>
      <c r="F28" s="39">
        <v>1</v>
      </c>
      <c r="G28" s="59">
        <f t="shared" si="2"/>
        <v>281.57</v>
      </c>
      <c r="I28" t="b">
        <f t="shared" si="1"/>
        <v>1</v>
      </c>
    </row>
    <row r="29" spans="1:9" x14ac:dyDescent="0.25">
      <c r="A29" s="45" t="s">
        <v>172</v>
      </c>
      <c r="B29" s="39" t="s">
        <v>27</v>
      </c>
      <c r="C29" s="457">
        <f>60*1.2</f>
        <v>72</v>
      </c>
      <c r="D29" s="456">
        <f t="shared" si="0"/>
        <v>60</v>
      </c>
      <c r="E29" s="39" t="s">
        <v>27</v>
      </c>
      <c r="F29" s="39">
        <v>1</v>
      </c>
      <c r="G29" s="59">
        <f t="shared" si="2"/>
        <v>60</v>
      </c>
      <c r="I29" t="b">
        <f t="shared" si="1"/>
        <v>1</v>
      </c>
    </row>
    <row r="30" spans="1:9" x14ac:dyDescent="0.25">
      <c r="A30" s="45" t="s">
        <v>173</v>
      </c>
      <c r="B30" s="39" t="s">
        <v>27</v>
      </c>
      <c r="C30" s="457">
        <f>60*1.2</f>
        <v>72</v>
      </c>
      <c r="D30" s="456">
        <f t="shared" si="0"/>
        <v>60</v>
      </c>
      <c r="E30" s="39" t="s">
        <v>27</v>
      </c>
      <c r="F30" s="39">
        <v>1</v>
      </c>
      <c r="G30" s="59">
        <f t="shared" si="2"/>
        <v>60</v>
      </c>
      <c r="I30" t="b">
        <f t="shared" si="1"/>
        <v>1</v>
      </c>
    </row>
    <row r="31" spans="1:9" x14ac:dyDescent="0.25">
      <c r="A31" s="45" t="s">
        <v>337</v>
      </c>
      <c r="B31" s="39" t="s">
        <v>26</v>
      </c>
      <c r="C31" s="457">
        <f>220*1.2</f>
        <v>264</v>
      </c>
      <c r="D31" s="456">
        <f t="shared" si="0"/>
        <v>220</v>
      </c>
      <c r="E31" s="39" t="s">
        <v>26</v>
      </c>
      <c r="F31" s="39">
        <v>1</v>
      </c>
      <c r="G31" s="59">
        <f t="shared" si="2"/>
        <v>220</v>
      </c>
      <c r="I31" t="b">
        <f t="shared" si="1"/>
        <v>1</v>
      </c>
    </row>
    <row r="32" spans="1:9" x14ac:dyDescent="0.25">
      <c r="A32" s="45" t="s">
        <v>680</v>
      </c>
      <c r="B32" s="163" t="s">
        <v>27</v>
      </c>
      <c r="C32" s="458">
        <v>350</v>
      </c>
      <c r="D32" s="456">
        <f t="shared" si="0"/>
        <v>291.67</v>
      </c>
      <c r="E32" s="443" t="s">
        <v>27</v>
      </c>
      <c r="F32" s="443">
        <v>1</v>
      </c>
      <c r="G32" s="59">
        <f t="shared" ref="G32" si="3">ROUND(D32/F32*(1+$B$2),2)</f>
        <v>291.67</v>
      </c>
      <c r="I32" t="b">
        <f t="shared" si="1"/>
        <v>1</v>
      </c>
    </row>
    <row r="33" spans="1:9" x14ac:dyDescent="0.25">
      <c r="A33" s="45" t="s">
        <v>681</v>
      </c>
      <c r="B33" s="163" t="s">
        <v>27</v>
      </c>
      <c r="C33" s="533">
        <f>45*1.2</f>
        <v>54</v>
      </c>
      <c r="D33" s="456">
        <f t="shared" si="0"/>
        <v>45</v>
      </c>
      <c r="E33" s="443" t="s">
        <v>27</v>
      </c>
      <c r="F33" s="443">
        <v>1</v>
      </c>
      <c r="G33" s="77">
        <f t="shared" ref="G33" si="4">ROUND(D33/F33*(1+$B$2),2)</f>
        <v>45</v>
      </c>
      <c r="I33" t="b">
        <f t="shared" si="1"/>
        <v>1</v>
      </c>
    </row>
    <row r="34" spans="1:9" ht="15.75" x14ac:dyDescent="0.25">
      <c r="A34" s="444" t="s">
        <v>645</v>
      </c>
      <c r="B34" s="163" t="s">
        <v>27</v>
      </c>
      <c r="C34" s="533">
        <f>190*1.2</f>
        <v>228</v>
      </c>
      <c r="D34" s="456">
        <f t="shared" si="0"/>
        <v>190</v>
      </c>
      <c r="E34" s="443" t="s">
        <v>27</v>
      </c>
      <c r="F34" s="443">
        <v>1</v>
      </c>
      <c r="G34" s="77">
        <f t="shared" ref="G34" si="5">ROUND(D34/F34*(1+$B$2),2)</f>
        <v>190</v>
      </c>
      <c r="I34" t="b">
        <f t="shared" si="1"/>
        <v>1</v>
      </c>
    </row>
  </sheetData>
  <sortState ref="A5:H31">
    <sortCondition ref="A5"/>
  </sortState>
  <mergeCells count="1">
    <mergeCell ref="A1:G1"/>
  </mergeCells>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C28" sqref="C28"/>
    </sheetView>
  </sheetViews>
  <sheetFormatPr defaultRowHeight="15" x14ac:dyDescent="0.25"/>
  <cols>
    <col min="1" max="1" width="11" customWidth="1"/>
    <col min="5" max="5" width="11" customWidth="1"/>
    <col min="6" max="6" width="11.42578125" customWidth="1"/>
    <col min="7" max="7" width="10.7109375" customWidth="1"/>
    <col min="8" max="8" width="10" customWidth="1"/>
    <col min="10" max="10" width="11.85546875" customWidth="1"/>
    <col min="11" max="12" width="11.7109375" customWidth="1"/>
  </cols>
  <sheetData>
    <row r="1" spans="1:11" ht="21.75" customHeight="1" x14ac:dyDescent="0.25">
      <c r="A1" s="1043" t="s">
        <v>404</v>
      </c>
      <c r="B1" s="1043"/>
      <c r="C1" s="1043"/>
      <c r="D1" s="1043"/>
      <c r="E1" s="1043"/>
      <c r="F1" s="1043"/>
      <c r="G1" s="1043"/>
      <c r="H1" s="1043"/>
      <c r="I1" s="1043"/>
      <c r="J1" s="1043"/>
      <c r="K1" s="1043"/>
    </row>
    <row r="2" spans="1:11" x14ac:dyDescent="0.25">
      <c r="A2" s="1042" t="s">
        <v>405</v>
      </c>
      <c r="B2" s="1044" t="s">
        <v>406</v>
      </c>
      <c r="C2" s="1044"/>
      <c r="D2" s="1044"/>
      <c r="E2" s="1045" t="s">
        <v>407</v>
      </c>
      <c r="F2" s="1045" t="s">
        <v>408</v>
      </c>
      <c r="G2" s="1042" t="s">
        <v>409</v>
      </c>
      <c r="H2" s="1042"/>
      <c r="I2" s="1042" t="s">
        <v>410</v>
      </c>
      <c r="J2" s="1042" t="s">
        <v>425</v>
      </c>
      <c r="K2" s="1042" t="s">
        <v>424</v>
      </c>
    </row>
    <row r="3" spans="1:11" ht="45" x14ac:dyDescent="0.25">
      <c r="A3" s="1042"/>
      <c r="B3" s="64" t="s">
        <v>411</v>
      </c>
      <c r="C3" s="64" t="s">
        <v>412</v>
      </c>
      <c r="D3" s="64" t="s">
        <v>413</v>
      </c>
      <c r="E3" s="1045"/>
      <c r="F3" s="1045"/>
      <c r="G3" s="64" t="s">
        <v>414</v>
      </c>
      <c r="H3" s="64" t="s">
        <v>415</v>
      </c>
      <c r="I3" s="1042"/>
      <c r="J3" s="1042"/>
      <c r="K3" s="1042"/>
    </row>
    <row r="4" spans="1:11" x14ac:dyDescent="0.25">
      <c r="A4" s="65" t="s">
        <v>416</v>
      </c>
      <c r="B4" s="39">
        <v>51.25</v>
      </c>
      <c r="C4" s="39">
        <v>57.4</v>
      </c>
      <c r="D4" s="39">
        <f>ROUND((B4+C4)/2,2)</f>
        <v>54.33</v>
      </c>
      <c r="E4" s="39">
        <v>49</v>
      </c>
      <c r="F4" s="39">
        <f>ROUND(D4*E4/100,2)</f>
        <v>26.62</v>
      </c>
      <c r="G4" s="39">
        <f>ROUND((0.5487+0.5517+0.5523)/3,3)</f>
        <v>0.55100000000000005</v>
      </c>
      <c r="H4" s="39">
        <f>ROUND((0.535+0.54+0.538)/3,3)</f>
        <v>0.53800000000000003</v>
      </c>
      <c r="I4" s="39">
        <f>ROUND(F4*(G4+H4)/2,2)</f>
        <v>14.49</v>
      </c>
      <c r="J4" s="39">
        <f>ROUND(I4*'условия, ФОТ'!$C$9/1000,2)</f>
        <v>470.85</v>
      </c>
      <c r="K4" s="39">
        <f>ROUND(J4/$E$4,2)</f>
        <v>9.61</v>
      </c>
    </row>
    <row r="5" spans="1:11" x14ac:dyDescent="0.25">
      <c r="A5" s="65" t="s">
        <v>417</v>
      </c>
      <c r="B5" s="39">
        <v>14.9</v>
      </c>
      <c r="C5" s="39">
        <v>16.7</v>
      </c>
      <c r="D5" s="39">
        <f t="shared" ref="D5:D9" si="0">ROUND((B5+C5)/2,2)</f>
        <v>15.8</v>
      </c>
      <c r="E5" s="39">
        <v>49</v>
      </c>
      <c r="F5" s="39">
        <f t="shared" ref="F5:F9" si="1">ROUND(D5*E5/100,2)</f>
        <v>7.74</v>
      </c>
      <c r="G5" s="39">
        <f t="shared" ref="G5:G9" si="2">ROUND((0.5487+0.5517+0.5523)/3,3)</f>
        <v>0.55100000000000005</v>
      </c>
      <c r="H5" s="39">
        <f t="shared" ref="H5:H9" si="3">ROUND((0.535+0.54+0.538)/3,3)</f>
        <v>0.53800000000000003</v>
      </c>
      <c r="I5" s="39">
        <f t="shared" ref="I5:I9" si="4">ROUND(F5*(G5+H5)/2,2)</f>
        <v>4.21</v>
      </c>
      <c r="J5" s="39">
        <f>ROUND(I5*'условия, ФОТ'!$C$9/1000,2)</f>
        <v>136.80000000000001</v>
      </c>
      <c r="K5" s="39">
        <f t="shared" ref="K5:K9" si="5">ROUND(J5/$E$4,2)</f>
        <v>2.79</v>
      </c>
    </row>
    <row r="6" spans="1:11" x14ac:dyDescent="0.25">
      <c r="A6" s="65" t="s">
        <v>418</v>
      </c>
      <c r="B6" s="39">
        <v>19.600000000000001</v>
      </c>
      <c r="C6" s="39">
        <v>21.7</v>
      </c>
      <c r="D6" s="39">
        <f t="shared" si="0"/>
        <v>20.65</v>
      </c>
      <c r="E6" s="39">
        <v>49</v>
      </c>
      <c r="F6" s="39">
        <f t="shared" si="1"/>
        <v>10.119999999999999</v>
      </c>
      <c r="G6" s="39">
        <f t="shared" si="2"/>
        <v>0.55100000000000005</v>
      </c>
      <c r="H6" s="39">
        <f t="shared" si="3"/>
        <v>0.53800000000000003</v>
      </c>
      <c r="I6" s="39">
        <f t="shared" si="4"/>
        <v>5.51</v>
      </c>
      <c r="J6" s="39">
        <f>ROUND(I6*'условия, ФОТ'!$C$9/1000,2)</f>
        <v>179.05</v>
      </c>
      <c r="K6" s="39">
        <f t="shared" si="5"/>
        <v>3.65</v>
      </c>
    </row>
    <row r="7" spans="1:11" x14ac:dyDescent="0.25">
      <c r="A7" s="65" t="s">
        <v>419</v>
      </c>
      <c r="B7" s="39">
        <v>16.3</v>
      </c>
      <c r="C7" s="39">
        <v>18.3</v>
      </c>
      <c r="D7" s="39">
        <f t="shared" si="0"/>
        <v>17.3</v>
      </c>
      <c r="E7" s="39">
        <v>49</v>
      </c>
      <c r="F7" s="39">
        <f t="shared" si="1"/>
        <v>8.48</v>
      </c>
      <c r="G7" s="39">
        <f t="shared" si="2"/>
        <v>0.55100000000000005</v>
      </c>
      <c r="H7" s="39">
        <f t="shared" si="3"/>
        <v>0.53800000000000003</v>
      </c>
      <c r="I7" s="39">
        <f t="shared" si="4"/>
        <v>4.62</v>
      </c>
      <c r="J7" s="39">
        <f>ROUND(I7*'условия, ФОТ'!$C$9/1000,2)</f>
        <v>150.13</v>
      </c>
      <c r="K7" s="39">
        <f t="shared" si="5"/>
        <v>3.06</v>
      </c>
    </row>
    <row r="8" spans="1:11" x14ac:dyDescent="0.25">
      <c r="A8" s="65" t="s">
        <v>420</v>
      </c>
      <c r="B8" s="39">
        <v>28.86</v>
      </c>
      <c r="C8" s="39">
        <v>32.32</v>
      </c>
      <c r="D8" s="39">
        <f t="shared" si="0"/>
        <v>30.59</v>
      </c>
      <c r="E8" s="39">
        <v>49</v>
      </c>
      <c r="F8" s="39">
        <f t="shared" si="1"/>
        <v>14.99</v>
      </c>
      <c r="G8" s="39">
        <f t="shared" si="2"/>
        <v>0.55100000000000005</v>
      </c>
      <c r="H8" s="39">
        <f t="shared" si="3"/>
        <v>0.53800000000000003</v>
      </c>
      <c r="I8" s="39">
        <f t="shared" si="4"/>
        <v>8.16</v>
      </c>
      <c r="J8" s="39">
        <f>ROUND(I8*'условия, ФОТ'!$C$9/1000,2)</f>
        <v>265.16000000000003</v>
      </c>
      <c r="K8" s="39">
        <f t="shared" si="5"/>
        <v>5.41</v>
      </c>
    </row>
    <row r="9" spans="1:11" x14ac:dyDescent="0.25">
      <c r="A9" s="65" t="s">
        <v>421</v>
      </c>
      <c r="B9" s="39">
        <v>47.9</v>
      </c>
      <c r="C9" s="39">
        <v>53.6</v>
      </c>
      <c r="D9" s="39">
        <f t="shared" si="0"/>
        <v>50.75</v>
      </c>
      <c r="E9" s="39">
        <v>49</v>
      </c>
      <c r="F9" s="39">
        <f t="shared" si="1"/>
        <v>24.87</v>
      </c>
      <c r="G9" s="39">
        <f t="shared" si="2"/>
        <v>0.55100000000000005</v>
      </c>
      <c r="H9" s="39">
        <f t="shared" si="3"/>
        <v>0.53800000000000003</v>
      </c>
      <c r="I9" s="39">
        <f t="shared" si="4"/>
        <v>13.54</v>
      </c>
      <c r="J9" s="39">
        <f>ROUND(I9*'условия, ФОТ'!$C$9/1000,2)</f>
        <v>439.98</v>
      </c>
      <c r="K9" s="39">
        <f t="shared" si="5"/>
        <v>8.98</v>
      </c>
    </row>
  </sheetData>
  <mergeCells count="9">
    <mergeCell ref="K2:K3"/>
    <mergeCell ref="A1:K1"/>
    <mergeCell ref="A2:A3"/>
    <mergeCell ref="B2:D2"/>
    <mergeCell ref="E2:E3"/>
    <mergeCell ref="F2:F3"/>
    <mergeCell ref="G2:H2"/>
    <mergeCell ref="I2:I3"/>
    <mergeCell ref="J2:J3"/>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view="pageBreakPreview" zoomScale="80" zoomScaleSheetLayoutView="80" workbookViewId="0">
      <selection activeCell="C28" sqref="C28"/>
    </sheetView>
  </sheetViews>
  <sheetFormatPr defaultRowHeight="15" x14ac:dyDescent="0.25"/>
  <cols>
    <col min="1" max="1" width="6" customWidth="1"/>
    <col min="3" max="3" width="29.28515625" customWidth="1"/>
    <col min="5" max="5" width="14.7109375" customWidth="1"/>
    <col min="7" max="7" width="12.28515625" customWidth="1"/>
    <col min="10" max="11" width="12.42578125" customWidth="1"/>
    <col min="14" max="14" width="10.7109375" customWidth="1"/>
    <col min="15" max="15" width="10.85546875" customWidth="1"/>
    <col min="16" max="16" width="11.5703125" customWidth="1"/>
    <col min="17" max="17" width="13.140625" customWidth="1"/>
    <col min="18" max="18" width="15.42578125" customWidth="1"/>
  </cols>
  <sheetData>
    <row r="1" spans="1:18" ht="75" customHeight="1" x14ac:dyDescent="0.25">
      <c r="A1" s="103"/>
      <c r="B1" s="103"/>
      <c r="C1" s="103"/>
      <c r="D1" s="103"/>
      <c r="E1" s="103"/>
      <c r="F1" s="103"/>
      <c r="G1" s="103"/>
      <c r="H1" s="103"/>
      <c r="I1" s="103"/>
      <c r="J1" s="103"/>
      <c r="K1" s="103"/>
      <c r="L1" s="103"/>
      <c r="M1" s="1046" t="s">
        <v>622</v>
      </c>
      <c r="N1" s="1046"/>
      <c r="O1" s="1046"/>
      <c r="P1" s="1046"/>
    </row>
    <row r="2" spans="1:18" ht="30" customHeight="1" x14ac:dyDescent="0.25">
      <c r="A2" s="1050" t="s">
        <v>616</v>
      </c>
      <c r="B2" s="1051"/>
      <c r="C2" s="1051"/>
      <c r="D2" s="1051"/>
      <c r="E2" s="1051"/>
      <c r="F2" s="1051"/>
      <c r="G2" s="1051"/>
      <c r="H2" s="1051"/>
      <c r="I2" s="1051"/>
      <c r="J2" s="1051"/>
      <c r="K2" s="1051"/>
      <c r="L2" s="1051"/>
      <c r="M2" s="1051"/>
      <c r="N2" s="1051"/>
      <c r="O2" s="1051"/>
      <c r="P2" s="1052"/>
    </row>
    <row r="3" spans="1:18" ht="38.25" customHeight="1" x14ac:dyDescent="0.25">
      <c r="A3" s="1053" t="s">
        <v>0</v>
      </c>
      <c r="B3" s="1055" t="s">
        <v>1</v>
      </c>
      <c r="C3" s="1047" t="s">
        <v>2</v>
      </c>
      <c r="D3" s="1047" t="s">
        <v>3</v>
      </c>
      <c r="E3" s="1047" t="s">
        <v>4</v>
      </c>
      <c r="F3" s="1047" t="s">
        <v>5</v>
      </c>
      <c r="G3" s="1047" t="s">
        <v>6</v>
      </c>
      <c r="H3" s="1047" t="s">
        <v>7</v>
      </c>
      <c r="I3" s="75" t="s">
        <v>8</v>
      </c>
      <c r="J3" s="1055" t="s">
        <v>21</v>
      </c>
      <c r="K3" s="1057" t="s">
        <v>9</v>
      </c>
      <c r="L3" s="1057" t="s">
        <v>10</v>
      </c>
      <c r="M3" s="1057" t="s">
        <v>623</v>
      </c>
      <c r="N3" s="1057" t="s">
        <v>12</v>
      </c>
      <c r="O3" s="1057" t="s">
        <v>13</v>
      </c>
      <c r="P3" s="1055" t="s">
        <v>17</v>
      </c>
      <c r="Q3" s="1055" t="s">
        <v>435</v>
      </c>
      <c r="R3" s="1055" t="s">
        <v>443</v>
      </c>
    </row>
    <row r="4" spans="1:18" ht="25.5" customHeight="1" x14ac:dyDescent="0.25">
      <c r="A4" s="1054"/>
      <c r="B4" s="1056"/>
      <c r="C4" s="1047"/>
      <c r="D4" s="1048"/>
      <c r="E4" s="1048"/>
      <c r="F4" s="1048"/>
      <c r="G4" s="1049"/>
      <c r="H4" s="1049"/>
      <c r="I4" s="104">
        <v>0.30199999999999999</v>
      </c>
      <c r="J4" s="1059"/>
      <c r="K4" s="1058"/>
      <c r="L4" s="1058"/>
      <c r="M4" s="1058"/>
      <c r="N4" s="1058"/>
      <c r="O4" s="1058"/>
      <c r="P4" s="1059"/>
      <c r="Q4" s="1059"/>
      <c r="R4" s="1059"/>
    </row>
    <row r="5" spans="1:18" x14ac:dyDescent="0.25">
      <c r="A5" s="1">
        <v>1</v>
      </c>
      <c r="B5" s="2">
        <v>2</v>
      </c>
      <c r="C5" s="47">
        <v>3</v>
      </c>
      <c r="D5" s="2">
        <v>4</v>
      </c>
      <c r="E5" s="2">
        <v>5</v>
      </c>
      <c r="F5" s="2">
        <v>6</v>
      </c>
      <c r="G5" s="2">
        <v>7</v>
      </c>
      <c r="H5" s="2">
        <v>8</v>
      </c>
      <c r="I5" s="2">
        <v>9</v>
      </c>
      <c r="J5" s="2">
        <v>10</v>
      </c>
      <c r="K5" s="47">
        <v>11</v>
      </c>
      <c r="L5" s="47">
        <v>12</v>
      </c>
      <c r="M5" s="47">
        <v>13</v>
      </c>
      <c r="N5" s="47">
        <v>14</v>
      </c>
      <c r="O5" s="47">
        <v>15</v>
      </c>
      <c r="P5" s="47">
        <v>16</v>
      </c>
      <c r="Q5" s="47">
        <v>17</v>
      </c>
      <c r="R5" s="47">
        <v>18</v>
      </c>
    </row>
    <row r="6" spans="1:18" ht="29.25" customHeight="1" x14ac:dyDescent="0.25">
      <c r="A6" s="102" t="s">
        <v>617</v>
      </c>
      <c r="B6" s="53" t="s">
        <v>309</v>
      </c>
      <c r="C6" s="52" t="s">
        <v>437</v>
      </c>
      <c r="D6" s="73" t="s">
        <v>124</v>
      </c>
      <c r="E6" s="73" t="s">
        <v>308</v>
      </c>
      <c r="F6" s="72">
        <f>VLOOKUP(E6,'условия, ФОТ'!$A$14:$I$28,9, FALSE)</f>
        <v>386.56</v>
      </c>
      <c r="G6" s="72">
        <v>0.12</v>
      </c>
      <c r="H6" s="72">
        <f t="shared" ref="H6:H12" si="0">ROUND(F6*G6,2)</f>
        <v>46.39</v>
      </c>
      <c r="I6" s="72">
        <f t="shared" ref="I6:I12" si="1">ROUND(H6*$I$4,2)</f>
        <v>14.01</v>
      </c>
      <c r="J6" s="72">
        <f t="shared" ref="J6:J12" si="2">H6+I6</f>
        <v>60.4</v>
      </c>
      <c r="K6" s="73" t="s">
        <v>449</v>
      </c>
      <c r="L6" s="72" t="s">
        <v>26</v>
      </c>
      <c r="M6" s="72">
        <v>39.31</v>
      </c>
      <c r="N6" s="72">
        <v>0.2</v>
      </c>
      <c r="O6" s="72">
        <f>ROUND(M6*N6,2)</f>
        <v>7.86</v>
      </c>
      <c r="P6" s="74">
        <f t="shared" ref="P6:P12" si="3">J6+O6</f>
        <v>68.260000000000005</v>
      </c>
      <c r="Q6" s="51">
        <v>32.76</v>
      </c>
      <c r="R6" s="72">
        <f>ROUND(P6/Q6*100-100,2)</f>
        <v>108.36</v>
      </c>
    </row>
    <row r="7" spans="1:18" ht="33" customHeight="1" x14ac:dyDescent="0.25">
      <c r="A7" s="102" t="s">
        <v>618</v>
      </c>
      <c r="B7" s="53" t="s">
        <v>310</v>
      </c>
      <c r="C7" s="52" t="s">
        <v>438</v>
      </c>
      <c r="D7" s="54" t="s">
        <v>124</v>
      </c>
      <c r="E7" s="54" t="s">
        <v>308</v>
      </c>
      <c r="F7" s="51">
        <f>VLOOKUP(E7,'условия, ФОТ'!$A$14:$I$28,9, FALSE)</f>
        <v>386.56</v>
      </c>
      <c r="G7" s="51">
        <v>0.2</v>
      </c>
      <c r="H7" s="72">
        <f t="shared" si="0"/>
        <v>77.31</v>
      </c>
      <c r="I7" s="72">
        <f t="shared" si="1"/>
        <v>23.35</v>
      </c>
      <c r="J7" s="72">
        <f t="shared" si="2"/>
        <v>100.66</v>
      </c>
      <c r="K7" s="73" t="s">
        <v>449</v>
      </c>
      <c r="L7" s="51" t="s">
        <v>26</v>
      </c>
      <c r="M7" s="51">
        <v>39.31</v>
      </c>
      <c r="N7" s="51">
        <v>0.34</v>
      </c>
      <c r="O7" s="51">
        <f>ROUND(M7*N7,2)</f>
        <v>13.37</v>
      </c>
      <c r="P7" s="51">
        <f t="shared" si="3"/>
        <v>114.03</v>
      </c>
      <c r="Q7" s="51">
        <v>54.85</v>
      </c>
      <c r="R7" s="72">
        <f t="shared" ref="R7:R12" si="4">ROUND(P7/Q7*100-100,2)</f>
        <v>107.89</v>
      </c>
    </row>
    <row r="8" spans="1:18" ht="32.25" customHeight="1" x14ac:dyDescent="0.25">
      <c r="A8" s="102" t="s">
        <v>619</v>
      </c>
      <c r="B8" s="53" t="s">
        <v>125</v>
      </c>
      <c r="C8" s="52" t="s">
        <v>126</v>
      </c>
      <c r="D8" s="51" t="s">
        <v>27</v>
      </c>
      <c r="E8" s="54" t="s">
        <v>169</v>
      </c>
      <c r="F8" s="51">
        <f>VLOOKUP(E8,'условия, ФОТ'!$A$14:$I$28,9, FALSE)</f>
        <v>326.24</v>
      </c>
      <c r="G8" s="51">
        <v>0.04</v>
      </c>
      <c r="H8" s="72">
        <f t="shared" si="0"/>
        <v>13.05</v>
      </c>
      <c r="I8" s="72">
        <f t="shared" si="1"/>
        <v>3.94</v>
      </c>
      <c r="J8" s="72">
        <f t="shared" si="2"/>
        <v>16.990000000000002</v>
      </c>
      <c r="K8" s="54" t="s">
        <v>436</v>
      </c>
      <c r="L8" s="51" t="s">
        <v>26</v>
      </c>
      <c r="M8" s="74">
        <v>90</v>
      </c>
      <c r="N8" s="51">
        <v>0.01</v>
      </c>
      <c r="O8" s="51">
        <f>ROUND(M8*N8,2)</f>
        <v>0.9</v>
      </c>
      <c r="P8" s="74">
        <f t="shared" si="3"/>
        <v>17.89</v>
      </c>
      <c r="Q8" s="51">
        <v>7.32</v>
      </c>
      <c r="R8" s="72">
        <f t="shared" si="4"/>
        <v>144.4</v>
      </c>
    </row>
    <row r="9" spans="1:18" ht="45" customHeight="1" x14ac:dyDescent="0.25">
      <c r="A9" s="102" t="s">
        <v>620</v>
      </c>
      <c r="B9" s="53" t="s">
        <v>125</v>
      </c>
      <c r="C9" s="52" t="s">
        <v>127</v>
      </c>
      <c r="D9" s="51" t="s">
        <v>27</v>
      </c>
      <c r="E9" s="73" t="s">
        <v>169</v>
      </c>
      <c r="F9" s="51">
        <f>VLOOKUP(E9,'условия, ФОТ'!$A$14:$I$28,9, FALSE)</f>
        <v>326.24</v>
      </c>
      <c r="G9" s="51">
        <v>0.04</v>
      </c>
      <c r="H9" s="72">
        <f t="shared" si="0"/>
        <v>13.05</v>
      </c>
      <c r="I9" s="72">
        <f t="shared" si="1"/>
        <v>3.94</v>
      </c>
      <c r="J9" s="72">
        <f t="shared" si="2"/>
        <v>16.990000000000002</v>
      </c>
      <c r="K9" s="71" t="s">
        <v>448</v>
      </c>
      <c r="L9" s="51" t="s">
        <v>26</v>
      </c>
      <c r="M9" s="51">
        <v>54.39</v>
      </c>
      <c r="N9" s="51">
        <v>0.02</v>
      </c>
      <c r="O9" s="51">
        <f>ROUND(M9*N9,2)</f>
        <v>1.0900000000000001</v>
      </c>
      <c r="P9" s="51">
        <f t="shared" si="3"/>
        <v>18.080000000000002</v>
      </c>
      <c r="Q9" s="51">
        <v>5.72</v>
      </c>
      <c r="R9" s="72">
        <f t="shared" si="4"/>
        <v>216.08</v>
      </c>
    </row>
    <row r="10" spans="1:18" ht="38.25" customHeight="1" x14ac:dyDescent="0.25">
      <c r="A10" s="102" t="s">
        <v>621</v>
      </c>
      <c r="B10" s="53" t="s">
        <v>128</v>
      </c>
      <c r="C10" s="52" t="s">
        <v>129</v>
      </c>
      <c r="D10" s="51" t="s">
        <v>311</v>
      </c>
      <c r="E10" s="54" t="s">
        <v>308</v>
      </c>
      <c r="F10" s="51">
        <f>VLOOKUP(E10,'условия, ФОТ'!$A$14:$I$28,9, FALSE)</f>
        <v>386.56</v>
      </c>
      <c r="G10" s="51">
        <v>0.25</v>
      </c>
      <c r="H10" s="51">
        <f t="shared" si="0"/>
        <v>96.64</v>
      </c>
      <c r="I10" s="51">
        <f t="shared" si="1"/>
        <v>29.19</v>
      </c>
      <c r="J10" s="51">
        <f t="shared" si="2"/>
        <v>125.83</v>
      </c>
      <c r="K10" s="54" t="s">
        <v>311</v>
      </c>
      <c r="L10" s="51" t="s">
        <v>26</v>
      </c>
      <c r="M10" s="51">
        <v>11</v>
      </c>
      <c r="N10" s="51">
        <v>1</v>
      </c>
      <c r="O10" s="74">
        <f>ROUND(M10*N10,2)</f>
        <v>11</v>
      </c>
      <c r="P10" s="51">
        <f t="shared" si="3"/>
        <v>136.82999999999998</v>
      </c>
      <c r="Q10" s="51">
        <v>56.43</v>
      </c>
      <c r="R10" s="72">
        <f t="shared" si="4"/>
        <v>142.47999999999999</v>
      </c>
    </row>
    <row r="11" spans="1:18" ht="38.25" customHeight="1" x14ac:dyDescent="0.25">
      <c r="A11" s="72">
        <v>7</v>
      </c>
      <c r="B11" s="76" t="s">
        <v>445</v>
      </c>
      <c r="C11" s="4" t="s">
        <v>444</v>
      </c>
      <c r="D11" s="72" t="s">
        <v>446</v>
      </c>
      <c r="E11" s="73" t="s">
        <v>308</v>
      </c>
      <c r="F11" s="72">
        <f>VLOOKUP(E11,'условия, ФОТ'!$A$14:$I$28,9, FALSE)</f>
        <v>386.56</v>
      </c>
      <c r="G11" s="72">
        <v>0.08</v>
      </c>
      <c r="H11" s="72">
        <f t="shared" si="0"/>
        <v>30.92</v>
      </c>
      <c r="I11" s="72">
        <f t="shared" si="1"/>
        <v>9.34</v>
      </c>
      <c r="J11" s="72">
        <f t="shared" si="2"/>
        <v>40.260000000000005</v>
      </c>
      <c r="K11" s="73" t="s">
        <v>449</v>
      </c>
      <c r="L11" s="72" t="s">
        <v>26</v>
      </c>
      <c r="M11" s="72">
        <v>39.31</v>
      </c>
      <c r="N11" s="72">
        <v>0.15</v>
      </c>
      <c r="O11" s="72">
        <f t="shared" ref="O11:O12" si="5">ROUND(M11*N11,2)</f>
        <v>5.9</v>
      </c>
      <c r="P11" s="72">
        <f t="shared" si="3"/>
        <v>46.160000000000004</v>
      </c>
      <c r="Q11" s="72">
        <v>27.56</v>
      </c>
      <c r="R11" s="72">
        <f t="shared" si="4"/>
        <v>67.489999999999995</v>
      </c>
    </row>
    <row r="12" spans="1:18" ht="44.25" customHeight="1" x14ac:dyDescent="0.25">
      <c r="A12" s="72">
        <v>8</v>
      </c>
      <c r="B12" s="76" t="s">
        <v>445</v>
      </c>
      <c r="C12" s="4" t="s">
        <v>447</v>
      </c>
      <c r="D12" s="72" t="s">
        <v>446</v>
      </c>
      <c r="E12" s="73" t="s">
        <v>308</v>
      </c>
      <c r="F12" s="72">
        <f>VLOOKUP(E12,'условия, ФОТ'!$A$14:$I$28,9, FALSE)</f>
        <v>386.56</v>
      </c>
      <c r="G12" s="72">
        <v>0.1</v>
      </c>
      <c r="H12" s="72">
        <f t="shared" si="0"/>
        <v>38.659999999999997</v>
      </c>
      <c r="I12" s="72">
        <f t="shared" si="1"/>
        <v>11.68</v>
      </c>
      <c r="J12" s="72">
        <f t="shared" si="2"/>
        <v>50.339999999999996</v>
      </c>
      <c r="K12" s="73" t="s">
        <v>449</v>
      </c>
      <c r="L12" s="72" t="s">
        <v>26</v>
      </c>
      <c r="M12" s="72">
        <v>39.31</v>
      </c>
      <c r="N12" s="72">
        <v>0.18</v>
      </c>
      <c r="O12" s="72">
        <f t="shared" si="5"/>
        <v>7.08</v>
      </c>
      <c r="P12" s="72">
        <f t="shared" si="3"/>
        <v>57.419999999999995</v>
      </c>
      <c r="Q12" s="72">
        <v>27.56</v>
      </c>
      <c r="R12" s="72">
        <f t="shared" si="4"/>
        <v>108.35</v>
      </c>
    </row>
  </sheetData>
  <mergeCells count="19">
    <mergeCell ref="R3:R4"/>
    <mergeCell ref="Q3:Q4"/>
    <mergeCell ref="H3:H4"/>
    <mergeCell ref="J3:J4"/>
    <mergeCell ref="K3:K4"/>
    <mergeCell ref="L3:L4"/>
    <mergeCell ref="M3:M4"/>
    <mergeCell ref="N3:N4"/>
    <mergeCell ref="M1:P1"/>
    <mergeCell ref="F3:F4"/>
    <mergeCell ref="G3:G4"/>
    <mergeCell ref="A2:P2"/>
    <mergeCell ref="A3:A4"/>
    <mergeCell ref="B3:B4"/>
    <mergeCell ref="C3:C4"/>
    <mergeCell ref="D3:D4"/>
    <mergeCell ref="E3:E4"/>
    <mergeCell ref="O3:O4"/>
    <mergeCell ref="P3:P4"/>
  </mergeCells>
  <pageMargins left="0.7" right="0.7" top="0.75" bottom="0.75" header="0.3" footer="0.3"/>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1"/>
  <sheetViews>
    <sheetView topLeftCell="A10" workbookViewId="0">
      <selection activeCell="C29" sqref="C29"/>
    </sheetView>
  </sheetViews>
  <sheetFormatPr defaultRowHeight="15" x14ac:dyDescent="0.25"/>
  <cols>
    <col min="1" max="1" width="26.7109375" customWidth="1"/>
    <col min="2" max="2" width="19.42578125" customWidth="1"/>
    <col min="3" max="3" width="11.42578125" customWidth="1"/>
    <col min="4" max="6" width="14.7109375" customWidth="1"/>
    <col min="7" max="7" width="12.5703125" customWidth="1"/>
    <col min="8" max="8" width="10.85546875" customWidth="1"/>
  </cols>
  <sheetData>
    <row r="1" spans="1:7" ht="15.75" x14ac:dyDescent="0.25">
      <c r="A1" s="1041" t="s">
        <v>386</v>
      </c>
      <c r="B1" s="1041"/>
      <c r="C1" s="1041"/>
      <c r="D1" s="1041"/>
      <c r="E1" s="1041"/>
      <c r="F1" s="1041"/>
      <c r="G1" s="1041"/>
    </row>
    <row r="2" spans="1:7" x14ac:dyDescent="0.25">
      <c r="A2" s="55" t="s">
        <v>387</v>
      </c>
      <c r="B2" s="56">
        <v>7.3999999999999996E-2</v>
      </c>
      <c r="C2" s="57"/>
      <c r="D2" s="57"/>
      <c r="E2" s="57"/>
      <c r="F2" s="57"/>
      <c r="G2" s="57"/>
    </row>
    <row r="3" spans="1:7" ht="75" x14ac:dyDescent="0.25">
      <c r="A3" s="40" t="s">
        <v>9</v>
      </c>
      <c r="B3" s="40" t="s">
        <v>428</v>
      </c>
      <c r="C3" s="40" t="s">
        <v>331</v>
      </c>
      <c r="D3" s="40" t="s">
        <v>332</v>
      </c>
      <c r="E3" s="40" t="s">
        <v>429</v>
      </c>
      <c r="F3" s="40" t="s">
        <v>430</v>
      </c>
      <c r="G3" s="40" t="s">
        <v>333</v>
      </c>
    </row>
    <row r="4" spans="1:7" ht="11.25" customHeight="1" x14ac:dyDescent="0.25">
      <c r="A4" s="41">
        <v>1</v>
      </c>
      <c r="B4" s="41">
        <v>2</v>
      </c>
      <c r="C4" s="41">
        <v>3</v>
      </c>
      <c r="D4" s="41">
        <v>4</v>
      </c>
      <c r="E4" s="42">
        <v>5</v>
      </c>
      <c r="F4" s="41">
        <v>6</v>
      </c>
      <c r="G4" s="41">
        <v>7</v>
      </c>
    </row>
    <row r="5" spans="1:7" x14ac:dyDescent="0.25">
      <c r="A5" s="58" t="s">
        <v>329</v>
      </c>
      <c r="B5" s="59" t="s">
        <v>334</v>
      </c>
      <c r="C5" s="60">
        <f>ROUND(2118.64*1.18,2)</f>
        <v>2500</v>
      </c>
      <c r="D5" s="60">
        <v>2118.64</v>
      </c>
      <c r="E5" s="59" t="s">
        <v>25</v>
      </c>
      <c r="F5" s="59">
        <v>6</v>
      </c>
      <c r="G5" s="59">
        <f>ROUND(D5/F5*(1+$B$2),2)</f>
        <v>379.24</v>
      </c>
    </row>
    <row r="6" spans="1:7" x14ac:dyDescent="0.25">
      <c r="A6" s="58" t="s">
        <v>336</v>
      </c>
      <c r="B6" s="59" t="s">
        <v>26</v>
      </c>
      <c r="C6" s="60">
        <f>37.08*1.18</f>
        <v>43.754399999999997</v>
      </c>
      <c r="D6" s="60">
        <f t="shared" ref="D6:D31" si="0">ROUND(C6/1.18,2)</f>
        <v>37.08</v>
      </c>
      <c r="E6" s="59" t="s">
        <v>26</v>
      </c>
      <c r="F6" s="59">
        <v>1</v>
      </c>
      <c r="G6" s="59">
        <f t="shared" ref="G6:G31" si="1">ROUND(D6/F6*(1+$B$2),2)</f>
        <v>39.82</v>
      </c>
    </row>
    <row r="7" spans="1:7" x14ac:dyDescent="0.25">
      <c r="A7" s="58" t="s">
        <v>330</v>
      </c>
      <c r="B7" s="59" t="s">
        <v>334</v>
      </c>
      <c r="C7" s="60">
        <f>ROUND(305.09*1.18,0)</f>
        <v>360</v>
      </c>
      <c r="D7" s="60">
        <f t="shared" si="0"/>
        <v>305.08</v>
      </c>
      <c r="E7" s="59" t="s">
        <v>25</v>
      </c>
      <c r="F7" s="59">
        <v>6</v>
      </c>
      <c r="G7" s="59">
        <f t="shared" si="1"/>
        <v>54.61</v>
      </c>
    </row>
    <row r="8" spans="1:7" x14ac:dyDescent="0.25">
      <c r="A8" s="58" t="s">
        <v>342</v>
      </c>
      <c r="B8" s="59" t="s">
        <v>27</v>
      </c>
      <c r="C8" s="60">
        <v>4</v>
      </c>
      <c r="D8" s="60">
        <f t="shared" si="0"/>
        <v>3.39</v>
      </c>
      <c r="E8" s="59" t="s">
        <v>27</v>
      </c>
      <c r="F8" s="59">
        <v>1</v>
      </c>
      <c r="G8" s="59">
        <f t="shared" si="1"/>
        <v>3.64</v>
      </c>
    </row>
    <row r="9" spans="1:7" ht="30" x14ac:dyDescent="0.25">
      <c r="A9" s="44" t="s">
        <v>348</v>
      </c>
      <c r="B9" s="442" t="s">
        <v>27</v>
      </c>
      <c r="C9" s="43">
        <v>34</v>
      </c>
      <c r="D9" s="43">
        <f t="shared" si="0"/>
        <v>28.81</v>
      </c>
      <c r="E9" s="442" t="s">
        <v>27</v>
      </c>
      <c r="F9" s="442">
        <v>1</v>
      </c>
      <c r="G9" s="59">
        <f t="shared" si="1"/>
        <v>30.94</v>
      </c>
    </row>
    <row r="10" spans="1:7" x14ac:dyDescent="0.25">
      <c r="A10" s="44" t="s">
        <v>403</v>
      </c>
      <c r="B10" s="442" t="s">
        <v>26</v>
      </c>
      <c r="C10" s="43">
        <f>677.96*1.18</f>
        <v>799.99279999999999</v>
      </c>
      <c r="D10" s="43">
        <f t="shared" si="0"/>
        <v>677.96</v>
      </c>
      <c r="E10" s="442" t="s">
        <v>26</v>
      </c>
      <c r="F10" s="442">
        <v>1</v>
      </c>
      <c r="G10" s="59">
        <f t="shared" si="1"/>
        <v>728.13</v>
      </c>
    </row>
    <row r="11" spans="1:7" x14ac:dyDescent="0.25">
      <c r="A11" s="44" t="s">
        <v>341</v>
      </c>
      <c r="B11" s="442" t="s">
        <v>26</v>
      </c>
      <c r="C11" s="43">
        <f>663.65*1.18</f>
        <v>783.10699999999997</v>
      </c>
      <c r="D11" s="43">
        <f t="shared" si="0"/>
        <v>663.65</v>
      </c>
      <c r="E11" s="442" t="s">
        <v>26</v>
      </c>
      <c r="F11" s="442">
        <v>1</v>
      </c>
      <c r="G11" s="59">
        <f t="shared" si="1"/>
        <v>712.76</v>
      </c>
    </row>
    <row r="12" spans="1:7" x14ac:dyDescent="0.25">
      <c r="A12" s="44" t="s">
        <v>343</v>
      </c>
      <c r="B12" s="442" t="s">
        <v>27</v>
      </c>
      <c r="C12" s="43">
        <f>11*1.18</f>
        <v>12.979999999999999</v>
      </c>
      <c r="D12" s="43">
        <f t="shared" si="0"/>
        <v>11</v>
      </c>
      <c r="E12" s="442" t="s">
        <v>27</v>
      </c>
      <c r="F12" s="442">
        <v>1</v>
      </c>
      <c r="G12" s="59">
        <f t="shared" si="1"/>
        <v>11.81</v>
      </c>
    </row>
    <row r="13" spans="1:7" x14ac:dyDescent="0.25">
      <c r="A13" s="44" t="s">
        <v>335</v>
      </c>
      <c r="B13" s="442" t="s">
        <v>26</v>
      </c>
      <c r="C13" s="43">
        <f>61.08*1.18</f>
        <v>72.074399999999997</v>
      </c>
      <c r="D13" s="43">
        <f t="shared" si="0"/>
        <v>61.08</v>
      </c>
      <c r="E13" s="442" t="s">
        <v>26</v>
      </c>
      <c r="F13" s="442">
        <v>1</v>
      </c>
      <c r="G13" s="59">
        <f t="shared" si="1"/>
        <v>65.599999999999994</v>
      </c>
    </row>
    <row r="14" spans="1:7" x14ac:dyDescent="0.25">
      <c r="A14" s="44" t="s">
        <v>364</v>
      </c>
      <c r="B14" s="442" t="s">
        <v>27</v>
      </c>
      <c r="C14" s="43">
        <f>56.43*1.18</f>
        <v>66.587400000000002</v>
      </c>
      <c r="D14" s="43">
        <f t="shared" si="0"/>
        <v>56.43</v>
      </c>
      <c r="E14" s="442" t="s">
        <v>27</v>
      </c>
      <c r="F14" s="442">
        <v>1</v>
      </c>
      <c r="G14" s="59">
        <f t="shared" si="1"/>
        <v>60.61</v>
      </c>
    </row>
    <row r="15" spans="1:7" x14ac:dyDescent="0.25">
      <c r="A15" s="49" t="s">
        <v>373</v>
      </c>
      <c r="B15" s="442" t="s">
        <v>27</v>
      </c>
      <c r="C15" s="43">
        <f>28.82*1.18</f>
        <v>34.007599999999996</v>
      </c>
      <c r="D15" s="43">
        <f t="shared" si="0"/>
        <v>28.82</v>
      </c>
      <c r="E15" s="442" t="s">
        <v>27</v>
      </c>
      <c r="F15" s="442">
        <v>1</v>
      </c>
      <c r="G15" s="59">
        <f t="shared" si="1"/>
        <v>30.95</v>
      </c>
    </row>
    <row r="16" spans="1:7" x14ac:dyDescent="0.25">
      <c r="A16" s="62" t="s">
        <v>402</v>
      </c>
      <c r="B16" s="442" t="s">
        <v>26</v>
      </c>
      <c r="C16" s="43">
        <f>634.32*1.18</f>
        <v>748.49760000000003</v>
      </c>
      <c r="D16" s="43">
        <f t="shared" si="0"/>
        <v>634.32000000000005</v>
      </c>
      <c r="E16" s="442" t="s">
        <v>26</v>
      </c>
      <c r="F16" s="442">
        <v>1</v>
      </c>
      <c r="G16" s="59">
        <f t="shared" si="1"/>
        <v>681.26</v>
      </c>
    </row>
    <row r="17" spans="1:8" x14ac:dyDescent="0.25">
      <c r="A17" s="44" t="s">
        <v>338</v>
      </c>
      <c r="B17" s="442" t="s">
        <v>27</v>
      </c>
      <c r="C17" s="43">
        <f>7.32*1.18</f>
        <v>8.6375999999999991</v>
      </c>
      <c r="D17" s="43">
        <f t="shared" si="0"/>
        <v>7.32</v>
      </c>
      <c r="E17" s="442" t="s">
        <v>27</v>
      </c>
      <c r="F17" s="442">
        <v>1</v>
      </c>
      <c r="G17" s="77">
        <f>мастерская!$P$8</f>
        <v>17.89</v>
      </c>
      <c r="H17" t="s">
        <v>382</v>
      </c>
    </row>
    <row r="18" spans="1:8" ht="30" x14ac:dyDescent="0.25">
      <c r="A18" s="61" t="s">
        <v>390</v>
      </c>
      <c r="B18" s="442" t="s">
        <v>27</v>
      </c>
      <c r="C18" s="43">
        <f>7.32*1.18</f>
        <v>8.6375999999999991</v>
      </c>
      <c r="D18" s="43">
        <f t="shared" si="0"/>
        <v>7.32</v>
      </c>
      <c r="E18" s="442" t="s">
        <v>27</v>
      </c>
      <c r="F18" s="442">
        <v>1</v>
      </c>
      <c r="G18" s="77">
        <f>мастерская!$P$8</f>
        <v>17.89</v>
      </c>
      <c r="H18" t="s">
        <v>382</v>
      </c>
    </row>
    <row r="19" spans="1:8" x14ac:dyDescent="0.25">
      <c r="A19" s="44" t="s">
        <v>340</v>
      </c>
      <c r="B19" s="442" t="s">
        <v>27</v>
      </c>
      <c r="C19" s="43">
        <f>5.72*1.18</f>
        <v>6.7495999999999992</v>
      </c>
      <c r="D19" s="43">
        <f t="shared" si="0"/>
        <v>5.72</v>
      </c>
      <c r="E19" s="442"/>
      <c r="F19" s="442">
        <v>1</v>
      </c>
      <c r="G19" s="59">
        <f>мастерская!$P$9</f>
        <v>18.080000000000002</v>
      </c>
      <c r="H19" t="s">
        <v>382</v>
      </c>
    </row>
    <row r="20" spans="1:8" x14ac:dyDescent="0.25">
      <c r="A20" s="44" t="s">
        <v>358</v>
      </c>
      <c r="B20" s="442" t="s">
        <v>27</v>
      </c>
      <c r="C20" s="43">
        <f>27.56*1.18</f>
        <v>32.520799999999994</v>
      </c>
      <c r="D20" s="43">
        <f t="shared" si="0"/>
        <v>27.56</v>
      </c>
      <c r="E20" s="442" t="s">
        <v>27</v>
      </c>
      <c r="F20" s="442">
        <v>1</v>
      </c>
      <c r="G20" s="59">
        <f>мастерская!$P$11</f>
        <v>46.160000000000004</v>
      </c>
      <c r="H20" t="s">
        <v>382</v>
      </c>
    </row>
    <row r="21" spans="1:8" ht="30" x14ac:dyDescent="0.25">
      <c r="A21" s="44" t="s">
        <v>347</v>
      </c>
      <c r="B21" s="442" t="s">
        <v>346</v>
      </c>
      <c r="C21" s="43">
        <v>49380</v>
      </c>
      <c r="D21" s="43">
        <f t="shared" si="0"/>
        <v>41847.46</v>
      </c>
      <c r="E21" s="442" t="s">
        <v>26</v>
      </c>
      <c r="F21" s="442">
        <v>1000</v>
      </c>
      <c r="G21" s="59">
        <f>ROUND(D21/F21*(1+$B$2),2)</f>
        <v>44.94</v>
      </c>
    </row>
    <row r="22" spans="1:8" x14ac:dyDescent="0.25">
      <c r="A22" s="44" t="s">
        <v>400</v>
      </c>
      <c r="B22" s="442" t="s">
        <v>27</v>
      </c>
      <c r="C22" s="43">
        <f>29.37*1.18</f>
        <v>34.656599999999997</v>
      </c>
      <c r="D22" s="43">
        <f t="shared" si="0"/>
        <v>29.37</v>
      </c>
      <c r="E22" s="442" t="s">
        <v>27</v>
      </c>
      <c r="F22" s="442">
        <v>1</v>
      </c>
      <c r="G22" s="59">
        <f t="shared" si="1"/>
        <v>31.54</v>
      </c>
    </row>
    <row r="23" spans="1:8" x14ac:dyDescent="0.25">
      <c r="A23" s="44" t="s">
        <v>388</v>
      </c>
      <c r="B23" s="442" t="s">
        <v>36</v>
      </c>
      <c r="C23" s="43">
        <f>41.33*1.18</f>
        <v>48.769399999999997</v>
      </c>
      <c r="D23" s="43">
        <f t="shared" si="0"/>
        <v>41.33</v>
      </c>
      <c r="E23" s="442" t="s">
        <v>36</v>
      </c>
      <c r="F23" s="442">
        <v>1</v>
      </c>
      <c r="G23" s="59">
        <f t="shared" si="1"/>
        <v>44.39</v>
      </c>
    </row>
    <row r="24" spans="1:8" x14ac:dyDescent="0.25">
      <c r="A24" s="44" t="s">
        <v>397</v>
      </c>
      <c r="B24" s="442" t="s">
        <v>36</v>
      </c>
      <c r="C24" s="43">
        <f>75.77*1.18</f>
        <v>89.408599999999993</v>
      </c>
      <c r="D24" s="43">
        <f t="shared" si="0"/>
        <v>75.77</v>
      </c>
      <c r="E24" s="442" t="s">
        <v>36</v>
      </c>
      <c r="F24" s="442">
        <v>1</v>
      </c>
      <c r="G24" s="59">
        <f t="shared" si="1"/>
        <v>81.38</v>
      </c>
    </row>
    <row r="25" spans="1:8" x14ac:dyDescent="0.25">
      <c r="A25" s="44" t="s">
        <v>344</v>
      </c>
      <c r="B25" s="442" t="s">
        <v>27</v>
      </c>
      <c r="C25" s="43">
        <v>33</v>
      </c>
      <c r="D25" s="43">
        <f t="shared" si="0"/>
        <v>27.97</v>
      </c>
      <c r="E25" s="442" t="s">
        <v>27</v>
      </c>
      <c r="F25" s="442">
        <v>1</v>
      </c>
      <c r="G25" s="59">
        <f t="shared" si="1"/>
        <v>30.04</v>
      </c>
    </row>
    <row r="26" spans="1:8" ht="30" x14ac:dyDescent="0.25">
      <c r="A26" s="44" t="s">
        <v>426</v>
      </c>
      <c r="B26" s="442" t="s">
        <v>27</v>
      </c>
      <c r="C26" s="43">
        <f>33</f>
        <v>33</v>
      </c>
      <c r="D26" s="43">
        <f t="shared" si="0"/>
        <v>27.97</v>
      </c>
      <c r="E26" s="442" t="s">
        <v>27</v>
      </c>
      <c r="F26" s="442">
        <v>1</v>
      </c>
      <c r="G26" s="59">
        <f t="shared" si="1"/>
        <v>30.04</v>
      </c>
    </row>
    <row r="27" spans="1:8" ht="28.5" customHeight="1" x14ac:dyDescent="0.25">
      <c r="A27" s="44" t="s">
        <v>345</v>
      </c>
      <c r="B27" s="442" t="s">
        <v>27</v>
      </c>
      <c r="C27" s="43">
        <v>15</v>
      </c>
      <c r="D27" s="43">
        <f t="shared" si="0"/>
        <v>12.71</v>
      </c>
      <c r="E27" s="442" t="s">
        <v>27</v>
      </c>
      <c r="F27" s="442">
        <v>1</v>
      </c>
      <c r="G27" s="59">
        <f t="shared" si="1"/>
        <v>13.65</v>
      </c>
    </row>
    <row r="28" spans="1:8" x14ac:dyDescent="0.25">
      <c r="A28" s="44" t="s">
        <v>339</v>
      </c>
      <c r="B28" s="442" t="s">
        <v>26</v>
      </c>
      <c r="C28" s="43">
        <f>281.57*1.18</f>
        <v>332.25259999999997</v>
      </c>
      <c r="D28" s="43">
        <f t="shared" si="0"/>
        <v>281.57</v>
      </c>
      <c r="E28" s="442" t="s">
        <v>26</v>
      </c>
      <c r="F28" s="442">
        <v>1</v>
      </c>
      <c r="G28" s="59">
        <f t="shared" si="1"/>
        <v>302.41000000000003</v>
      </c>
    </row>
    <row r="29" spans="1:8" x14ac:dyDescent="0.25">
      <c r="A29" s="45" t="s">
        <v>172</v>
      </c>
      <c r="B29" s="442" t="s">
        <v>27</v>
      </c>
      <c r="C29" s="43">
        <f>32.76*1.18</f>
        <v>38.656799999999997</v>
      </c>
      <c r="D29" s="43">
        <f t="shared" si="0"/>
        <v>32.76</v>
      </c>
      <c r="E29" s="442" t="s">
        <v>27</v>
      </c>
      <c r="F29" s="442">
        <v>1</v>
      </c>
      <c r="G29" s="59">
        <f t="shared" si="1"/>
        <v>35.18</v>
      </c>
    </row>
    <row r="30" spans="1:8" x14ac:dyDescent="0.25">
      <c r="A30" s="45" t="s">
        <v>173</v>
      </c>
      <c r="B30" s="442" t="s">
        <v>27</v>
      </c>
      <c r="C30" s="43">
        <f>54.85*1.18</f>
        <v>64.722999999999999</v>
      </c>
      <c r="D30" s="43">
        <f t="shared" si="0"/>
        <v>54.85</v>
      </c>
      <c r="E30" s="442" t="s">
        <v>27</v>
      </c>
      <c r="F30" s="442">
        <v>1</v>
      </c>
      <c r="G30" s="59">
        <f t="shared" si="1"/>
        <v>58.91</v>
      </c>
    </row>
    <row r="31" spans="1:8" x14ac:dyDescent="0.25">
      <c r="A31" s="49" t="s">
        <v>337</v>
      </c>
      <c r="B31" s="442" t="s">
        <v>26</v>
      </c>
      <c r="C31" s="43">
        <f>75.69*1.18</f>
        <v>89.3142</v>
      </c>
      <c r="D31" s="43">
        <f t="shared" si="0"/>
        <v>75.69</v>
      </c>
      <c r="E31" s="442" t="s">
        <v>26</v>
      </c>
      <c r="F31" s="442">
        <v>1</v>
      </c>
      <c r="G31" s="59">
        <f t="shared" si="1"/>
        <v>81.290000000000006</v>
      </c>
    </row>
  </sheetData>
  <mergeCells count="1">
    <mergeCell ref="A1:G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73"/>
  <sheetViews>
    <sheetView view="pageBreakPreview" topLeftCell="A127" zoomScale="80" zoomScaleSheetLayoutView="80" workbookViewId="0">
      <selection activeCell="G142" sqref="G142"/>
    </sheetView>
  </sheetViews>
  <sheetFormatPr defaultRowHeight="15.75" outlineLevelRow="1" x14ac:dyDescent="0.25"/>
  <cols>
    <col min="1" max="1" width="9.140625" style="48"/>
    <col min="2" max="2" width="10.140625" bestFit="1" customWidth="1"/>
    <col min="3" max="3" width="50.140625" style="46" customWidth="1"/>
    <col min="4" max="4" width="13.85546875" style="16" customWidth="1"/>
    <col min="5" max="5" width="10.28515625" customWidth="1"/>
    <col min="6" max="6" width="10.7109375" customWidth="1"/>
    <col min="7" max="7" width="10.5703125" style="301" customWidth="1"/>
    <col min="8" max="8" width="14" hidden="1" customWidth="1"/>
    <col min="9" max="9" width="0" hidden="1" customWidth="1"/>
    <col min="10" max="10" width="14" style="303" customWidth="1"/>
  </cols>
  <sheetData>
    <row r="1" spans="1:11" ht="69" customHeight="1" x14ac:dyDescent="0.25">
      <c r="A1" s="171"/>
      <c r="B1" s="172"/>
      <c r="C1" s="173"/>
      <c r="D1" s="943" t="s">
        <v>626</v>
      </c>
      <c r="E1" s="943"/>
      <c r="F1" s="943"/>
      <c r="G1" s="943"/>
    </row>
    <row r="2" spans="1:11" ht="57.75" customHeight="1" x14ac:dyDescent="0.25">
      <c r="A2" s="1079" t="s">
        <v>664</v>
      </c>
      <c r="B2" s="1080"/>
      <c r="C2" s="1080"/>
      <c r="D2" s="1080"/>
      <c r="E2" s="1080"/>
      <c r="F2" s="1080"/>
      <c r="G2" s="1080"/>
    </row>
    <row r="3" spans="1:11" ht="12" customHeight="1" x14ac:dyDescent="0.25">
      <c r="A3" s="171"/>
      <c r="B3" s="172"/>
      <c r="C3" s="173"/>
      <c r="D3" s="194"/>
      <c r="E3" s="172"/>
      <c r="F3" s="172"/>
      <c r="G3" s="307"/>
    </row>
    <row r="4" spans="1:11" s="81" customFormat="1" ht="80.25" customHeight="1" x14ac:dyDescent="0.25">
      <c r="A4" s="1081" t="s">
        <v>0</v>
      </c>
      <c r="B4" s="956" t="s">
        <v>1</v>
      </c>
      <c r="C4" s="1075" t="s">
        <v>2</v>
      </c>
      <c r="D4" s="1075" t="s">
        <v>3</v>
      </c>
      <c r="E4" s="271" t="s">
        <v>16</v>
      </c>
      <c r="F4" s="271" t="s">
        <v>22</v>
      </c>
      <c r="G4" s="1083" t="s">
        <v>15</v>
      </c>
      <c r="H4" s="899"/>
      <c r="I4" s="810"/>
      <c r="J4" s="303"/>
    </row>
    <row r="5" spans="1:11" s="81" customFormat="1" ht="18" customHeight="1" x14ac:dyDescent="0.25">
      <c r="A5" s="1078"/>
      <c r="B5" s="906"/>
      <c r="C5" s="1075"/>
      <c r="D5" s="1082"/>
      <c r="E5" s="95">
        <f>'условия, ФОТ'!$C$8</f>
        <v>0.1</v>
      </c>
      <c r="F5" s="93">
        <v>0.2</v>
      </c>
      <c r="G5" s="1084"/>
      <c r="H5" s="900"/>
      <c r="I5" s="811"/>
      <c r="J5" s="303"/>
    </row>
    <row r="6" spans="1:11" s="3" customFormat="1" x14ac:dyDescent="0.25">
      <c r="A6" s="195">
        <v>1</v>
      </c>
      <c r="B6" s="196">
        <v>2</v>
      </c>
      <c r="C6" s="197">
        <v>3</v>
      </c>
      <c r="D6" s="198">
        <v>4</v>
      </c>
      <c r="E6" s="199">
        <v>5</v>
      </c>
      <c r="F6" s="199">
        <v>6</v>
      </c>
      <c r="G6" s="308">
        <v>7</v>
      </c>
      <c r="H6" s="78"/>
      <c r="I6" s="78"/>
      <c r="J6" s="304"/>
    </row>
    <row r="7" spans="1:11" s="83" customFormat="1" ht="21.75" customHeight="1" x14ac:dyDescent="0.25">
      <c r="A7" s="965" t="s">
        <v>383</v>
      </c>
      <c r="B7" s="966"/>
      <c r="C7" s="966"/>
      <c r="D7" s="966"/>
      <c r="E7" s="966"/>
      <c r="F7" s="966"/>
      <c r="G7" s="967"/>
      <c r="H7" s="82"/>
      <c r="I7" s="82"/>
      <c r="J7" s="303"/>
    </row>
    <row r="8" spans="1:11" s="81" customFormat="1" ht="52.5" customHeight="1" x14ac:dyDescent="0.2">
      <c r="A8" s="276" t="s">
        <v>144</v>
      </c>
      <c r="B8" s="270" t="s">
        <v>178</v>
      </c>
      <c r="C8" s="277" t="s">
        <v>18</v>
      </c>
      <c r="D8" s="272" t="s">
        <v>20</v>
      </c>
      <c r="E8" s="278">
        <f>'калькуляция 2024'!R8</f>
        <v>1685.83</v>
      </c>
      <c r="F8" s="278">
        <f>'калькуляция 2024'!S8</f>
        <v>337.17</v>
      </c>
      <c r="G8" s="300">
        <f>E8+F8</f>
        <v>2023</v>
      </c>
      <c r="H8" s="99"/>
      <c r="I8" s="85"/>
      <c r="J8" s="305">
        <v>1245</v>
      </c>
      <c r="K8" s="81" t="b">
        <f>G8=J8</f>
        <v>0</v>
      </c>
    </row>
    <row r="9" spans="1:11" s="81" customFormat="1" ht="69" customHeight="1" x14ac:dyDescent="0.2">
      <c r="A9" s="276" t="s">
        <v>145</v>
      </c>
      <c r="B9" s="270" t="s">
        <v>179</v>
      </c>
      <c r="C9" s="277" t="s">
        <v>19</v>
      </c>
      <c r="D9" s="272" t="s">
        <v>20</v>
      </c>
      <c r="E9" s="278">
        <f>'калькуляция 2024'!R9</f>
        <v>1685.83</v>
      </c>
      <c r="F9" s="278">
        <f>'калькуляция 2024'!S9</f>
        <v>337.17</v>
      </c>
      <c r="G9" s="300">
        <f>E9+F9</f>
        <v>2023</v>
      </c>
      <c r="H9" s="99"/>
      <c r="I9" s="85"/>
      <c r="J9" s="305">
        <v>1245</v>
      </c>
      <c r="K9" s="81" t="b">
        <f t="shared" ref="K9:K72" si="0">G9=J9</f>
        <v>0</v>
      </c>
    </row>
    <row r="10" spans="1:11" s="83" customFormat="1" ht="21" customHeight="1" x14ac:dyDescent="0.25">
      <c r="A10" s="965" t="s">
        <v>322</v>
      </c>
      <c r="B10" s="966"/>
      <c r="C10" s="966"/>
      <c r="D10" s="966"/>
      <c r="E10" s="966"/>
      <c r="F10" s="966"/>
      <c r="G10" s="967"/>
      <c r="H10" s="84"/>
      <c r="I10" s="82"/>
      <c r="J10" s="305"/>
      <c r="K10" s="81" t="b">
        <f t="shared" si="0"/>
        <v>1</v>
      </c>
    </row>
    <row r="11" spans="1:11" s="81" customFormat="1" ht="20.25" customHeight="1" x14ac:dyDescent="0.2">
      <c r="A11" s="904" t="s">
        <v>146</v>
      </c>
      <c r="B11" s="1078" t="s">
        <v>180</v>
      </c>
      <c r="C11" s="1063" t="s">
        <v>23</v>
      </c>
      <c r="D11" s="1075" t="s">
        <v>24</v>
      </c>
      <c r="E11" s="914">
        <f>'калькуляция 2024'!R11</f>
        <v>1753.33</v>
      </c>
      <c r="F11" s="914">
        <f>'калькуляция 2024'!S11</f>
        <v>350.67</v>
      </c>
      <c r="G11" s="1064">
        <f>E11+F11</f>
        <v>2104</v>
      </c>
      <c r="H11" s="915"/>
      <c r="I11" s="912"/>
      <c r="J11" s="1060">
        <v>936</v>
      </c>
      <c r="K11" s="81" t="b">
        <f t="shared" si="0"/>
        <v>0</v>
      </c>
    </row>
    <row r="12" spans="1:11" s="81" customFormat="1" ht="36" customHeight="1" x14ac:dyDescent="0.2">
      <c r="A12" s="904"/>
      <c r="B12" s="1078"/>
      <c r="C12" s="1063"/>
      <c r="D12" s="1075"/>
      <c r="E12" s="914">
        <f>'калькуляция 2024'!R12</f>
        <v>0</v>
      </c>
      <c r="F12" s="914">
        <f>'калькуляция 2024'!S12</f>
        <v>0</v>
      </c>
      <c r="G12" s="1064">
        <f t="shared" ref="G12" si="1">E12+F12</f>
        <v>0</v>
      </c>
      <c r="H12" s="916"/>
      <c r="I12" s="912"/>
      <c r="J12" s="1060"/>
      <c r="K12" s="81" t="b">
        <f t="shared" si="0"/>
        <v>1</v>
      </c>
    </row>
    <row r="13" spans="1:11" s="81" customFormat="1" ht="15.75" hidden="1" customHeight="1" outlineLevel="1" x14ac:dyDescent="0.25">
      <c r="A13" s="276"/>
      <c r="B13" s="200"/>
      <c r="C13" s="201"/>
      <c r="D13" s="202"/>
      <c r="E13" s="203"/>
      <c r="F13" s="203"/>
      <c r="G13" s="309"/>
      <c r="H13" s="86"/>
      <c r="I13" s="87"/>
      <c r="J13" s="305"/>
      <c r="K13" s="81" t="b">
        <f t="shared" si="0"/>
        <v>1</v>
      </c>
    </row>
    <row r="14" spans="1:11" s="81" customFormat="1" ht="15.75" hidden="1" customHeight="1" outlineLevel="1" x14ac:dyDescent="0.25">
      <c r="A14" s="276"/>
      <c r="B14" s="200"/>
      <c r="C14" s="201"/>
      <c r="D14" s="202"/>
      <c r="E14" s="203"/>
      <c r="F14" s="203"/>
      <c r="G14" s="309"/>
      <c r="H14" s="86"/>
      <c r="I14" s="87"/>
      <c r="J14" s="305"/>
      <c r="K14" s="81" t="b">
        <f t="shared" si="0"/>
        <v>1</v>
      </c>
    </row>
    <row r="15" spans="1:11" s="81" customFormat="1" ht="15.75" hidden="1" customHeight="1" outlineLevel="1" x14ac:dyDescent="0.25">
      <c r="A15" s="276"/>
      <c r="B15" s="200"/>
      <c r="C15" s="201"/>
      <c r="D15" s="202"/>
      <c r="E15" s="203"/>
      <c r="F15" s="203"/>
      <c r="G15" s="309"/>
      <c r="H15" s="86"/>
      <c r="I15" s="87"/>
      <c r="J15" s="305"/>
      <c r="K15" s="81" t="b">
        <f t="shared" si="0"/>
        <v>1</v>
      </c>
    </row>
    <row r="16" spans="1:11" s="81" customFormat="1" ht="30" hidden="1" customHeight="1" outlineLevel="1" x14ac:dyDescent="0.25">
      <c r="A16" s="276"/>
      <c r="B16" s="200"/>
      <c r="C16" s="201"/>
      <c r="D16" s="202"/>
      <c r="E16" s="203"/>
      <c r="F16" s="203"/>
      <c r="G16" s="309"/>
      <c r="H16" s="86"/>
      <c r="I16" s="87"/>
      <c r="J16" s="305"/>
      <c r="K16" s="81" t="b">
        <f t="shared" si="0"/>
        <v>1</v>
      </c>
    </row>
    <row r="17" spans="1:11" s="81" customFormat="1" ht="15.75" hidden="1" customHeight="1" outlineLevel="1" x14ac:dyDescent="0.25">
      <c r="A17" s="276"/>
      <c r="B17" s="200"/>
      <c r="C17" s="201"/>
      <c r="D17" s="202"/>
      <c r="E17" s="203"/>
      <c r="F17" s="203"/>
      <c r="G17" s="309"/>
      <c r="H17" s="86"/>
      <c r="I17" s="87"/>
      <c r="J17" s="305"/>
      <c r="K17" s="81" t="b">
        <f t="shared" si="0"/>
        <v>1</v>
      </c>
    </row>
    <row r="18" spans="1:11" s="81" customFormat="1" ht="15.75" hidden="1" customHeight="1" outlineLevel="1" x14ac:dyDescent="0.25">
      <c r="A18" s="276"/>
      <c r="B18" s="200"/>
      <c r="C18" s="201"/>
      <c r="D18" s="202"/>
      <c r="E18" s="203"/>
      <c r="F18" s="203"/>
      <c r="G18" s="309"/>
      <c r="H18" s="86"/>
      <c r="I18" s="87"/>
      <c r="J18" s="305"/>
      <c r="K18" s="81" t="b">
        <f t="shared" si="0"/>
        <v>1</v>
      </c>
    </row>
    <row r="19" spans="1:11" s="81" customFormat="1" ht="15.75" hidden="1" customHeight="1" outlineLevel="1" x14ac:dyDescent="0.25">
      <c r="A19" s="276"/>
      <c r="B19" s="200"/>
      <c r="C19" s="201"/>
      <c r="D19" s="202"/>
      <c r="E19" s="203"/>
      <c r="F19" s="203"/>
      <c r="G19" s="309"/>
      <c r="H19" s="86"/>
      <c r="I19" s="87"/>
      <c r="J19" s="305"/>
      <c r="K19" s="81" t="b">
        <f t="shared" si="0"/>
        <v>1</v>
      </c>
    </row>
    <row r="20" spans="1:11" s="81" customFormat="1" ht="60" customHeight="1" collapsed="1" x14ac:dyDescent="0.2">
      <c r="A20" s="276" t="s">
        <v>450</v>
      </c>
      <c r="B20" s="270" t="s">
        <v>180</v>
      </c>
      <c r="C20" s="204" t="s">
        <v>384</v>
      </c>
      <c r="D20" s="96" t="s">
        <v>24</v>
      </c>
      <c r="E20" s="278">
        <f>'калькуляция 2024'!R20</f>
        <v>404.17</v>
      </c>
      <c r="F20" s="278">
        <f>'калькуляция 2024'!S20</f>
        <v>80.83</v>
      </c>
      <c r="G20" s="300">
        <f>E20+F20</f>
        <v>485</v>
      </c>
      <c r="H20" s="279"/>
      <c r="I20" s="85"/>
      <c r="J20" s="305">
        <v>227</v>
      </c>
      <c r="K20" s="81" t="b">
        <f t="shared" si="0"/>
        <v>0</v>
      </c>
    </row>
    <row r="21" spans="1:11" s="81" customFormat="1" ht="15.75" hidden="1" customHeight="1" outlineLevel="1" x14ac:dyDescent="0.25">
      <c r="A21" s="276"/>
      <c r="B21" s="200"/>
      <c r="C21" s="201"/>
      <c r="D21" s="202"/>
      <c r="E21" s="203"/>
      <c r="F21" s="203"/>
      <c r="G21" s="309"/>
      <c r="H21" s="280"/>
      <c r="I21" s="87"/>
      <c r="J21" s="305"/>
      <c r="K21" s="81" t="b">
        <f t="shared" si="0"/>
        <v>1</v>
      </c>
    </row>
    <row r="22" spans="1:11" s="81" customFormat="1" ht="15" customHeight="1" collapsed="1" x14ac:dyDescent="0.2">
      <c r="A22" s="904" t="s">
        <v>451</v>
      </c>
      <c r="B22" s="1078" t="s">
        <v>181</v>
      </c>
      <c r="C22" s="1063" t="s">
        <v>28</v>
      </c>
      <c r="D22" s="1075" t="s">
        <v>29</v>
      </c>
      <c r="E22" s="914">
        <f>'калькуляция 2024'!R22</f>
        <v>1069.17</v>
      </c>
      <c r="F22" s="914">
        <f>'калькуляция 2024'!S22</f>
        <v>213.83</v>
      </c>
      <c r="G22" s="1064">
        <f>E22+F22</f>
        <v>1283</v>
      </c>
      <c r="H22" s="915"/>
      <c r="I22" s="912"/>
      <c r="J22" s="1060">
        <v>532</v>
      </c>
      <c r="K22" s="81" t="b">
        <f t="shared" si="0"/>
        <v>0</v>
      </c>
    </row>
    <row r="23" spans="1:11" s="81" customFormat="1" ht="18.95" customHeight="1" x14ac:dyDescent="0.2">
      <c r="A23" s="904"/>
      <c r="B23" s="1078"/>
      <c r="C23" s="1063"/>
      <c r="D23" s="1075"/>
      <c r="E23" s="914">
        <f>'калькуляция 2024'!R23</f>
        <v>0</v>
      </c>
      <c r="F23" s="914">
        <f>'калькуляция 2024'!S23</f>
        <v>0</v>
      </c>
      <c r="G23" s="1064">
        <f t="shared" ref="G23" si="2">E23+F23</f>
        <v>0</v>
      </c>
      <c r="H23" s="916"/>
      <c r="I23" s="912"/>
      <c r="J23" s="1060"/>
      <c r="K23" s="81" t="b">
        <f t="shared" si="0"/>
        <v>1</v>
      </c>
    </row>
    <row r="24" spans="1:11" s="81" customFormat="1" ht="15.75" hidden="1" customHeight="1" outlineLevel="1" x14ac:dyDescent="0.25">
      <c r="A24" s="276"/>
      <c r="B24" s="200"/>
      <c r="C24" s="201"/>
      <c r="D24" s="202"/>
      <c r="E24" s="203"/>
      <c r="F24" s="203"/>
      <c r="G24" s="309"/>
      <c r="H24" s="86"/>
      <c r="I24" s="87"/>
      <c r="J24" s="305"/>
      <c r="K24" s="81" t="b">
        <f t="shared" si="0"/>
        <v>1</v>
      </c>
    </row>
    <row r="25" spans="1:11" s="81" customFormat="1" ht="23.25" customHeight="1" collapsed="1" x14ac:dyDescent="0.2">
      <c r="A25" s="920" t="s">
        <v>452</v>
      </c>
      <c r="B25" s="801" t="s">
        <v>356</v>
      </c>
      <c r="C25" s="923" t="s">
        <v>357</v>
      </c>
      <c r="D25" s="905" t="s">
        <v>36</v>
      </c>
      <c r="E25" s="918">
        <f>'калькуляция 2024'!R25</f>
        <v>622.5</v>
      </c>
      <c r="F25" s="918">
        <f>'калькуляция 2024'!S25</f>
        <v>124.5</v>
      </c>
      <c r="G25" s="1061">
        <f>E25+F25</f>
        <v>747</v>
      </c>
      <c r="H25" s="915"/>
      <c r="I25" s="912"/>
      <c r="J25" s="1060">
        <v>331</v>
      </c>
      <c r="K25" s="81" t="b">
        <f t="shared" si="0"/>
        <v>0</v>
      </c>
    </row>
    <row r="26" spans="1:11" s="81" customFormat="1" ht="27.95" customHeight="1" x14ac:dyDescent="0.2">
      <c r="A26" s="922"/>
      <c r="B26" s="802"/>
      <c r="C26" s="924"/>
      <c r="D26" s="909"/>
      <c r="E26" s="919">
        <f>'калькуляция 2024'!R26</f>
        <v>0</v>
      </c>
      <c r="F26" s="919">
        <f>'калькуляция 2024'!S26</f>
        <v>0</v>
      </c>
      <c r="G26" s="1062">
        <f t="shared" ref="G26" si="3">E26+F26</f>
        <v>0</v>
      </c>
      <c r="H26" s="916"/>
      <c r="I26" s="912"/>
      <c r="J26" s="1060"/>
      <c r="K26" s="81" t="b">
        <f t="shared" si="0"/>
        <v>1</v>
      </c>
    </row>
    <row r="27" spans="1:11" s="81" customFormat="1" ht="28.5" hidden="1" customHeight="1" outlineLevel="1" x14ac:dyDescent="0.2">
      <c r="A27" s="284"/>
      <c r="B27" s="205"/>
      <c r="C27" s="206"/>
      <c r="D27" s="207"/>
      <c r="E27" s="208"/>
      <c r="F27" s="208"/>
      <c r="G27" s="310"/>
      <c r="H27" s="100"/>
      <c r="I27" s="88"/>
      <c r="J27" s="305"/>
      <c r="K27" s="81" t="b">
        <f t="shared" si="0"/>
        <v>1</v>
      </c>
    </row>
    <row r="28" spans="1:11" s="81" customFormat="1" ht="45.95" customHeight="1" collapsed="1" x14ac:dyDescent="0.2">
      <c r="A28" s="264" t="s">
        <v>453</v>
      </c>
      <c r="B28" s="285" t="s">
        <v>30</v>
      </c>
      <c r="C28" s="291" t="s">
        <v>427</v>
      </c>
      <c r="D28" s="271" t="s">
        <v>31</v>
      </c>
      <c r="E28" s="282">
        <f>'калькуляция 2024'!R28</f>
        <v>335.83</v>
      </c>
      <c r="F28" s="282">
        <f>'калькуляция 2024'!S28</f>
        <v>67.17</v>
      </c>
      <c r="G28" s="311">
        <f>E28+F28</f>
        <v>403</v>
      </c>
      <c r="H28" s="279"/>
      <c r="I28" s="275"/>
      <c r="J28" s="305">
        <v>188</v>
      </c>
      <c r="K28" s="81" t="b">
        <f t="shared" si="0"/>
        <v>0</v>
      </c>
    </row>
    <row r="29" spans="1:11" s="81" customFormat="1" ht="34.5" hidden="1" customHeight="1" outlineLevel="1" x14ac:dyDescent="0.2">
      <c r="A29" s="264"/>
      <c r="B29" s="285"/>
      <c r="C29" s="291"/>
      <c r="D29" s="271"/>
      <c r="E29" s="282"/>
      <c r="F29" s="282"/>
      <c r="G29" s="311"/>
      <c r="H29" s="279"/>
      <c r="I29" s="106"/>
      <c r="J29" s="305"/>
      <c r="K29" s="81" t="b">
        <f t="shared" si="0"/>
        <v>1</v>
      </c>
    </row>
    <row r="30" spans="1:11" s="81" customFormat="1" ht="57" customHeight="1" collapsed="1" x14ac:dyDescent="0.2">
      <c r="A30" s="276" t="s">
        <v>454</v>
      </c>
      <c r="B30" s="270" t="s">
        <v>32</v>
      </c>
      <c r="C30" s="277" t="s">
        <v>33</v>
      </c>
      <c r="D30" s="272" t="s">
        <v>608</v>
      </c>
      <c r="E30" s="278">
        <f>'калькуляция 2024'!R30</f>
        <v>406.67</v>
      </c>
      <c r="F30" s="278">
        <f>'калькуляция 2024'!S30</f>
        <v>81.33</v>
      </c>
      <c r="G30" s="300">
        <f>E30+F30</f>
        <v>488</v>
      </c>
      <c r="H30" s="296"/>
      <c r="I30" s="85"/>
      <c r="J30" s="305">
        <v>192</v>
      </c>
      <c r="K30" s="81" t="b">
        <f t="shared" si="0"/>
        <v>0</v>
      </c>
    </row>
    <row r="31" spans="1:11" s="81" customFormat="1" ht="57.75" customHeight="1" x14ac:dyDescent="0.2">
      <c r="A31" s="276" t="s">
        <v>455</v>
      </c>
      <c r="B31" s="270" t="s">
        <v>182</v>
      </c>
      <c r="C31" s="204" t="s">
        <v>599</v>
      </c>
      <c r="D31" s="96" t="s">
        <v>34</v>
      </c>
      <c r="E31" s="278">
        <f>'калькуляция 2024'!R31</f>
        <v>213.33</v>
      </c>
      <c r="F31" s="278">
        <f>'калькуляция 2024'!S31</f>
        <v>42.67</v>
      </c>
      <c r="G31" s="300">
        <f>E31+F31</f>
        <v>256</v>
      </c>
      <c r="H31" s="296"/>
      <c r="I31" s="85"/>
      <c r="J31" s="305">
        <v>119</v>
      </c>
      <c r="K31" s="81" t="b">
        <f t="shared" si="0"/>
        <v>0</v>
      </c>
    </row>
    <row r="32" spans="1:11" s="81" customFormat="1" ht="24.75" hidden="1" customHeight="1" outlineLevel="1" x14ac:dyDescent="0.2">
      <c r="A32" s="276"/>
      <c r="B32" s="270"/>
      <c r="C32" s="204"/>
      <c r="D32" s="96"/>
      <c r="E32" s="278"/>
      <c r="F32" s="278"/>
      <c r="G32" s="300"/>
      <c r="H32" s="296"/>
      <c r="I32" s="85"/>
      <c r="J32" s="305"/>
      <c r="K32" s="81" t="b">
        <f t="shared" si="0"/>
        <v>1</v>
      </c>
    </row>
    <row r="33" spans="1:11" s="81" customFormat="1" ht="18" hidden="1" customHeight="1" outlineLevel="1" x14ac:dyDescent="0.2">
      <c r="A33" s="276"/>
      <c r="B33" s="270"/>
      <c r="C33" s="204"/>
      <c r="D33" s="96"/>
      <c r="E33" s="278"/>
      <c r="F33" s="278"/>
      <c r="G33" s="300"/>
      <c r="H33" s="296"/>
      <c r="I33" s="85"/>
      <c r="J33" s="305"/>
      <c r="K33" s="81" t="b">
        <f t="shared" si="0"/>
        <v>1</v>
      </c>
    </row>
    <row r="34" spans="1:11" s="81" customFormat="1" ht="17.25" hidden="1" customHeight="1" outlineLevel="1" x14ac:dyDescent="0.2">
      <c r="A34" s="276"/>
      <c r="B34" s="270"/>
      <c r="C34" s="204"/>
      <c r="D34" s="96"/>
      <c r="E34" s="278"/>
      <c r="F34" s="278"/>
      <c r="G34" s="300"/>
      <c r="H34" s="296"/>
      <c r="I34" s="85"/>
      <c r="J34" s="305"/>
      <c r="K34" s="81" t="b">
        <f t="shared" si="0"/>
        <v>1</v>
      </c>
    </row>
    <row r="35" spans="1:11" s="81" customFormat="1" ht="56.25" customHeight="1" collapsed="1" x14ac:dyDescent="0.2">
      <c r="A35" s="276" t="s">
        <v>456</v>
      </c>
      <c r="B35" s="270" t="s">
        <v>182</v>
      </c>
      <c r="C35" s="204" t="s">
        <v>600</v>
      </c>
      <c r="D35" s="96" t="s">
        <v>34</v>
      </c>
      <c r="E35" s="278">
        <f>'калькуляция 2024'!R35</f>
        <v>295</v>
      </c>
      <c r="F35" s="278">
        <f>'калькуляция 2024'!S35</f>
        <v>59</v>
      </c>
      <c r="G35" s="300">
        <f>E35+F35</f>
        <v>354</v>
      </c>
      <c r="H35" s="296"/>
      <c r="I35" s="85"/>
      <c r="J35" s="305">
        <v>162</v>
      </c>
      <c r="K35" s="81" t="b">
        <f t="shared" si="0"/>
        <v>0</v>
      </c>
    </row>
    <row r="36" spans="1:11" s="81" customFormat="1" ht="24" hidden="1" customHeight="1" outlineLevel="1" x14ac:dyDescent="0.2">
      <c r="A36" s="264"/>
      <c r="B36" s="285"/>
      <c r="C36" s="287"/>
      <c r="D36" s="273"/>
      <c r="E36" s="295"/>
      <c r="F36" s="295"/>
      <c r="G36" s="311"/>
      <c r="H36" s="279"/>
      <c r="I36" s="85"/>
      <c r="J36" s="305"/>
      <c r="K36" s="81" t="b">
        <f t="shared" si="0"/>
        <v>1</v>
      </c>
    </row>
    <row r="37" spans="1:11" s="81" customFormat="1" ht="15.75" hidden="1" customHeight="1" outlineLevel="1" x14ac:dyDescent="0.2">
      <c r="A37" s="264"/>
      <c r="B37" s="285"/>
      <c r="C37" s="287"/>
      <c r="D37" s="273"/>
      <c r="E37" s="295"/>
      <c r="F37" s="295"/>
      <c r="G37" s="311"/>
      <c r="H37" s="279"/>
      <c r="I37" s="85"/>
      <c r="J37" s="305"/>
      <c r="K37" s="81" t="b">
        <f t="shared" si="0"/>
        <v>1</v>
      </c>
    </row>
    <row r="38" spans="1:11" s="81" customFormat="1" ht="18.95" hidden="1" customHeight="1" outlineLevel="1" x14ac:dyDescent="0.2">
      <c r="A38" s="264"/>
      <c r="B38" s="285"/>
      <c r="C38" s="287"/>
      <c r="D38" s="273"/>
      <c r="E38" s="295"/>
      <c r="F38" s="295"/>
      <c r="G38" s="311"/>
      <c r="H38" s="279"/>
      <c r="I38" s="85"/>
      <c r="J38" s="305"/>
      <c r="K38" s="81" t="b">
        <f t="shared" si="0"/>
        <v>1</v>
      </c>
    </row>
    <row r="39" spans="1:11" s="81" customFormat="1" ht="31.5" customHeight="1" collapsed="1" x14ac:dyDescent="0.2">
      <c r="A39" s="264" t="s">
        <v>457</v>
      </c>
      <c r="B39" s="932" t="s">
        <v>365</v>
      </c>
      <c r="C39" s="933"/>
      <c r="D39" s="933"/>
      <c r="E39" s="209"/>
      <c r="F39" s="209"/>
      <c r="G39" s="312"/>
      <c r="H39" s="279"/>
      <c r="I39" s="85"/>
      <c r="J39" s="305"/>
      <c r="K39" s="81" t="b">
        <f t="shared" si="0"/>
        <v>1</v>
      </c>
    </row>
    <row r="40" spans="1:11" s="81" customFormat="1" ht="23.25" customHeight="1" x14ac:dyDescent="0.2">
      <c r="A40" s="920" t="s">
        <v>363</v>
      </c>
      <c r="B40" s="801" t="s">
        <v>356</v>
      </c>
      <c r="C40" s="923" t="s">
        <v>357</v>
      </c>
      <c r="D40" s="905" t="s">
        <v>36</v>
      </c>
      <c r="E40" s="918">
        <f>'калькуляция 2024'!R40</f>
        <v>622.5</v>
      </c>
      <c r="F40" s="918">
        <f>'калькуляция 2024'!S40</f>
        <v>124.5</v>
      </c>
      <c r="G40" s="1061">
        <f t="shared" ref="G40:G41" si="4">E40+F40</f>
        <v>747</v>
      </c>
      <c r="H40" s="910"/>
      <c r="I40" s="85"/>
      <c r="J40" s="1060">
        <v>331</v>
      </c>
      <c r="K40" s="81" t="b">
        <f t="shared" si="0"/>
        <v>0</v>
      </c>
    </row>
    <row r="41" spans="1:11" s="81" customFormat="1" ht="32.25" customHeight="1" x14ac:dyDescent="0.2">
      <c r="A41" s="921"/>
      <c r="B41" s="802"/>
      <c r="C41" s="924"/>
      <c r="D41" s="909"/>
      <c r="E41" s="919">
        <f>'калькуляция 2024'!R41</f>
        <v>0</v>
      </c>
      <c r="F41" s="919">
        <f>'калькуляция 2024'!S41</f>
        <v>0</v>
      </c>
      <c r="G41" s="1062">
        <f t="shared" si="4"/>
        <v>0</v>
      </c>
      <c r="H41" s="911"/>
      <c r="I41" s="85"/>
      <c r="J41" s="1060"/>
      <c r="K41" s="81" t="b">
        <f t="shared" si="0"/>
        <v>1</v>
      </c>
    </row>
    <row r="42" spans="1:11" s="81" customFormat="1" ht="1.5" hidden="1" customHeight="1" outlineLevel="1" x14ac:dyDescent="0.2">
      <c r="A42" s="921"/>
      <c r="B42" s="286"/>
      <c r="C42" s="288"/>
      <c r="D42" s="274"/>
      <c r="E42" s="208"/>
      <c r="F42" s="208"/>
      <c r="G42" s="310"/>
      <c r="H42" s="279"/>
      <c r="I42" s="85"/>
      <c r="J42" s="305"/>
      <c r="K42" s="81" t="b">
        <f t="shared" si="0"/>
        <v>1</v>
      </c>
    </row>
    <row r="43" spans="1:11" s="81" customFormat="1" ht="24" customHeight="1" collapsed="1" x14ac:dyDescent="0.2">
      <c r="A43" s="921"/>
      <c r="B43" s="1078" t="s">
        <v>180</v>
      </c>
      <c r="C43" s="1063" t="s">
        <v>23</v>
      </c>
      <c r="D43" s="1075" t="s">
        <v>24</v>
      </c>
      <c r="E43" s="918">
        <f>'калькуляция 2024'!R43</f>
        <v>1753.33</v>
      </c>
      <c r="F43" s="918">
        <f>'калькуляция 2024'!S43</f>
        <v>350.67</v>
      </c>
      <c r="G43" s="1061">
        <f t="shared" ref="G43:G44" si="5">E43+F43</f>
        <v>2104</v>
      </c>
      <c r="H43" s="910"/>
      <c r="I43" s="85"/>
      <c r="J43" s="1060">
        <v>936</v>
      </c>
      <c r="K43" s="81" t="b">
        <f t="shared" si="0"/>
        <v>0</v>
      </c>
    </row>
    <row r="44" spans="1:11" s="81" customFormat="1" ht="36" customHeight="1" x14ac:dyDescent="0.2">
      <c r="A44" s="921"/>
      <c r="B44" s="1078"/>
      <c r="C44" s="1063"/>
      <c r="D44" s="1075"/>
      <c r="E44" s="919">
        <f>'калькуляция 2024'!R44</f>
        <v>0</v>
      </c>
      <c r="F44" s="919">
        <f>'калькуляция 2024'!S44</f>
        <v>0</v>
      </c>
      <c r="G44" s="1062">
        <f t="shared" si="5"/>
        <v>0</v>
      </c>
      <c r="H44" s="911"/>
      <c r="I44" s="85"/>
      <c r="J44" s="1060"/>
      <c r="K44" s="81" t="b">
        <f t="shared" si="0"/>
        <v>1</v>
      </c>
    </row>
    <row r="45" spans="1:11" s="81" customFormat="1" ht="16.5" hidden="1" customHeight="1" outlineLevel="1" x14ac:dyDescent="0.2">
      <c r="A45" s="921"/>
      <c r="B45" s="270"/>
      <c r="C45" s="277"/>
      <c r="D45" s="272"/>
      <c r="E45" s="283"/>
      <c r="F45" s="283"/>
      <c r="G45" s="313"/>
      <c r="H45" s="279"/>
      <c r="I45" s="85"/>
      <c r="J45" s="305"/>
      <c r="K45" s="81" t="b">
        <f t="shared" si="0"/>
        <v>1</v>
      </c>
    </row>
    <row r="46" spans="1:11" s="81" customFormat="1" ht="18.95" hidden="1" customHeight="1" outlineLevel="1" x14ac:dyDescent="0.2">
      <c r="A46" s="921"/>
      <c r="B46" s="270"/>
      <c r="C46" s="277"/>
      <c r="D46" s="272"/>
      <c r="E46" s="283"/>
      <c r="F46" s="283"/>
      <c r="G46" s="313"/>
      <c r="H46" s="279"/>
      <c r="I46" s="85"/>
      <c r="J46" s="305"/>
      <c r="K46" s="81" t="b">
        <f t="shared" si="0"/>
        <v>1</v>
      </c>
    </row>
    <row r="47" spans="1:11" s="81" customFormat="1" ht="22.7" hidden="1" customHeight="1" outlineLevel="1" x14ac:dyDescent="0.2">
      <c r="A47" s="921"/>
      <c r="B47" s="270"/>
      <c r="C47" s="277"/>
      <c r="D47" s="272"/>
      <c r="E47" s="283"/>
      <c r="F47" s="283"/>
      <c r="G47" s="313"/>
      <c r="H47" s="279"/>
      <c r="I47" s="85"/>
      <c r="J47" s="305"/>
      <c r="K47" s="81" t="b">
        <f t="shared" si="0"/>
        <v>1</v>
      </c>
    </row>
    <row r="48" spans="1:11" s="81" customFormat="1" ht="30.75" hidden="1" customHeight="1" outlineLevel="1" x14ac:dyDescent="0.2">
      <c r="A48" s="921"/>
      <c r="B48" s="270"/>
      <c r="C48" s="277"/>
      <c r="D48" s="272"/>
      <c r="E48" s="283"/>
      <c r="F48" s="283"/>
      <c r="G48" s="313"/>
      <c r="H48" s="279"/>
      <c r="I48" s="85"/>
      <c r="J48" s="305"/>
      <c r="K48" s="81" t="b">
        <f t="shared" si="0"/>
        <v>1</v>
      </c>
    </row>
    <row r="49" spans="1:11" s="81" customFormat="1" ht="24" hidden="1" customHeight="1" outlineLevel="1" x14ac:dyDescent="0.2">
      <c r="A49" s="921"/>
      <c r="B49" s="270"/>
      <c r="C49" s="277"/>
      <c r="D49" s="272"/>
      <c r="E49" s="283"/>
      <c r="F49" s="283"/>
      <c r="G49" s="313"/>
      <c r="H49" s="279"/>
      <c r="I49" s="85"/>
      <c r="J49" s="305"/>
      <c r="K49" s="81" t="b">
        <f t="shared" si="0"/>
        <v>1</v>
      </c>
    </row>
    <row r="50" spans="1:11" s="81" customFormat="1" ht="17.25" hidden="1" customHeight="1" outlineLevel="1" x14ac:dyDescent="0.2">
      <c r="A50" s="921"/>
      <c r="B50" s="270"/>
      <c r="C50" s="277"/>
      <c r="D50" s="272"/>
      <c r="E50" s="283"/>
      <c r="F50" s="283"/>
      <c r="G50" s="313"/>
      <c r="H50" s="279"/>
      <c r="I50" s="85"/>
      <c r="J50" s="305"/>
      <c r="K50" s="81" t="b">
        <f t="shared" si="0"/>
        <v>1</v>
      </c>
    </row>
    <row r="51" spans="1:11" s="81" customFormat="1" ht="16.5" hidden="1" customHeight="1" outlineLevel="1" x14ac:dyDescent="0.2">
      <c r="A51" s="921"/>
      <c r="B51" s="270"/>
      <c r="C51" s="277"/>
      <c r="D51" s="272"/>
      <c r="E51" s="283"/>
      <c r="F51" s="283"/>
      <c r="G51" s="313"/>
      <c r="H51" s="279"/>
      <c r="I51" s="85"/>
      <c r="J51" s="305"/>
      <c r="K51" s="81" t="b">
        <f t="shared" si="0"/>
        <v>1</v>
      </c>
    </row>
    <row r="52" spans="1:11" s="81" customFormat="1" ht="60.75" customHeight="1" collapsed="1" x14ac:dyDescent="0.2">
      <c r="A52" s="922"/>
      <c r="B52" s="270" t="s">
        <v>182</v>
      </c>
      <c r="C52" s="204" t="s">
        <v>599</v>
      </c>
      <c r="D52" s="96" t="s">
        <v>34</v>
      </c>
      <c r="E52" s="278">
        <f>'калькуляция 2024'!R52</f>
        <v>213.33</v>
      </c>
      <c r="F52" s="278">
        <f>'калькуляция 2024'!S52</f>
        <v>42.67</v>
      </c>
      <c r="G52" s="300">
        <f>E52+F52</f>
        <v>256</v>
      </c>
      <c r="H52" s="279"/>
      <c r="I52" s="85"/>
      <c r="J52" s="305">
        <v>119</v>
      </c>
      <c r="K52" s="81" t="b">
        <f t="shared" si="0"/>
        <v>0</v>
      </c>
    </row>
    <row r="53" spans="1:11" s="81" customFormat="1" ht="30.75" customHeight="1" x14ac:dyDescent="0.2">
      <c r="A53" s="1069" t="s">
        <v>596</v>
      </c>
      <c r="B53" s="1070"/>
      <c r="C53" s="1070"/>
      <c r="D53" s="1070"/>
      <c r="E53" s="210"/>
      <c r="F53" s="210"/>
      <c r="G53" s="314"/>
      <c r="H53" s="279"/>
      <c r="I53" s="85"/>
      <c r="J53" s="305"/>
      <c r="K53" s="81" t="b">
        <f t="shared" si="0"/>
        <v>1</v>
      </c>
    </row>
    <row r="54" spans="1:11" s="81" customFormat="1" ht="30" customHeight="1" x14ac:dyDescent="0.2">
      <c r="A54" s="1071"/>
      <c r="B54" s="1072"/>
      <c r="C54" s="1072"/>
      <c r="D54" s="1072"/>
      <c r="E54" s="211"/>
      <c r="F54" s="211"/>
      <c r="G54" s="315"/>
      <c r="H54" s="279"/>
      <c r="I54" s="85"/>
      <c r="J54" s="305"/>
      <c r="K54" s="81" t="b">
        <f t="shared" si="0"/>
        <v>1</v>
      </c>
    </row>
    <row r="55" spans="1:11" s="81" customFormat="1" ht="30.75" customHeight="1" x14ac:dyDescent="0.2">
      <c r="A55" s="1073"/>
      <c r="B55" s="1074"/>
      <c r="C55" s="1074"/>
      <c r="D55" s="1074"/>
      <c r="E55" s="212"/>
      <c r="F55" s="212"/>
      <c r="G55" s="316"/>
      <c r="H55" s="279"/>
      <c r="I55" s="85"/>
      <c r="J55" s="305"/>
      <c r="K55" s="81" t="b">
        <f t="shared" si="0"/>
        <v>1</v>
      </c>
    </row>
    <row r="56" spans="1:11" s="81" customFormat="1" ht="42.75" customHeight="1" x14ac:dyDescent="0.2">
      <c r="A56" s="264" t="s">
        <v>458</v>
      </c>
      <c r="B56" s="270" t="s">
        <v>35</v>
      </c>
      <c r="C56" s="277" t="s">
        <v>171</v>
      </c>
      <c r="D56" s="272" t="s">
        <v>36</v>
      </c>
      <c r="E56" s="282">
        <f>'калькуляция 2024'!R56</f>
        <v>1031.67</v>
      </c>
      <c r="F56" s="282">
        <f>'калькуляция 2024'!S56</f>
        <v>206.33</v>
      </c>
      <c r="G56" s="311">
        <f>E56+F56</f>
        <v>1238</v>
      </c>
      <c r="H56" s="279"/>
      <c r="I56" s="275"/>
      <c r="J56" s="305">
        <v>551</v>
      </c>
      <c r="K56" s="81" t="b">
        <f t="shared" si="0"/>
        <v>0</v>
      </c>
    </row>
    <row r="57" spans="1:11" s="81" customFormat="1" ht="27" hidden="1" customHeight="1" outlineLevel="1" x14ac:dyDescent="0.2">
      <c r="A57" s="264"/>
      <c r="B57" s="286"/>
      <c r="C57" s="292"/>
      <c r="D57" s="293"/>
      <c r="E57" s="282"/>
      <c r="F57" s="282"/>
      <c r="G57" s="311"/>
      <c r="H57" s="279"/>
      <c r="I57" s="106"/>
      <c r="J57" s="305"/>
      <c r="K57" s="81" t="b">
        <f t="shared" si="0"/>
        <v>1</v>
      </c>
    </row>
    <row r="58" spans="1:11" s="81" customFormat="1" ht="78" customHeight="1" collapsed="1" x14ac:dyDescent="0.2">
      <c r="A58" s="276" t="s">
        <v>459</v>
      </c>
      <c r="B58" s="286" t="s">
        <v>183</v>
      </c>
      <c r="C58" s="292" t="s">
        <v>601</v>
      </c>
      <c r="D58" s="293" t="s">
        <v>20</v>
      </c>
      <c r="E58" s="278">
        <f>'калькуляция 2024'!R58</f>
        <v>1236.67</v>
      </c>
      <c r="F58" s="278">
        <f>'калькуляция 2024'!S58</f>
        <v>247.33</v>
      </c>
      <c r="G58" s="300">
        <f>E58+F58</f>
        <v>1484</v>
      </c>
      <c r="H58" s="296"/>
      <c r="I58" s="85"/>
      <c r="J58" s="305">
        <v>503</v>
      </c>
      <c r="K58" s="81" t="b">
        <f t="shared" si="0"/>
        <v>0</v>
      </c>
    </row>
    <row r="59" spans="1:11" s="81" customFormat="1" ht="73.5" customHeight="1" x14ac:dyDescent="0.2">
      <c r="A59" s="276" t="s">
        <v>460</v>
      </c>
      <c r="B59" s="286" t="s">
        <v>183</v>
      </c>
      <c r="C59" s="292" t="s">
        <v>602</v>
      </c>
      <c r="D59" s="293" t="s">
        <v>20</v>
      </c>
      <c r="E59" s="278">
        <f>'калькуляция 2024'!R59</f>
        <v>1854.17</v>
      </c>
      <c r="F59" s="278">
        <f>'калькуляция 2024'!S59</f>
        <v>370.83</v>
      </c>
      <c r="G59" s="300">
        <f>E59+F59</f>
        <v>2225</v>
      </c>
      <c r="H59" s="296"/>
      <c r="I59" s="85"/>
      <c r="J59" s="305">
        <v>754</v>
      </c>
      <c r="K59" s="81" t="b">
        <f t="shared" si="0"/>
        <v>0</v>
      </c>
    </row>
    <row r="60" spans="1:11" s="83" customFormat="1" ht="42" customHeight="1" x14ac:dyDescent="0.25">
      <c r="A60" s="968" t="s">
        <v>353</v>
      </c>
      <c r="B60" s="969"/>
      <c r="C60" s="969"/>
      <c r="D60" s="969"/>
      <c r="E60" s="969"/>
      <c r="F60" s="969"/>
      <c r="G60" s="970"/>
      <c r="H60" s="82"/>
      <c r="I60" s="82"/>
      <c r="J60" s="305"/>
      <c r="K60" s="81" t="b">
        <f t="shared" si="0"/>
        <v>1</v>
      </c>
    </row>
    <row r="61" spans="1:11" ht="37.5" customHeight="1" x14ac:dyDescent="0.25">
      <c r="A61" s="276" t="s">
        <v>461</v>
      </c>
      <c r="B61" s="270" t="s">
        <v>38</v>
      </c>
      <c r="C61" s="277" t="s">
        <v>370</v>
      </c>
      <c r="D61" s="272" t="s">
        <v>39</v>
      </c>
      <c r="E61" s="278">
        <f>'калькуляция 2024'!R61</f>
        <v>3824.17</v>
      </c>
      <c r="F61" s="278">
        <f>'калькуляция 2024'!S61</f>
        <v>764.83</v>
      </c>
      <c r="G61" s="300">
        <f>E61+F61</f>
        <v>4589</v>
      </c>
      <c r="H61" s="290"/>
      <c r="I61" s="80"/>
      <c r="J61" s="305">
        <v>1806</v>
      </c>
      <c r="K61" s="81" t="b">
        <f t="shared" si="0"/>
        <v>0</v>
      </c>
    </row>
    <row r="62" spans="1:11" ht="36.950000000000003" customHeight="1" x14ac:dyDescent="0.25">
      <c r="A62" s="276" t="s">
        <v>462</v>
      </c>
      <c r="B62" s="270" t="s">
        <v>35</v>
      </c>
      <c r="C62" s="277" t="s">
        <v>175</v>
      </c>
      <c r="D62" s="272" t="s">
        <v>39</v>
      </c>
      <c r="E62" s="278">
        <f>'калькуляция 2024'!R62</f>
        <v>879.17</v>
      </c>
      <c r="F62" s="278">
        <f>'калькуляция 2024'!S62</f>
        <v>175.83</v>
      </c>
      <c r="G62" s="300">
        <f>E62+F62</f>
        <v>1055</v>
      </c>
      <c r="H62" s="290"/>
      <c r="I62" s="80"/>
      <c r="J62" s="305">
        <v>492</v>
      </c>
      <c r="K62" s="81" t="b">
        <f t="shared" si="0"/>
        <v>0</v>
      </c>
    </row>
    <row r="63" spans="1:11" ht="18.95" hidden="1" customHeight="1" outlineLevel="1" x14ac:dyDescent="0.25">
      <c r="A63" s="276"/>
      <c r="B63" s="270"/>
      <c r="C63" s="277"/>
      <c r="D63" s="272"/>
      <c r="E63" s="278"/>
      <c r="F63" s="278"/>
      <c r="G63" s="300"/>
      <c r="H63" s="290"/>
      <c r="I63" s="80"/>
      <c r="J63" s="305"/>
      <c r="K63" s="81" t="b">
        <f t="shared" si="0"/>
        <v>1</v>
      </c>
    </row>
    <row r="64" spans="1:11" ht="18.95" hidden="1" customHeight="1" outlineLevel="1" x14ac:dyDescent="0.25">
      <c r="A64" s="276"/>
      <c r="B64" s="270"/>
      <c r="C64" s="277"/>
      <c r="D64" s="272"/>
      <c r="E64" s="278"/>
      <c r="F64" s="278"/>
      <c r="G64" s="300"/>
      <c r="H64" s="290"/>
      <c r="I64" s="80"/>
      <c r="J64" s="305"/>
      <c r="K64" s="81" t="b">
        <f t="shared" si="0"/>
        <v>1</v>
      </c>
    </row>
    <row r="65" spans="1:11" ht="55.5" customHeight="1" collapsed="1" x14ac:dyDescent="0.25">
      <c r="A65" s="276" t="s">
        <v>463</v>
      </c>
      <c r="B65" s="270" t="s">
        <v>349</v>
      </c>
      <c r="C65" s="277" t="s">
        <v>374</v>
      </c>
      <c r="D65" s="272" t="s">
        <v>350</v>
      </c>
      <c r="E65" s="278">
        <f>'калькуляция 2024'!R65</f>
        <v>589.16999999999996</v>
      </c>
      <c r="F65" s="278">
        <f>'калькуляция 2024'!S65</f>
        <v>117.83</v>
      </c>
      <c r="G65" s="300">
        <f>E65+F65</f>
        <v>707</v>
      </c>
      <c r="H65" s="290"/>
      <c r="I65" s="80"/>
      <c r="J65" s="305">
        <v>314</v>
      </c>
      <c r="K65" s="81" t="b">
        <f t="shared" si="0"/>
        <v>0</v>
      </c>
    </row>
    <row r="66" spans="1:11" ht="52.5" customHeight="1" x14ac:dyDescent="0.25">
      <c r="A66" s="276" t="s">
        <v>464</v>
      </c>
      <c r="B66" s="270" t="s">
        <v>349</v>
      </c>
      <c r="C66" s="277" t="s">
        <v>375</v>
      </c>
      <c r="D66" s="272" t="s">
        <v>350</v>
      </c>
      <c r="E66" s="278">
        <f>'калькуляция 2024'!R66</f>
        <v>1177.5</v>
      </c>
      <c r="F66" s="278">
        <f>'калькуляция 2024'!S66</f>
        <v>235.5</v>
      </c>
      <c r="G66" s="300">
        <f>E66+F66</f>
        <v>1413</v>
      </c>
      <c r="H66" s="290"/>
      <c r="I66" s="80"/>
      <c r="J66" s="305">
        <v>629</v>
      </c>
      <c r="K66" s="81" t="b">
        <f t="shared" si="0"/>
        <v>0</v>
      </c>
    </row>
    <row r="67" spans="1:11" ht="48" customHeight="1" x14ac:dyDescent="0.25">
      <c r="A67" s="276" t="s">
        <v>465</v>
      </c>
      <c r="B67" s="270" t="s">
        <v>351</v>
      </c>
      <c r="C67" s="277" t="s">
        <v>376</v>
      </c>
      <c r="D67" s="272" t="s">
        <v>350</v>
      </c>
      <c r="E67" s="278">
        <f>'калькуляция 2024'!R67</f>
        <v>2252.5</v>
      </c>
      <c r="F67" s="278">
        <f>'калькуляция 2024'!S67</f>
        <v>450.5</v>
      </c>
      <c r="G67" s="300">
        <f>E67+F67</f>
        <v>2703</v>
      </c>
      <c r="H67" s="290"/>
      <c r="I67" s="80"/>
      <c r="J67" s="305">
        <v>1204</v>
      </c>
      <c r="K67" s="81" t="b">
        <f t="shared" si="0"/>
        <v>0</v>
      </c>
    </row>
    <row r="68" spans="1:11" ht="53.25" customHeight="1" x14ac:dyDescent="0.25">
      <c r="A68" s="276" t="s">
        <v>466</v>
      </c>
      <c r="B68" s="270" t="s">
        <v>351</v>
      </c>
      <c r="C68" s="277" t="s">
        <v>607</v>
      </c>
      <c r="D68" s="272" t="s">
        <v>350</v>
      </c>
      <c r="E68" s="278">
        <f>'калькуляция 2024'!R68</f>
        <v>2842.5</v>
      </c>
      <c r="F68" s="278">
        <f>'калькуляция 2024'!S68</f>
        <v>568.5</v>
      </c>
      <c r="G68" s="300">
        <f>E68+F68</f>
        <v>3411</v>
      </c>
      <c r="H68" s="290"/>
      <c r="I68" s="80"/>
      <c r="J68" s="305">
        <v>1518</v>
      </c>
      <c r="K68" s="81" t="b">
        <f t="shared" si="0"/>
        <v>0</v>
      </c>
    </row>
    <row r="69" spans="1:11" ht="43.5" customHeight="1" x14ac:dyDescent="0.25">
      <c r="A69" s="276" t="s">
        <v>467</v>
      </c>
      <c r="B69" s="270" t="s">
        <v>35</v>
      </c>
      <c r="C69" s="277" t="s">
        <v>389</v>
      </c>
      <c r="D69" s="272" t="s">
        <v>350</v>
      </c>
      <c r="E69" s="278">
        <f>'калькуляция 2024'!R69</f>
        <v>698.33</v>
      </c>
      <c r="F69" s="278">
        <f>'калькуляция 2024'!S69</f>
        <v>139.66999999999999</v>
      </c>
      <c r="G69" s="300">
        <f>E69+F69</f>
        <v>838</v>
      </c>
      <c r="H69" s="290"/>
      <c r="I69" s="917"/>
      <c r="J69" s="305">
        <v>420</v>
      </c>
      <c r="K69" s="81" t="b">
        <f t="shared" si="0"/>
        <v>0</v>
      </c>
    </row>
    <row r="70" spans="1:11" ht="15.75" hidden="1" customHeight="1" outlineLevel="1" x14ac:dyDescent="0.25">
      <c r="A70" s="264"/>
      <c r="B70" s="285"/>
      <c r="C70" s="291"/>
      <c r="D70" s="271"/>
      <c r="E70" s="278"/>
      <c r="F70" s="278"/>
      <c r="G70" s="300"/>
      <c r="H70" s="290"/>
      <c r="I70" s="917"/>
      <c r="J70" s="305"/>
      <c r="K70" s="81" t="b">
        <f t="shared" si="0"/>
        <v>1</v>
      </c>
    </row>
    <row r="71" spans="1:11" ht="15.75" hidden="1" customHeight="1" outlineLevel="1" x14ac:dyDescent="0.25">
      <c r="A71" s="264"/>
      <c r="B71" s="285"/>
      <c r="C71" s="291"/>
      <c r="D71" s="271"/>
      <c r="E71" s="282"/>
      <c r="F71" s="282"/>
      <c r="G71" s="311"/>
      <c r="H71" s="289"/>
      <c r="I71" s="80"/>
      <c r="J71" s="305"/>
      <c r="K71" s="81" t="b">
        <f t="shared" si="0"/>
        <v>1</v>
      </c>
    </row>
    <row r="72" spans="1:11" ht="15.75" hidden="1" customHeight="1" outlineLevel="1" x14ac:dyDescent="0.25">
      <c r="A72" s="264"/>
      <c r="B72" s="285"/>
      <c r="C72" s="291"/>
      <c r="D72" s="271"/>
      <c r="E72" s="282"/>
      <c r="F72" s="282"/>
      <c r="G72" s="311"/>
      <c r="H72" s="289"/>
      <c r="I72" s="80"/>
      <c r="J72" s="305"/>
      <c r="K72" s="81" t="b">
        <f t="shared" si="0"/>
        <v>1</v>
      </c>
    </row>
    <row r="73" spans="1:11" ht="15.75" hidden="1" customHeight="1" outlineLevel="1" x14ac:dyDescent="0.25">
      <c r="A73" s="264"/>
      <c r="B73" s="285"/>
      <c r="C73" s="291"/>
      <c r="D73" s="271"/>
      <c r="E73" s="282"/>
      <c r="F73" s="282"/>
      <c r="G73" s="311"/>
      <c r="H73" s="289"/>
      <c r="I73" s="80"/>
      <c r="J73" s="305"/>
      <c r="K73" s="81" t="b">
        <f t="shared" ref="K73:K136" si="6">G73=J73</f>
        <v>1</v>
      </c>
    </row>
    <row r="74" spans="1:11" ht="19.5" customHeight="1" collapsed="1" x14ac:dyDescent="0.25">
      <c r="A74" s="920" t="s">
        <v>468</v>
      </c>
      <c r="B74" s="801" t="s">
        <v>35</v>
      </c>
      <c r="C74" s="953" t="s">
        <v>391</v>
      </c>
      <c r="D74" s="956" t="s">
        <v>350</v>
      </c>
      <c r="E74" s="918">
        <f>'калькуляция 2024'!R74</f>
        <v>1631.67</v>
      </c>
      <c r="F74" s="918">
        <f>'калькуляция 2024'!S74</f>
        <v>326.33</v>
      </c>
      <c r="G74" s="1061">
        <f t="shared" ref="G74:G75" si="7">E74+F74</f>
        <v>1958</v>
      </c>
      <c r="H74" s="925"/>
      <c r="I74" s="917"/>
      <c r="J74" s="305">
        <v>860</v>
      </c>
      <c r="K74" s="81" t="b">
        <f t="shared" si="6"/>
        <v>0</v>
      </c>
    </row>
    <row r="75" spans="1:11" ht="37.5" customHeight="1" x14ac:dyDescent="0.25">
      <c r="A75" s="922"/>
      <c r="B75" s="802"/>
      <c r="C75" s="954"/>
      <c r="D75" s="957"/>
      <c r="E75" s="919">
        <f>'калькуляция 2024'!R75</f>
        <v>0</v>
      </c>
      <c r="F75" s="919">
        <f>'калькуляция 2024'!S75</f>
        <v>0</v>
      </c>
      <c r="G75" s="1062">
        <f t="shared" si="7"/>
        <v>0</v>
      </c>
      <c r="H75" s="926"/>
      <c r="I75" s="917"/>
      <c r="J75" s="305"/>
      <c r="K75" s="81" t="b">
        <f t="shared" si="6"/>
        <v>1</v>
      </c>
    </row>
    <row r="76" spans="1:11" ht="15.75" hidden="1" customHeight="1" outlineLevel="1" x14ac:dyDescent="0.25">
      <c r="A76" s="265"/>
      <c r="B76" s="286"/>
      <c r="C76" s="292"/>
      <c r="D76" s="293"/>
      <c r="E76" s="278"/>
      <c r="F76" s="278"/>
      <c r="G76" s="300"/>
      <c r="H76" s="290"/>
      <c r="I76" s="79"/>
      <c r="J76" s="305"/>
      <c r="K76" s="81" t="b">
        <f t="shared" si="6"/>
        <v>1</v>
      </c>
    </row>
    <row r="77" spans="1:11" ht="18" hidden="1" customHeight="1" outlineLevel="1" x14ac:dyDescent="0.25">
      <c r="A77" s="265"/>
      <c r="B77" s="286"/>
      <c r="C77" s="292"/>
      <c r="D77" s="293"/>
      <c r="E77" s="278"/>
      <c r="F77" s="278"/>
      <c r="G77" s="300"/>
      <c r="H77" s="290"/>
      <c r="I77" s="79"/>
      <c r="J77" s="305"/>
      <c r="K77" s="81" t="b">
        <f t="shared" si="6"/>
        <v>1</v>
      </c>
    </row>
    <row r="78" spans="1:11" ht="15.75" hidden="1" customHeight="1" outlineLevel="1" x14ac:dyDescent="0.25">
      <c r="A78" s="265"/>
      <c r="B78" s="286"/>
      <c r="C78" s="292"/>
      <c r="D78" s="293"/>
      <c r="E78" s="278"/>
      <c r="F78" s="278"/>
      <c r="G78" s="300"/>
      <c r="H78" s="290"/>
      <c r="I78" s="79"/>
      <c r="J78" s="305"/>
      <c r="K78" s="81" t="b">
        <f t="shared" si="6"/>
        <v>1</v>
      </c>
    </row>
    <row r="79" spans="1:11" ht="15.75" hidden="1" customHeight="1" outlineLevel="1" x14ac:dyDescent="0.25">
      <c r="A79" s="265"/>
      <c r="B79" s="286"/>
      <c r="C79" s="292"/>
      <c r="D79" s="293"/>
      <c r="E79" s="278"/>
      <c r="F79" s="278"/>
      <c r="G79" s="300"/>
      <c r="H79" s="290"/>
      <c r="I79" s="79"/>
      <c r="J79" s="305"/>
      <c r="K79" s="81" t="b">
        <f t="shared" si="6"/>
        <v>1</v>
      </c>
    </row>
    <row r="80" spans="1:11" ht="15.75" hidden="1" customHeight="1" outlineLevel="1" x14ac:dyDescent="0.25">
      <c r="A80" s="265"/>
      <c r="B80" s="286"/>
      <c r="C80" s="292"/>
      <c r="D80" s="293"/>
      <c r="E80" s="278"/>
      <c r="F80" s="278"/>
      <c r="G80" s="300"/>
      <c r="H80" s="290"/>
      <c r="I80" s="79"/>
      <c r="J80" s="305"/>
      <c r="K80" s="81" t="b">
        <f t="shared" si="6"/>
        <v>1</v>
      </c>
    </row>
    <row r="81" spans="1:11" ht="15.75" hidden="1" customHeight="1" outlineLevel="1" x14ac:dyDescent="0.25">
      <c r="A81" s="265"/>
      <c r="B81" s="286"/>
      <c r="C81" s="292"/>
      <c r="D81" s="293"/>
      <c r="E81" s="278"/>
      <c r="F81" s="278"/>
      <c r="G81" s="300"/>
      <c r="H81" s="290"/>
      <c r="I81" s="79"/>
      <c r="J81" s="305"/>
      <c r="K81" s="81" t="b">
        <f t="shared" si="6"/>
        <v>1</v>
      </c>
    </row>
    <row r="82" spans="1:11" ht="15.75" hidden="1" customHeight="1" outlineLevel="1" x14ac:dyDescent="0.25">
      <c r="A82" s="265"/>
      <c r="B82" s="286"/>
      <c r="C82" s="292"/>
      <c r="D82" s="293"/>
      <c r="E82" s="278"/>
      <c r="F82" s="278"/>
      <c r="G82" s="300"/>
      <c r="H82" s="290"/>
      <c r="I82" s="79"/>
      <c r="J82" s="305"/>
      <c r="K82" s="81" t="b">
        <f t="shared" si="6"/>
        <v>1</v>
      </c>
    </row>
    <row r="83" spans="1:11" ht="15.75" hidden="1" customHeight="1" outlineLevel="1" x14ac:dyDescent="0.25">
      <c r="A83" s="265"/>
      <c r="B83" s="286"/>
      <c r="C83" s="292"/>
      <c r="D83" s="293"/>
      <c r="E83" s="278"/>
      <c r="F83" s="278"/>
      <c r="G83" s="300"/>
      <c r="H83" s="290"/>
      <c r="I83" s="79"/>
      <c r="J83" s="305"/>
      <c r="K83" s="81" t="b">
        <f t="shared" si="6"/>
        <v>1</v>
      </c>
    </row>
    <row r="84" spans="1:11" ht="41.25" customHeight="1" collapsed="1" x14ac:dyDescent="0.25">
      <c r="A84" s="276" t="s">
        <v>469</v>
      </c>
      <c r="B84" s="270" t="s">
        <v>35</v>
      </c>
      <c r="C84" s="277" t="s">
        <v>392</v>
      </c>
      <c r="D84" s="272" t="s">
        <v>350</v>
      </c>
      <c r="E84" s="278">
        <f>'калькуляция 2024'!R84</f>
        <v>834.17</v>
      </c>
      <c r="F84" s="278">
        <f>'калькуляция 2024'!S84</f>
        <v>166.83</v>
      </c>
      <c r="G84" s="300">
        <f>E84+F84</f>
        <v>1001</v>
      </c>
      <c r="H84" s="290"/>
      <c r="I84" s="917"/>
      <c r="J84" s="305">
        <v>502</v>
      </c>
      <c r="K84" s="81" t="b">
        <f t="shared" si="6"/>
        <v>0</v>
      </c>
    </row>
    <row r="85" spans="1:11" ht="15.75" hidden="1" customHeight="1" outlineLevel="1" x14ac:dyDescent="0.25">
      <c r="A85" s="276"/>
      <c r="B85" s="270"/>
      <c r="C85" s="277"/>
      <c r="D85" s="272"/>
      <c r="E85" s="278"/>
      <c r="F85" s="278"/>
      <c r="G85" s="300"/>
      <c r="H85" s="290"/>
      <c r="I85" s="917"/>
      <c r="J85" s="305"/>
      <c r="K85" s="81" t="b">
        <f t="shared" si="6"/>
        <v>1</v>
      </c>
    </row>
    <row r="86" spans="1:11" ht="15.75" hidden="1" customHeight="1" outlineLevel="1" x14ac:dyDescent="0.25">
      <c r="A86" s="276"/>
      <c r="B86" s="270"/>
      <c r="C86" s="277"/>
      <c r="D86" s="272"/>
      <c r="E86" s="282"/>
      <c r="F86" s="282"/>
      <c r="G86" s="311"/>
      <c r="H86" s="290"/>
      <c r="I86" s="281"/>
      <c r="J86" s="305"/>
      <c r="K86" s="81" t="b">
        <f t="shared" si="6"/>
        <v>1</v>
      </c>
    </row>
    <row r="87" spans="1:11" ht="15.75" hidden="1" customHeight="1" outlineLevel="1" x14ac:dyDescent="0.25">
      <c r="A87" s="276"/>
      <c r="B87" s="270"/>
      <c r="C87" s="277"/>
      <c r="D87" s="272"/>
      <c r="E87" s="282"/>
      <c r="F87" s="282"/>
      <c r="G87" s="311"/>
      <c r="H87" s="290"/>
      <c r="I87" s="281"/>
      <c r="J87" s="305"/>
      <c r="K87" s="81" t="b">
        <f t="shared" si="6"/>
        <v>1</v>
      </c>
    </row>
    <row r="88" spans="1:11" ht="15.75" hidden="1" customHeight="1" outlineLevel="1" x14ac:dyDescent="0.25">
      <c r="A88" s="276"/>
      <c r="B88" s="270"/>
      <c r="C88" s="277"/>
      <c r="D88" s="272"/>
      <c r="E88" s="282"/>
      <c r="F88" s="282"/>
      <c r="G88" s="311"/>
      <c r="H88" s="290"/>
      <c r="I88" s="281"/>
      <c r="J88" s="305"/>
      <c r="K88" s="81" t="b">
        <f t="shared" si="6"/>
        <v>1</v>
      </c>
    </row>
    <row r="89" spans="1:11" ht="15" collapsed="1" x14ac:dyDescent="0.25">
      <c r="A89" s="904" t="s">
        <v>470</v>
      </c>
      <c r="B89" s="1078" t="s">
        <v>35</v>
      </c>
      <c r="C89" s="1063" t="s">
        <v>393</v>
      </c>
      <c r="D89" s="1075" t="s">
        <v>350</v>
      </c>
      <c r="E89" s="918">
        <f>'калькуляция 2024'!R89</f>
        <v>1788.33</v>
      </c>
      <c r="F89" s="918">
        <f>'калькуляция 2024'!S89</f>
        <v>357.67</v>
      </c>
      <c r="G89" s="1061">
        <f t="shared" ref="G89:G90" si="8">E89+F89</f>
        <v>2146</v>
      </c>
      <c r="H89" s="927"/>
      <c r="I89" s="917"/>
      <c r="J89" s="1060">
        <v>943</v>
      </c>
      <c r="K89" s="81" t="b">
        <f t="shared" si="6"/>
        <v>0</v>
      </c>
    </row>
    <row r="90" spans="1:11" ht="22.7" customHeight="1" x14ac:dyDescent="0.25">
      <c r="A90" s="904"/>
      <c r="B90" s="1078"/>
      <c r="C90" s="1063"/>
      <c r="D90" s="1075"/>
      <c r="E90" s="919">
        <f>'калькуляция 2024'!R90</f>
        <v>0</v>
      </c>
      <c r="F90" s="919">
        <f>'калькуляция 2024'!S90</f>
        <v>0</v>
      </c>
      <c r="G90" s="1062">
        <f t="shared" si="8"/>
        <v>0</v>
      </c>
      <c r="H90" s="927"/>
      <c r="I90" s="917"/>
      <c r="J90" s="1060"/>
      <c r="K90" s="81" t="b">
        <f t="shared" si="6"/>
        <v>1</v>
      </c>
    </row>
    <row r="91" spans="1:11" ht="15.75" hidden="1" customHeight="1" outlineLevel="1" x14ac:dyDescent="0.25">
      <c r="A91" s="276"/>
      <c r="B91" s="270"/>
      <c r="C91" s="277"/>
      <c r="D91" s="272"/>
      <c r="E91" s="278"/>
      <c r="F91" s="278"/>
      <c r="G91" s="300"/>
      <c r="H91" s="290"/>
      <c r="I91" s="79"/>
      <c r="J91" s="305"/>
      <c r="K91" s="81" t="b">
        <f t="shared" si="6"/>
        <v>1</v>
      </c>
    </row>
    <row r="92" spans="1:11" ht="15.75" hidden="1" customHeight="1" outlineLevel="1" x14ac:dyDescent="0.25">
      <c r="A92" s="276"/>
      <c r="B92" s="270"/>
      <c r="C92" s="277"/>
      <c r="D92" s="272"/>
      <c r="E92" s="278"/>
      <c r="F92" s="278"/>
      <c r="G92" s="300"/>
      <c r="H92" s="290"/>
      <c r="I92" s="79"/>
      <c r="J92" s="305"/>
      <c r="K92" s="81" t="b">
        <f t="shared" si="6"/>
        <v>1</v>
      </c>
    </row>
    <row r="93" spans="1:11" ht="15.75" hidden="1" customHeight="1" outlineLevel="1" x14ac:dyDescent="0.25">
      <c r="A93" s="276"/>
      <c r="B93" s="270"/>
      <c r="C93" s="277"/>
      <c r="D93" s="272"/>
      <c r="E93" s="278"/>
      <c r="F93" s="278"/>
      <c r="G93" s="300"/>
      <c r="H93" s="290"/>
      <c r="I93" s="79"/>
      <c r="J93" s="305"/>
      <c r="K93" s="81" t="b">
        <f t="shared" si="6"/>
        <v>1</v>
      </c>
    </row>
    <row r="94" spans="1:11" ht="15.75" hidden="1" customHeight="1" outlineLevel="1" x14ac:dyDescent="0.25">
      <c r="A94" s="276"/>
      <c r="B94" s="270"/>
      <c r="C94" s="277"/>
      <c r="D94" s="272"/>
      <c r="E94" s="278"/>
      <c r="F94" s="278"/>
      <c r="G94" s="300"/>
      <c r="H94" s="290"/>
      <c r="I94" s="79"/>
      <c r="J94" s="305"/>
      <c r="K94" s="81" t="b">
        <f t="shared" si="6"/>
        <v>1</v>
      </c>
    </row>
    <row r="95" spans="1:11" ht="15.75" hidden="1" customHeight="1" outlineLevel="1" x14ac:dyDescent="0.25">
      <c r="A95" s="276"/>
      <c r="B95" s="270"/>
      <c r="C95" s="277"/>
      <c r="D95" s="272"/>
      <c r="E95" s="278"/>
      <c r="F95" s="278"/>
      <c r="G95" s="300"/>
      <c r="H95" s="290"/>
      <c r="I95" s="79"/>
      <c r="J95" s="305"/>
      <c r="K95" s="81" t="b">
        <f t="shared" si="6"/>
        <v>1</v>
      </c>
    </row>
    <row r="96" spans="1:11" ht="15.75" hidden="1" customHeight="1" outlineLevel="1" x14ac:dyDescent="0.25">
      <c r="A96" s="276"/>
      <c r="B96" s="270"/>
      <c r="C96" s="277"/>
      <c r="D96" s="272"/>
      <c r="E96" s="278"/>
      <c r="F96" s="278"/>
      <c r="G96" s="300"/>
      <c r="H96" s="290"/>
      <c r="I96" s="79"/>
      <c r="J96" s="305"/>
      <c r="K96" s="81" t="b">
        <f t="shared" si="6"/>
        <v>1</v>
      </c>
    </row>
    <row r="97" spans="1:11" ht="15.75" hidden="1" customHeight="1" outlineLevel="1" x14ac:dyDescent="0.25">
      <c r="A97" s="276"/>
      <c r="B97" s="270"/>
      <c r="C97" s="277"/>
      <c r="D97" s="272"/>
      <c r="E97" s="278"/>
      <c r="F97" s="278"/>
      <c r="G97" s="300"/>
      <c r="H97" s="290"/>
      <c r="I97" s="79"/>
      <c r="J97" s="305"/>
      <c r="K97" s="81" t="b">
        <f t="shared" si="6"/>
        <v>1</v>
      </c>
    </row>
    <row r="98" spans="1:11" ht="15.75" hidden="1" customHeight="1" outlineLevel="1" x14ac:dyDescent="0.25">
      <c r="A98" s="276"/>
      <c r="B98" s="270"/>
      <c r="C98" s="277"/>
      <c r="D98" s="272"/>
      <c r="E98" s="278"/>
      <c r="F98" s="278"/>
      <c r="G98" s="300"/>
      <c r="H98" s="290"/>
      <c r="I98" s="79"/>
      <c r="J98" s="305"/>
      <c r="K98" s="81" t="b">
        <f t="shared" si="6"/>
        <v>1</v>
      </c>
    </row>
    <row r="99" spans="1:11" ht="40.700000000000003" customHeight="1" collapsed="1" x14ac:dyDescent="0.25">
      <c r="A99" s="276" t="s">
        <v>471</v>
      </c>
      <c r="B99" s="270" t="s">
        <v>354</v>
      </c>
      <c r="C99" s="277" t="s">
        <v>355</v>
      </c>
      <c r="D99" s="272" t="s">
        <v>20</v>
      </c>
      <c r="E99" s="278">
        <f>'калькуляция 2024'!R99</f>
        <v>1169.17</v>
      </c>
      <c r="F99" s="278">
        <f>'калькуляция 2024'!S99</f>
        <v>233.83</v>
      </c>
      <c r="G99" s="300">
        <f>E99+F99</f>
        <v>1403</v>
      </c>
      <c r="H99" s="290"/>
      <c r="I99" s="281"/>
      <c r="J99" s="305">
        <v>625</v>
      </c>
      <c r="K99" s="81" t="b">
        <f t="shared" si="6"/>
        <v>0</v>
      </c>
    </row>
    <row r="100" spans="1:11" s="83" customFormat="1" ht="68.25" customHeight="1" x14ac:dyDescent="0.25">
      <c r="A100" s="968" t="s">
        <v>615</v>
      </c>
      <c r="B100" s="969"/>
      <c r="C100" s="969"/>
      <c r="D100" s="969"/>
      <c r="E100" s="969"/>
      <c r="F100" s="969"/>
      <c r="G100" s="970"/>
      <c r="H100" s="82"/>
      <c r="I100" s="114"/>
      <c r="J100" s="305"/>
      <c r="K100" s="81" t="b">
        <f t="shared" si="6"/>
        <v>1</v>
      </c>
    </row>
    <row r="101" spans="1:11" ht="57.75" customHeight="1" x14ac:dyDescent="0.25">
      <c r="A101" s="276" t="s">
        <v>472</v>
      </c>
      <c r="B101" s="269" t="s">
        <v>352</v>
      </c>
      <c r="C101" s="277" t="s">
        <v>379</v>
      </c>
      <c r="D101" s="272" t="s">
        <v>176</v>
      </c>
      <c r="E101" s="278">
        <f>'калькуляция 2024'!R101</f>
        <v>333.33</v>
      </c>
      <c r="F101" s="278">
        <f>'калькуляция 2024'!S101</f>
        <v>66.67</v>
      </c>
      <c r="G101" s="300">
        <f>E101+F101</f>
        <v>400</v>
      </c>
      <c r="H101" s="290"/>
      <c r="I101" s="80"/>
      <c r="J101" s="305">
        <v>153</v>
      </c>
      <c r="K101" s="81" t="b">
        <f t="shared" si="6"/>
        <v>0</v>
      </c>
    </row>
    <row r="102" spans="1:11" ht="22.5" customHeight="1" x14ac:dyDescent="0.25">
      <c r="A102" s="930" t="s">
        <v>231</v>
      </c>
      <c r="B102" s="931"/>
      <c r="C102" s="931"/>
      <c r="D102" s="931"/>
      <c r="E102" s="213"/>
      <c r="F102" s="213"/>
      <c r="G102" s="317"/>
      <c r="H102" s="98"/>
      <c r="I102" s="79"/>
      <c r="J102" s="305"/>
      <c r="K102" s="81" t="b">
        <f t="shared" si="6"/>
        <v>1</v>
      </c>
    </row>
    <row r="103" spans="1:11" ht="48" customHeight="1" x14ac:dyDescent="0.25">
      <c r="A103" s="276" t="s">
        <v>473</v>
      </c>
      <c r="B103" s="270" t="s">
        <v>184</v>
      </c>
      <c r="C103" s="277" t="s">
        <v>394</v>
      </c>
      <c r="D103" s="272" t="s">
        <v>40</v>
      </c>
      <c r="E103" s="278">
        <f>'калькуляция 2024'!R103</f>
        <v>822.5</v>
      </c>
      <c r="F103" s="278">
        <f>'калькуляция 2024'!S103</f>
        <v>164.5</v>
      </c>
      <c r="G103" s="300">
        <f>E103+F103</f>
        <v>987</v>
      </c>
      <c r="H103" s="296"/>
      <c r="I103" s="80"/>
      <c r="J103" s="305">
        <v>444</v>
      </c>
      <c r="K103" s="81" t="b">
        <f t="shared" si="6"/>
        <v>0</v>
      </c>
    </row>
    <row r="104" spans="1:11" ht="26.25" hidden="1" customHeight="1" outlineLevel="1" x14ac:dyDescent="0.25">
      <c r="A104" s="264"/>
      <c r="B104" s="270"/>
      <c r="C104" s="277"/>
      <c r="D104" s="272"/>
      <c r="E104" s="214"/>
      <c r="F104" s="214"/>
      <c r="G104" s="300"/>
      <c r="H104" s="296"/>
      <c r="I104" s="80"/>
      <c r="J104" s="305"/>
      <c r="K104" s="81" t="b">
        <f t="shared" si="6"/>
        <v>1</v>
      </c>
    </row>
    <row r="105" spans="1:11" ht="18.95" hidden="1" customHeight="1" outlineLevel="1" x14ac:dyDescent="0.25">
      <c r="A105" s="264"/>
      <c r="B105" s="270"/>
      <c r="C105" s="277"/>
      <c r="D105" s="272"/>
      <c r="E105" s="214"/>
      <c r="F105" s="214"/>
      <c r="G105" s="300"/>
      <c r="H105" s="296"/>
      <c r="I105" s="80"/>
      <c r="J105" s="305"/>
      <c r="K105" s="81" t="b">
        <f t="shared" si="6"/>
        <v>1</v>
      </c>
    </row>
    <row r="106" spans="1:11" ht="21" hidden="1" customHeight="1" outlineLevel="1" x14ac:dyDescent="0.25">
      <c r="A106" s="264"/>
      <c r="B106" s="270"/>
      <c r="C106" s="277"/>
      <c r="D106" s="272"/>
      <c r="E106" s="214"/>
      <c r="F106" s="214"/>
      <c r="G106" s="300"/>
      <c r="H106" s="296"/>
      <c r="I106" s="80"/>
      <c r="J106" s="305"/>
      <c r="K106" s="81" t="b">
        <f t="shared" si="6"/>
        <v>1</v>
      </c>
    </row>
    <row r="107" spans="1:11" ht="48" customHeight="1" collapsed="1" x14ac:dyDescent="0.25">
      <c r="A107" s="264" t="s">
        <v>474</v>
      </c>
      <c r="B107" s="1076" t="s">
        <v>603</v>
      </c>
      <c r="C107" s="1077"/>
      <c r="D107" s="1077"/>
      <c r="E107" s="215"/>
      <c r="F107" s="215"/>
      <c r="G107" s="318"/>
      <c r="H107" s="296"/>
      <c r="I107" s="80"/>
      <c r="J107" s="305"/>
      <c r="K107" s="81" t="b">
        <f t="shared" si="6"/>
        <v>1</v>
      </c>
    </row>
    <row r="108" spans="1:11" ht="23.25" customHeight="1" x14ac:dyDescent="0.25">
      <c r="A108" s="920" t="s">
        <v>363</v>
      </c>
      <c r="B108" s="1078" t="s">
        <v>180</v>
      </c>
      <c r="C108" s="1063" t="s">
        <v>23</v>
      </c>
      <c r="D108" s="1075" t="s">
        <v>24</v>
      </c>
      <c r="E108" s="918">
        <f>'калькуляция 2024'!R108</f>
        <v>1753.33</v>
      </c>
      <c r="F108" s="918">
        <f>'калькуляция 2024'!S108</f>
        <v>350.67</v>
      </c>
      <c r="G108" s="1061">
        <f t="shared" ref="G108:G109" si="9">E108+F108</f>
        <v>2104</v>
      </c>
      <c r="H108" s="910"/>
      <c r="I108" s="80"/>
      <c r="J108" s="1060">
        <v>936</v>
      </c>
      <c r="K108" s="81" t="b">
        <f t="shared" si="6"/>
        <v>0</v>
      </c>
    </row>
    <row r="109" spans="1:11" ht="42" customHeight="1" x14ac:dyDescent="0.25">
      <c r="A109" s="921"/>
      <c r="B109" s="1078"/>
      <c r="C109" s="1063"/>
      <c r="D109" s="1075"/>
      <c r="E109" s="919">
        <f>'калькуляция 2024'!R109</f>
        <v>0</v>
      </c>
      <c r="F109" s="919">
        <f>'калькуляция 2024'!S109</f>
        <v>0</v>
      </c>
      <c r="G109" s="1062">
        <f t="shared" si="9"/>
        <v>0</v>
      </c>
      <c r="H109" s="911"/>
      <c r="I109" s="80"/>
      <c r="J109" s="1060"/>
      <c r="K109" s="81" t="b">
        <f t="shared" si="6"/>
        <v>1</v>
      </c>
    </row>
    <row r="110" spans="1:11" ht="17.25" hidden="1" customHeight="1" outlineLevel="1" x14ac:dyDescent="0.25">
      <c r="A110" s="921"/>
      <c r="B110" s="285"/>
      <c r="C110" s="291"/>
      <c r="D110" s="271"/>
      <c r="E110" s="208"/>
      <c r="F110" s="208"/>
      <c r="G110" s="310"/>
      <c r="H110" s="296"/>
      <c r="I110" s="80"/>
      <c r="J110" s="305"/>
      <c r="K110" s="81" t="b">
        <f t="shared" si="6"/>
        <v>1</v>
      </c>
    </row>
    <row r="111" spans="1:11" ht="17.25" hidden="1" customHeight="1" outlineLevel="1" x14ac:dyDescent="0.25">
      <c r="A111" s="921"/>
      <c r="B111" s="285"/>
      <c r="C111" s="291"/>
      <c r="D111" s="271"/>
      <c r="E111" s="208"/>
      <c r="F111" s="208"/>
      <c r="G111" s="310"/>
      <c r="H111" s="296"/>
      <c r="I111" s="80"/>
      <c r="J111" s="305"/>
      <c r="K111" s="81" t="b">
        <f t="shared" si="6"/>
        <v>1</v>
      </c>
    </row>
    <row r="112" spans="1:11" ht="35.25" hidden="1" customHeight="1" outlineLevel="1" x14ac:dyDescent="0.25">
      <c r="A112" s="921"/>
      <c r="B112" s="285"/>
      <c r="C112" s="291"/>
      <c r="D112" s="271"/>
      <c r="E112" s="208"/>
      <c r="F112" s="208"/>
      <c r="G112" s="310"/>
      <c r="H112" s="296"/>
      <c r="I112" s="80"/>
      <c r="J112" s="305"/>
      <c r="K112" s="81" t="b">
        <f t="shared" si="6"/>
        <v>1</v>
      </c>
    </row>
    <row r="113" spans="1:11" ht="24" hidden="1" customHeight="1" outlineLevel="1" x14ac:dyDescent="0.25">
      <c r="A113" s="921"/>
      <c r="B113" s="285"/>
      <c r="C113" s="291"/>
      <c r="D113" s="271"/>
      <c r="E113" s="208"/>
      <c r="F113" s="208"/>
      <c r="G113" s="310"/>
      <c r="H113" s="296"/>
      <c r="I113" s="80"/>
      <c r="J113" s="305"/>
      <c r="K113" s="81" t="b">
        <f t="shared" si="6"/>
        <v>1</v>
      </c>
    </row>
    <row r="114" spans="1:11" ht="24" hidden="1" customHeight="1" outlineLevel="1" x14ac:dyDescent="0.25">
      <c r="A114" s="921"/>
      <c r="B114" s="285"/>
      <c r="C114" s="291"/>
      <c r="D114" s="271"/>
      <c r="E114" s="208"/>
      <c r="F114" s="208"/>
      <c r="G114" s="310"/>
      <c r="H114" s="296"/>
      <c r="I114" s="80"/>
      <c r="J114" s="305"/>
      <c r="K114" s="81" t="b">
        <f t="shared" si="6"/>
        <v>1</v>
      </c>
    </row>
    <row r="115" spans="1:11" ht="20.25" hidden="1" customHeight="1" outlineLevel="1" x14ac:dyDescent="0.25">
      <c r="A115" s="921"/>
      <c r="B115" s="285"/>
      <c r="C115" s="291"/>
      <c r="D115" s="271"/>
      <c r="E115" s="208"/>
      <c r="F115" s="208"/>
      <c r="G115" s="310"/>
      <c r="H115" s="296"/>
      <c r="I115" s="80"/>
      <c r="J115" s="305"/>
      <c r="K115" s="81" t="b">
        <f t="shared" si="6"/>
        <v>1</v>
      </c>
    </row>
    <row r="116" spans="1:11" ht="16.5" hidden="1" customHeight="1" outlineLevel="1" x14ac:dyDescent="0.25">
      <c r="A116" s="921"/>
      <c r="B116" s="285"/>
      <c r="C116" s="291"/>
      <c r="D116" s="271"/>
      <c r="E116" s="208"/>
      <c r="F116" s="208"/>
      <c r="G116" s="310"/>
      <c r="H116" s="296"/>
      <c r="I116" s="80"/>
      <c r="J116" s="305"/>
      <c r="K116" s="81" t="b">
        <f t="shared" si="6"/>
        <v>1</v>
      </c>
    </row>
    <row r="117" spans="1:11" ht="18" customHeight="1" collapsed="1" x14ac:dyDescent="0.25">
      <c r="A117" s="921"/>
      <c r="B117" s="801" t="s">
        <v>356</v>
      </c>
      <c r="C117" s="923" t="s">
        <v>357</v>
      </c>
      <c r="D117" s="956" t="s">
        <v>36</v>
      </c>
      <c r="E117" s="918">
        <f>'калькуляция 2024'!R117</f>
        <v>622.5</v>
      </c>
      <c r="F117" s="918">
        <f>'калькуляция 2024'!S117</f>
        <v>124.5</v>
      </c>
      <c r="G117" s="1061">
        <f t="shared" ref="G117:G118" si="10">E117+F117</f>
        <v>747</v>
      </c>
      <c r="H117" s="910"/>
      <c r="I117" s="80"/>
      <c r="J117" s="1060">
        <v>331</v>
      </c>
      <c r="K117" s="81" t="b">
        <f t="shared" si="6"/>
        <v>0</v>
      </c>
    </row>
    <row r="118" spans="1:11" ht="39" customHeight="1" x14ac:dyDescent="0.25">
      <c r="A118" s="921"/>
      <c r="B118" s="802"/>
      <c r="C118" s="924"/>
      <c r="D118" s="957"/>
      <c r="E118" s="919">
        <f>'калькуляция 2024'!R118</f>
        <v>0</v>
      </c>
      <c r="F118" s="919">
        <f>'калькуляция 2024'!S118</f>
        <v>0</v>
      </c>
      <c r="G118" s="1062">
        <f t="shared" si="10"/>
        <v>0</v>
      </c>
      <c r="H118" s="911"/>
      <c r="I118" s="80"/>
      <c r="J118" s="1060"/>
      <c r="K118" s="81" t="b">
        <f t="shared" si="6"/>
        <v>1</v>
      </c>
    </row>
    <row r="119" spans="1:11" ht="31.7" hidden="1" customHeight="1" outlineLevel="1" x14ac:dyDescent="0.25">
      <c r="A119" s="921"/>
      <c r="B119" s="286"/>
      <c r="C119" s="288"/>
      <c r="D119" s="293"/>
      <c r="E119" s="283"/>
      <c r="F119" s="283"/>
      <c r="G119" s="313"/>
      <c r="H119" s="296"/>
      <c r="I119" s="80"/>
      <c r="J119" s="305"/>
      <c r="K119" s="81" t="b">
        <f t="shared" si="6"/>
        <v>1</v>
      </c>
    </row>
    <row r="120" spans="1:11" ht="44.25" customHeight="1" collapsed="1" x14ac:dyDescent="0.25">
      <c r="A120" s="921"/>
      <c r="B120" s="270" t="s">
        <v>184</v>
      </c>
      <c r="C120" s="216" t="s">
        <v>366</v>
      </c>
      <c r="D120" s="272" t="s">
        <v>40</v>
      </c>
      <c r="E120" s="278">
        <f>'калькуляция 2024'!R120</f>
        <v>822.5</v>
      </c>
      <c r="F120" s="278">
        <f>'калькуляция 2024'!S120</f>
        <v>164.5</v>
      </c>
      <c r="G120" s="300">
        <f t="shared" ref="G120" si="11">E120+F120</f>
        <v>987</v>
      </c>
      <c r="H120" s="296"/>
      <c r="I120" s="80"/>
      <c r="J120" s="305">
        <v>444</v>
      </c>
      <c r="K120" s="81" t="b">
        <f t="shared" si="6"/>
        <v>0</v>
      </c>
    </row>
    <row r="121" spans="1:11" ht="24.75" hidden="1" customHeight="1" outlineLevel="1" x14ac:dyDescent="0.25">
      <c r="A121" s="921"/>
      <c r="B121" s="270"/>
      <c r="C121" s="216"/>
      <c r="D121" s="272"/>
      <c r="E121" s="278"/>
      <c r="F121" s="278"/>
      <c r="G121" s="300"/>
      <c r="H121" s="296"/>
      <c r="I121" s="80"/>
      <c r="J121" s="305"/>
      <c r="K121" s="81" t="b">
        <f t="shared" si="6"/>
        <v>1</v>
      </c>
    </row>
    <row r="122" spans="1:11" ht="24.75" hidden="1" customHeight="1" outlineLevel="1" x14ac:dyDescent="0.25">
      <c r="A122" s="921"/>
      <c r="B122" s="270"/>
      <c r="C122" s="216"/>
      <c r="D122" s="272"/>
      <c r="E122" s="278"/>
      <c r="F122" s="278"/>
      <c r="G122" s="300"/>
      <c r="H122" s="296"/>
      <c r="I122" s="80"/>
      <c r="J122" s="305"/>
      <c r="K122" s="81" t="b">
        <f t="shared" si="6"/>
        <v>1</v>
      </c>
    </row>
    <row r="123" spans="1:11" ht="24.75" hidden="1" customHeight="1" outlineLevel="1" x14ac:dyDescent="0.25">
      <c r="A123" s="921"/>
      <c r="B123" s="270"/>
      <c r="C123" s="216"/>
      <c r="D123" s="272"/>
      <c r="E123" s="278"/>
      <c r="F123" s="278"/>
      <c r="G123" s="300"/>
      <c r="H123" s="296"/>
      <c r="I123" s="80"/>
      <c r="J123" s="305"/>
      <c r="K123" s="81" t="b">
        <f t="shared" si="6"/>
        <v>1</v>
      </c>
    </row>
    <row r="124" spans="1:11" ht="63.95" customHeight="1" collapsed="1" x14ac:dyDescent="0.25">
      <c r="A124" s="922"/>
      <c r="B124" s="270" t="s">
        <v>182</v>
      </c>
      <c r="C124" s="204" t="s">
        <v>599</v>
      </c>
      <c r="D124" s="272" t="s">
        <v>34</v>
      </c>
      <c r="E124" s="278">
        <f>'калькуляция 2024'!R124</f>
        <v>213.33</v>
      </c>
      <c r="F124" s="278">
        <f>'калькуляция 2024'!S124</f>
        <v>42.67</v>
      </c>
      <c r="G124" s="300">
        <f t="shared" ref="G124" si="12">E124+F124</f>
        <v>256</v>
      </c>
      <c r="H124" s="296"/>
      <c r="I124" s="80"/>
      <c r="J124" s="305">
        <v>119</v>
      </c>
      <c r="K124" s="81" t="b">
        <f t="shared" si="6"/>
        <v>0</v>
      </c>
    </row>
    <row r="125" spans="1:11" ht="45.95" customHeight="1" x14ac:dyDescent="0.25">
      <c r="A125" s="1069" t="s">
        <v>605</v>
      </c>
      <c r="B125" s="1070"/>
      <c r="C125" s="1070"/>
      <c r="D125" s="1070"/>
      <c r="E125" s="210"/>
      <c r="F125" s="210"/>
      <c r="G125" s="314"/>
      <c r="H125" s="296"/>
      <c r="I125" s="80"/>
      <c r="J125" s="305"/>
      <c r="K125" s="81" t="b">
        <f t="shared" si="6"/>
        <v>1</v>
      </c>
    </row>
    <row r="126" spans="1:11" ht="36" customHeight="1" x14ac:dyDescent="0.25">
      <c r="A126" s="1071"/>
      <c r="B126" s="1072"/>
      <c r="C126" s="1072"/>
      <c r="D126" s="1072"/>
      <c r="E126" s="211"/>
      <c r="F126" s="211"/>
      <c r="G126" s="315"/>
      <c r="H126" s="296"/>
      <c r="I126" s="80"/>
      <c r="J126" s="305"/>
      <c r="K126" s="81" t="b">
        <f t="shared" si="6"/>
        <v>1</v>
      </c>
    </row>
    <row r="127" spans="1:11" ht="32.25" customHeight="1" x14ac:dyDescent="0.25">
      <c r="A127" s="1073"/>
      <c r="B127" s="1074"/>
      <c r="C127" s="1074"/>
      <c r="D127" s="1074"/>
      <c r="E127" s="212"/>
      <c r="F127" s="212"/>
      <c r="G127" s="316"/>
      <c r="H127" s="296"/>
      <c r="I127" s="80"/>
      <c r="J127" s="305"/>
      <c r="K127" s="81" t="b">
        <f t="shared" si="6"/>
        <v>1</v>
      </c>
    </row>
    <row r="128" spans="1:11" ht="61.5" customHeight="1" x14ac:dyDescent="0.25">
      <c r="A128" s="265" t="s">
        <v>475</v>
      </c>
      <c r="B128" s="1076" t="s">
        <v>604</v>
      </c>
      <c r="C128" s="1077"/>
      <c r="D128" s="1077"/>
      <c r="E128" s="215"/>
      <c r="F128" s="215"/>
      <c r="G128" s="318"/>
      <c r="H128" s="296"/>
      <c r="I128" s="80"/>
      <c r="J128" s="305"/>
      <c r="K128" s="81" t="b">
        <f t="shared" si="6"/>
        <v>1</v>
      </c>
    </row>
    <row r="129" spans="1:11" ht="36.950000000000003" customHeight="1" x14ac:dyDescent="0.25">
      <c r="A129" s="920" t="s">
        <v>363</v>
      </c>
      <c r="B129" s="270" t="s">
        <v>368</v>
      </c>
      <c r="C129" s="216" t="s">
        <v>367</v>
      </c>
      <c r="D129" s="272" t="s">
        <v>369</v>
      </c>
      <c r="E129" s="278">
        <f>'калькуляция 2024'!R129</f>
        <v>2510</v>
      </c>
      <c r="F129" s="278">
        <f>'калькуляция 2024'!S129</f>
        <v>502</v>
      </c>
      <c r="G129" s="300">
        <f t="shared" ref="G129:G131" si="13">E129+F129</f>
        <v>3012</v>
      </c>
      <c r="H129" s="296"/>
      <c r="I129" s="80"/>
      <c r="J129" s="305">
        <v>192</v>
      </c>
      <c r="K129" s="81" t="b">
        <f t="shared" si="6"/>
        <v>0</v>
      </c>
    </row>
    <row r="130" spans="1:11" ht="17.25" customHeight="1" x14ac:dyDescent="0.25">
      <c r="A130" s="921"/>
      <c r="B130" s="801" t="s">
        <v>356</v>
      </c>
      <c r="C130" s="923" t="s">
        <v>357</v>
      </c>
      <c r="D130" s="956" t="s">
        <v>36</v>
      </c>
      <c r="E130" s="918">
        <f>'калькуляция 2024'!R130</f>
        <v>622.5</v>
      </c>
      <c r="F130" s="918">
        <f>'калькуляция 2024'!S130</f>
        <v>124.5</v>
      </c>
      <c r="G130" s="1061">
        <f t="shared" si="13"/>
        <v>747</v>
      </c>
      <c r="H130" s="910"/>
      <c r="I130" s="80"/>
      <c r="J130" s="1060">
        <v>331</v>
      </c>
      <c r="K130" s="81" t="b">
        <f t="shared" si="6"/>
        <v>0</v>
      </c>
    </row>
    <row r="131" spans="1:11" ht="33" customHeight="1" x14ac:dyDescent="0.25">
      <c r="A131" s="921"/>
      <c r="B131" s="802"/>
      <c r="C131" s="924"/>
      <c r="D131" s="957"/>
      <c r="E131" s="919">
        <f>'калькуляция 2024'!R131</f>
        <v>0</v>
      </c>
      <c r="F131" s="919">
        <f>'калькуляция 2024'!S131</f>
        <v>0</v>
      </c>
      <c r="G131" s="1062">
        <f t="shared" si="13"/>
        <v>0</v>
      </c>
      <c r="H131" s="911"/>
      <c r="I131" s="80"/>
      <c r="J131" s="1060"/>
      <c r="K131" s="81" t="b">
        <f t="shared" si="6"/>
        <v>1</v>
      </c>
    </row>
    <row r="132" spans="1:11" ht="27" hidden="1" customHeight="1" outlineLevel="1" x14ac:dyDescent="0.25">
      <c r="A132" s="921"/>
      <c r="B132" s="286"/>
      <c r="C132" s="288"/>
      <c r="D132" s="293"/>
      <c r="E132" s="283"/>
      <c r="F132" s="283"/>
      <c r="G132" s="313"/>
      <c r="H132" s="296"/>
      <c r="I132" s="80"/>
      <c r="J132" s="305"/>
      <c r="K132" s="81" t="b">
        <f t="shared" si="6"/>
        <v>1</v>
      </c>
    </row>
    <row r="133" spans="1:11" ht="57" customHeight="1" collapsed="1" x14ac:dyDescent="0.25">
      <c r="A133" s="921"/>
      <c r="B133" s="270" t="s">
        <v>180</v>
      </c>
      <c r="C133" s="216" t="s">
        <v>384</v>
      </c>
      <c r="D133" s="272" t="s">
        <v>24</v>
      </c>
      <c r="E133" s="283">
        <f>'калькуляция 2024'!R133</f>
        <v>651.66999999999996</v>
      </c>
      <c r="F133" s="283">
        <f>'калькуляция 2024'!S133</f>
        <v>130.33000000000001</v>
      </c>
      <c r="G133" s="313">
        <f t="shared" ref="G133" si="14">E133+F133</f>
        <v>782</v>
      </c>
      <c r="H133" s="296"/>
      <c r="I133" s="80"/>
      <c r="J133" s="305">
        <v>349</v>
      </c>
      <c r="K133" s="81" t="b">
        <f t="shared" si="6"/>
        <v>0</v>
      </c>
    </row>
    <row r="134" spans="1:11" ht="25.5" hidden="1" customHeight="1" outlineLevel="1" x14ac:dyDescent="0.25">
      <c r="A134" s="921"/>
      <c r="B134" s="270"/>
      <c r="C134" s="216"/>
      <c r="D134" s="272"/>
      <c r="E134" s="283"/>
      <c r="F134" s="283"/>
      <c r="G134" s="313"/>
      <c r="H134" s="296"/>
      <c r="I134" s="80"/>
      <c r="J134" s="305"/>
      <c r="K134" s="81" t="b">
        <f t="shared" si="6"/>
        <v>1</v>
      </c>
    </row>
    <row r="135" spans="1:11" ht="17.25" hidden="1" customHeight="1" outlineLevel="1" x14ac:dyDescent="0.25">
      <c r="A135" s="921"/>
      <c r="B135" s="270"/>
      <c r="C135" s="216"/>
      <c r="D135" s="272"/>
      <c r="E135" s="283"/>
      <c r="F135" s="283"/>
      <c r="G135" s="313"/>
      <c r="H135" s="296"/>
      <c r="I135" s="80"/>
      <c r="J135" s="305"/>
      <c r="K135" s="81" t="b">
        <f t="shared" si="6"/>
        <v>1</v>
      </c>
    </row>
    <row r="136" spans="1:11" ht="36.950000000000003" hidden="1" customHeight="1" outlineLevel="1" x14ac:dyDescent="0.25">
      <c r="A136" s="921"/>
      <c r="B136" s="270"/>
      <c r="C136" s="216"/>
      <c r="D136" s="272"/>
      <c r="E136" s="283"/>
      <c r="F136" s="283"/>
      <c r="G136" s="313"/>
      <c r="H136" s="296"/>
      <c r="I136" s="80"/>
      <c r="J136" s="305"/>
      <c r="K136" s="81" t="b">
        <f t="shared" si="6"/>
        <v>1</v>
      </c>
    </row>
    <row r="137" spans="1:11" ht="28.5" hidden="1" customHeight="1" outlineLevel="1" x14ac:dyDescent="0.25">
      <c r="A137" s="921"/>
      <c r="B137" s="270"/>
      <c r="C137" s="216"/>
      <c r="D137" s="272"/>
      <c r="E137" s="283"/>
      <c r="F137" s="283"/>
      <c r="G137" s="313"/>
      <c r="H137" s="296"/>
      <c r="I137" s="80"/>
      <c r="J137" s="305"/>
      <c r="K137" s="81" t="b">
        <f t="shared" ref="K137:K200" si="15">G137=J137</f>
        <v>1</v>
      </c>
    </row>
    <row r="138" spans="1:11" ht="15.75" hidden="1" customHeight="1" outlineLevel="1" x14ac:dyDescent="0.25">
      <c r="A138" s="921"/>
      <c r="B138" s="270"/>
      <c r="C138" s="216"/>
      <c r="D138" s="272"/>
      <c r="E138" s="283"/>
      <c r="F138" s="283"/>
      <c r="G138" s="313"/>
      <c r="H138" s="296"/>
      <c r="I138" s="80"/>
      <c r="J138" s="305"/>
      <c r="K138" s="81" t="b">
        <f t="shared" si="15"/>
        <v>1</v>
      </c>
    </row>
    <row r="139" spans="1:11" ht="21" hidden="1" customHeight="1" outlineLevel="1" x14ac:dyDescent="0.25">
      <c r="A139" s="921"/>
      <c r="B139" s="270"/>
      <c r="C139" s="216"/>
      <c r="D139" s="272"/>
      <c r="E139" s="283"/>
      <c r="F139" s="283"/>
      <c r="G139" s="313"/>
      <c r="H139" s="296"/>
      <c r="I139" s="80"/>
      <c r="J139" s="305"/>
      <c r="K139" s="81" t="b">
        <f t="shared" si="15"/>
        <v>1</v>
      </c>
    </row>
    <row r="140" spans="1:11" ht="39" customHeight="1" collapsed="1" x14ac:dyDescent="0.25">
      <c r="A140" s="921"/>
      <c r="B140" s="270" t="s">
        <v>184</v>
      </c>
      <c r="C140" s="216" t="s">
        <v>366</v>
      </c>
      <c r="D140" s="272" t="s">
        <v>40</v>
      </c>
      <c r="E140" s="278">
        <f>'калькуляция 2024'!R140</f>
        <v>811.67</v>
      </c>
      <c r="F140" s="278">
        <f>'калькуляция 2024'!S140</f>
        <v>162.33000000000001</v>
      </c>
      <c r="G140" s="300">
        <f t="shared" ref="G140:G141" si="16">E140+F140</f>
        <v>974</v>
      </c>
      <c r="H140" s="296"/>
      <c r="I140" s="80"/>
      <c r="J140" s="305">
        <v>383</v>
      </c>
      <c r="K140" s="81" t="b">
        <f t="shared" si="15"/>
        <v>0</v>
      </c>
    </row>
    <row r="141" spans="1:11" ht="54.95" customHeight="1" x14ac:dyDescent="0.25">
      <c r="A141" s="922"/>
      <c r="B141" s="270" t="s">
        <v>182</v>
      </c>
      <c r="C141" s="204" t="s">
        <v>599</v>
      </c>
      <c r="D141" s="272" t="s">
        <v>34</v>
      </c>
      <c r="E141" s="278">
        <f>'калькуляция 2024'!R141</f>
        <v>213.33</v>
      </c>
      <c r="F141" s="278">
        <f>'калькуляция 2024'!S141</f>
        <v>42.67</v>
      </c>
      <c r="G141" s="300">
        <f t="shared" si="16"/>
        <v>256</v>
      </c>
      <c r="H141" s="296"/>
      <c r="I141" s="80"/>
      <c r="J141" s="305">
        <v>119</v>
      </c>
      <c r="K141" s="81" t="b">
        <f t="shared" si="15"/>
        <v>0</v>
      </c>
    </row>
    <row r="142" spans="1:11" ht="30.75" customHeight="1" x14ac:dyDescent="0.25">
      <c r="A142" s="1069" t="s">
        <v>609</v>
      </c>
      <c r="B142" s="1070"/>
      <c r="C142" s="1070"/>
      <c r="D142" s="1070"/>
      <c r="E142" s="210"/>
      <c r="F142" s="210"/>
      <c r="G142" s="314"/>
      <c r="H142" s="296"/>
      <c r="I142" s="80"/>
      <c r="J142" s="305"/>
      <c r="K142" s="81" t="b">
        <f t="shared" si="15"/>
        <v>1</v>
      </c>
    </row>
    <row r="143" spans="1:11" ht="22.7" customHeight="1" x14ac:dyDescent="0.25">
      <c r="A143" s="1071"/>
      <c r="B143" s="1072"/>
      <c r="C143" s="1072"/>
      <c r="D143" s="1072"/>
      <c r="E143" s="211"/>
      <c r="F143" s="211"/>
      <c r="G143" s="315"/>
      <c r="H143" s="296"/>
      <c r="I143" s="80"/>
      <c r="J143" s="305"/>
      <c r="K143" s="81" t="b">
        <f t="shared" si="15"/>
        <v>1</v>
      </c>
    </row>
    <row r="144" spans="1:11" ht="34.5" customHeight="1" x14ac:dyDescent="0.25">
      <c r="A144" s="1073"/>
      <c r="B144" s="1074"/>
      <c r="C144" s="1074"/>
      <c r="D144" s="1074"/>
      <c r="E144" s="212"/>
      <c r="F144" s="212"/>
      <c r="G144" s="316"/>
      <c r="H144" s="296"/>
      <c r="I144" s="80"/>
      <c r="J144" s="305"/>
      <c r="K144" s="81" t="b">
        <f t="shared" si="15"/>
        <v>1</v>
      </c>
    </row>
    <row r="145" spans="1:11" ht="21" customHeight="1" x14ac:dyDescent="0.25">
      <c r="A145" s="920" t="s">
        <v>476</v>
      </c>
      <c r="B145" s="270" t="s">
        <v>185</v>
      </c>
      <c r="C145" s="1063" t="s">
        <v>41</v>
      </c>
      <c r="D145" s="1075" t="s">
        <v>40</v>
      </c>
      <c r="E145" s="918">
        <f>'калькуляция 2024'!R145</f>
        <v>1683.33</v>
      </c>
      <c r="F145" s="918">
        <f>'калькуляция 2024'!S145</f>
        <v>336.67</v>
      </c>
      <c r="G145" s="1061">
        <f t="shared" ref="G145:G146" si="17">E145+F145</f>
        <v>2020</v>
      </c>
      <c r="H145" s="910"/>
      <c r="I145" s="80"/>
      <c r="J145" s="1060">
        <v>1248</v>
      </c>
      <c r="K145" s="81" t="b">
        <f t="shared" si="15"/>
        <v>0</v>
      </c>
    </row>
    <row r="146" spans="1:11" ht="21" customHeight="1" x14ac:dyDescent="0.25">
      <c r="A146" s="922"/>
      <c r="B146" s="270" t="s">
        <v>180</v>
      </c>
      <c r="C146" s="1063"/>
      <c r="D146" s="1075"/>
      <c r="E146" s="919">
        <f>'калькуляция 2024'!R146</f>
        <v>0</v>
      </c>
      <c r="F146" s="919">
        <f>'калькуляция 2024'!S146</f>
        <v>0</v>
      </c>
      <c r="G146" s="1062">
        <f t="shared" si="17"/>
        <v>0</v>
      </c>
      <c r="H146" s="911"/>
      <c r="I146" s="80"/>
      <c r="J146" s="1060"/>
      <c r="K146" s="81" t="b">
        <f t="shared" si="15"/>
        <v>1</v>
      </c>
    </row>
    <row r="147" spans="1:11" ht="18.95" hidden="1" customHeight="1" outlineLevel="1" x14ac:dyDescent="0.25">
      <c r="A147" s="276"/>
      <c r="B147" s="270"/>
      <c r="C147" s="277"/>
      <c r="D147" s="272"/>
      <c r="E147" s="278"/>
      <c r="F147" s="278"/>
      <c r="G147" s="300"/>
      <c r="H147" s="296"/>
      <c r="I147" s="80"/>
      <c r="J147" s="305"/>
      <c r="K147" s="81" t="b">
        <f t="shared" si="15"/>
        <v>1</v>
      </c>
    </row>
    <row r="148" spans="1:11" ht="18.95" hidden="1" customHeight="1" outlineLevel="1" x14ac:dyDescent="0.25">
      <c r="A148" s="276"/>
      <c r="B148" s="270"/>
      <c r="C148" s="277"/>
      <c r="D148" s="272"/>
      <c r="E148" s="278"/>
      <c r="F148" s="278"/>
      <c r="G148" s="300"/>
      <c r="H148" s="296"/>
      <c r="I148" s="80"/>
      <c r="J148" s="305"/>
      <c r="K148" s="81" t="b">
        <f t="shared" si="15"/>
        <v>1</v>
      </c>
    </row>
    <row r="149" spans="1:11" ht="33.75" hidden="1" customHeight="1" outlineLevel="1" x14ac:dyDescent="0.25">
      <c r="A149" s="276"/>
      <c r="B149" s="270"/>
      <c r="C149" s="277"/>
      <c r="D149" s="272"/>
      <c r="E149" s="278"/>
      <c r="F149" s="278"/>
      <c r="G149" s="300"/>
      <c r="H149" s="296"/>
      <c r="I149" s="80"/>
      <c r="J149" s="305"/>
      <c r="K149" s="81" t="b">
        <f t="shared" si="15"/>
        <v>1</v>
      </c>
    </row>
    <row r="150" spans="1:11" ht="29.25" hidden="1" customHeight="1" outlineLevel="1" x14ac:dyDescent="0.25">
      <c r="A150" s="276"/>
      <c r="B150" s="270"/>
      <c r="C150" s="277"/>
      <c r="D150" s="272"/>
      <c r="E150" s="278"/>
      <c r="F150" s="278"/>
      <c r="G150" s="300"/>
      <c r="H150" s="296"/>
      <c r="I150" s="80"/>
      <c r="J150" s="305"/>
      <c r="K150" s="81" t="b">
        <f t="shared" si="15"/>
        <v>1</v>
      </c>
    </row>
    <row r="151" spans="1:11" ht="29.25" hidden="1" customHeight="1" outlineLevel="1" x14ac:dyDescent="0.25">
      <c r="A151" s="276"/>
      <c r="B151" s="270"/>
      <c r="C151" s="277"/>
      <c r="D151" s="272"/>
      <c r="E151" s="278"/>
      <c r="F151" s="278"/>
      <c r="G151" s="300"/>
      <c r="H151" s="296"/>
      <c r="I151" s="80"/>
      <c r="J151" s="305"/>
      <c r="K151" s="81" t="b">
        <f t="shared" si="15"/>
        <v>1</v>
      </c>
    </row>
    <row r="152" spans="1:11" ht="21" hidden="1" customHeight="1" outlineLevel="1" x14ac:dyDescent="0.25">
      <c r="A152" s="276"/>
      <c r="B152" s="270"/>
      <c r="C152" s="277"/>
      <c r="D152" s="272"/>
      <c r="E152" s="278"/>
      <c r="F152" s="278"/>
      <c r="G152" s="300"/>
      <c r="H152" s="296"/>
      <c r="I152" s="80"/>
      <c r="J152" s="305"/>
      <c r="K152" s="81" t="b">
        <f t="shared" si="15"/>
        <v>1</v>
      </c>
    </row>
    <row r="153" spans="1:11" ht="20.25" hidden="1" customHeight="1" outlineLevel="1" x14ac:dyDescent="0.25">
      <c r="A153" s="276"/>
      <c r="B153" s="270"/>
      <c r="C153" s="277"/>
      <c r="D153" s="272"/>
      <c r="E153" s="278"/>
      <c r="F153" s="278"/>
      <c r="G153" s="300"/>
      <c r="H153" s="296"/>
      <c r="I153" s="80"/>
      <c r="J153" s="305"/>
      <c r="K153" s="81" t="b">
        <f t="shared" si="15"/>
        <v>1</v>
      </c>
    </row>
    <row r="154" spans="1:11" ht="58.7" customHeight="1" collapsed="1" x14ac:dyDescent="0.25">
      <c r="A154" s="276" t="s">
        <v>477</v>
      </c>
      <c r="B154" s="276" t="s">
        <v>186</v>
      </c>
      <c r="C154" s="277" t="s">
        <v>431</v>
      </c>
      <c r="D154" s="272" t="s">
        <v>40</v>
      </c>
      <c r="E154" s="278">
        <f>'калькуляция 2024'!R154</f>
        <v>1666.67</v>
      </c>
      <c r="F154" s="278">
        <f>'калькуляция 2024'!S154</f>
        <v>333.33</v>
      </c>
      <c r="G154" s="300">
        <f t="shared" ref="G154" si="18">E154+F154</f>
        <v>2000</v>
      </c>
      <c r="H154" s="296"/>
      <c r="I154" s="80"/>
      <c r="J154" s="305">
        <v>509</v>
      </c>
      <c r="K154" s="81" t="b">
        <f t="shared" si="15"/>
        <v>0</v>
      </c>
    </row>
    <row r="155" spans="1:11" ht="15.75" hidden="1" customHeight="1" outlineLevel="1" x14ac:dyDescent="0.25">
      <c r="A155" s="276"/>
      <c r="B155" s="276"/>
      <c r="C155" s="277"/>
      <c r="D155" s="272"/>
      <c r="E155" s="278"/>
      <c r="F155" s="278"/>
      <c r="G155" s="300"/>
      <c r="H155" s="296"/>
      <c r="I155" s="80"/>
      <c r="J155" s="305"/>
      <c r="K155" s="81" t="b">
        <f t="shared" si="15"/>
        <v>1</v>
      </c>
    </row>
    <row r="156" spans="1:11" ht="15.75" hidden="1" customHeight="1" outlineLevel="1" x14ac:dyDescent="0.25">
      <c r="A156" s="276"/>
      <c r="B156" s="276"/>
      <c r="C156" s="277"/>
      <c r="D156" s="272"/>
      <c r="E156" s="278"/>
      <c r="F156" s="278"/>
      <c r="G156" s="300"/>
      <c r="H156" s="296"/>
      <c r="I156" s="80"/>
      <c r="J156" s="305"/>
      <c r="K156" s="81" t="b">
        <f t="shared" si="15"/>
        <v>1</v>
      </c>
    </row>
    <row r="157" spans="1:11" ht="15.75" hidden="1" customHeight="1" outlineLevel="1" x14ac:dyDescent="0.25">
      <c r="A157" s="276"/>
      <c r="B157" s="276"/>
      <c r="C157" s="277"/>
      <c r="D157" s="272"/>
      <c r="E157" s="278"/>
      <c r="F157" s="278"/>
      <c r="G157" s="300"/>
      <c r="H157" s="296"/>
      <c r="I157" s="80"/>
      <c r="J157" s="305"/>
      <c r="K157" s="81" t="b">
        <f t="shared" si="15"/>
        <v>1</v>
      </c>
    </row>
    <row r="158" spans="1:11" ht="52.5" customHeight="1" collapsed="1" x14ac:dyDescent="0.25">
      <c r="A158" s="276" t="s">
        <v>478</v>
      </c>
      <c r="B158" s="276" t="s">
        <v>35</v>
      </c>
      <c r="C158" s="277" t="s">
        <v>432</v>
      </c>
      <c r="D158" s="272" t="s">
        <v>40</v>
      </c>
      <c r="E158" s="278">
        <f>'калькуляция 2024'!R158</f>
        <v>1793.33</v>
      </c>
      <c r="F158" s="278">
        <f>'калькуляция 2024'!S158</f>
        <v>358.67</v>
      </c>
      <c r="G158" s="300">
        <f t="shared" ref="G158" si="19">E158+F158</f>
        <v>2152</v>
      </c>
      <c r="H158" s="296"/>
      <c r="I158" s="80"/>
      <c r="J158" s="305">
        <v>547</v>
      </c>
      <c r="K158" s="81" t="b">
        <f t="shared" si="15"/>
        <v>0</v>
      </c>
    </row>
    <row r="159" spans="1:11" ht="15.75" hidden="1" customHeight="1" outlineLevel="1" x14ac:dyDescent="0.25">
      <c r="A159" s="276"/>
      <c r="B159" s="276"/>
      <c r="C159" s="277"/>
      <c r="D159" s="272"/>
      <c r="E159" s="278"/>
      <c r="F159" s="278"/>
      <c r="G159" s="300"/>
      <c r="H159" s="296"/>
      <c r="I159" s="80"/>
      <c r="J159" s="305"/>
      <c r="K159" s="81" t="b">
        <f t="shared" si="15"/>
        <v>1</v>
      </c>
    </row>
    <row r="160" spans="1:11" ht="15.75" hidden="1" customHeight="1" outlineLevel="1" x14ac:dyDescent="0.25">
      <c r="A160" s="276"/>
      <c r="B160" s="276"/>
      <c r="C160" s="277"/>
      <c r="D160" s="272"/>
      <c r="E160" s="278"/>
      <c r="F160" s="278"/>
      <c r="G160" s="300"/>
      <c r="H160" s="296"/>
      <c r="I160" s="80"/>
      <c r="J160" s="305"/>
      <c r="K160" s="81" t="b">
        <f t="shared" si="15"/>
        <v>1</v>
      </c>
    </row>
    <row r="161" spans="1:11" ht="15.75" hidden="1" customHeight="1" outlineLevel="1" x14ac:dyDescent="0.25">
      <c r="A161" s="276"/>
      <c r="B161" s="276"/>
      <c r="C161" s="277"/>
      <c r="D161" s="272"/>
      <c r="E161" s="278"/>
      <c r="F161" s="278"/>
      <c r="G161" s="300"/>
      <c r="H161" s="296"/>
      <c r="I161" s="80"/>
      <c r="J161" s="305"/>
      <c r="K161" s="81" t="b">
        <f t="shared" si="15"/>
        <v>1</v>
      </c>
    </row>
    <row r="162" spans="1:11" ht="35.25" customHeight="1" collapsed="1" x14ac:dyDescent="0.25">
      <c r="A162" s="276" t="s">
        <v>479</v>
      </c>
      <c r="B162" s="276" t="s">
        <v>35</v>
      </c>
      <c r="C162" s="277" t="s">
        <v>433</v>
      </c>
      <c r="D162" s="272" t="s">
        <v>40</v>
      </c>
      <c r="E162" s="278">
        <f>'калькуляция 2024'!R162</f>
        <v>741.67</v>
      </c>
      <c r="F162" s="278">
        <f>'калькуляция 2024'!S162</f>
        <v>148.33000000000001</v>
      </c>
      <c r="G162" s="300">
        <f t="shared" ref="G162" si="20">E162+F162</f>
        <v>890</v>
      </c>
      <c r="H162" s="296"/>
      <c r="I162" s="80"/>
      <c r="J162" s="305">
        <v>356</v>
      </c>
      <c r="K162" s="81" t="b">
        <f t="shared" si="15"/>
        <v>0</v>
      </c>
    </row>
    <row r="163" spans="1:11" ht="15.75" hidden="1" customHeight="1" outlineLevel="1" x14ac:dyDescent="0.25">
      <c r="A163" s="276"/>
      <c r="B163" s="276"/>
      <c r="C163" s="277"/>
      <c r="D163" s="272"/>
      <c r="E163" s="278"/>
      <c r="F163" s="278"/>
      <c r="G163" s="300"/>
      <c r="H163" s="296"/>
      <c r="I163" s="80"/>
      <c r="J163" s="305"/>
      <c r="K163" s="81" t="b">
        <f t="shared" si="15"/>
        <v>1</v>
      </c>
    </row>
    <row r="164" spans="1:11" ht="15.75" hidden="1" customHeight="1" outlineLevel="1" x14ac:dyDescent="0.25">
      <c r="A164" s="276"/>
      <c r="B164" s="276"/>
      <c r="C164" s="277"/>
      <c r="D164" s="272"/>
      <c r="E164" s="278"/>
      <c r="F164" s="278"/>
      <c r="G164" s="300"/>
      <c r="H164" s="296"/>
      <c r="I164" s="80"/>
      <c r="J164" s="305"/>
      <c r="K164" s="81" t="b">
        <f t="shared" si="15"/>
        <v>1</v>
      </c>
    </row>
    <row r="165" spans="1:11" ht="15.75" hidden="1" customHeight="1" outlineLevel="1" x14ac:dyDescent="0.25">
      <c r="A165" s="276"/>
      <c r="B165" s="276"/>
      <c r="C165" s="277"/>
      <c r="D165" s="272"/>
      <c r="E165" s="278"/>
      <c r="F165" s="278"/>
      <c r="G165" s="300"/>
      <c r="H165" s="296"/>
      <c r="I165" s="80"/>
      <c r="J165" s="305"/>
      <c r="K165" s="81" t="b">
        <f t="shared" si="15"/>
        <v>1</v>
      </c>
    </row>
    <row r="166" spans="1:11" collapsed="1" x14ac:dyDescent="0.25">
      <c r="A166" s="276" t="s">
        <v>480</v>
      </c>
      <c r="B166" s="276" t="s">
        <v>187</v>
      </c>
      <c r="C166" s="277" t="s">
        <v>42</v>
      </c>
      <c r="D166" s="96" t="s">
        <v>188</v>
      </c>
      <c r="E166" s="278">
        <f>'калькуляция 2024'!R166</f>
        <v>325</v>
      </c>
      <c r="F166" s="278">
        <f>'калькуляция 2024'!S166</f>
        <v>65</v>
      </c>
      <c r="G166" s="300">
        <f t="shared" ref="G166:G185" si="21">E166+F166</f>
        <v>390</v>
      </c>
      <c r="H166" s="296"/>
      <c r="I166" s="80"/>
      <c r="J166" s="305">
        <v>111</v>
      </c>
      <c r="K166" s="81" t="b">
        <f t="shared" si="15"/>
        <v>0</v>
      </c>
    </row>
    <row r="167" spans="1:11" x14ac:dyDescent="0.25">
      <c r="A167" s="276" t="s">
        <v>481</v>
      </c>
      <c r="B167" s="276" t="s">
        <v>189</v>
      </c>
      <c r="C167" s="277" t="s">
        <v>43</v>
      </c>
      <c r="D167" s="96" t="s">
        <v>190</v>
      </c>
      <c r="E167" s="278">
        <f>'калькуляция 2024'!R167</f>
        <v>325</v>
      </c>
      <c r="F167" s="278">
        <f>'калькуляция 2024'!S167</f>
        <v>65</v>
      </c>
      <c r="G167" s="300">
        <f t="shared" si="21"/>
        <v>390</v>
      </c>
      <c r="H167" s="296"/>
      <c r="I167" s="80"/>
      <c r="J167" s="305">
        <v>111</v>
      </c>
      <c r="K167" s="81" t="b">
        <f t="shared" si="15"/>
        <v>0</v>
      </c>
    </row>
    <row r="168" spans="1:11" x14ac:dyDescent="0.25">
      <c r="A168" s="276" t="s">
        <v>482</v>
      </c>
      <c r="B168" s="276" t="s">
        <v>191</v>
      </c>
      <c r="C168" s="277" t="s">
        <v>44</v>
      </c>
      <c r="D168" s="96" t="s">
        <v>190</v>
      </c>
      <c r="E168" s="278">
        <f>'калькуляция 2024'!R168</f>
        <v>400</v>
      </c>
      <c r="F168" s="278">
        <f>'калькуляция 2024'!S168</f>
        <v>80</v>
      </c>
      <c r="G168" s="300">
        <f>E168+F168</f>
        <v>480</v>
      </c>
      <c r="H168" s="296"/>
      <c r="I168" s="80"/>
      <c r="J168" s="305">
        <v>138</v>
      </c>
      <c r="K168" s="81" t="b">
        <f t="shared" si="15"/>
        <v>0</v>
      </c>
    </row>
    <row r="169" spans="1:11" x14ac:dyDescent="0.25">
      <c r="A169" s="276" t="s">
        <v>483</v>
      </c>
      <c r="B169" s="276" t="s">
        <v>192</v>
      </c>
      <c r="C169" s="277" t="s">
        <v>45</v>
      </c>
      <c r="D169" s="96" t="s">
        <v>193</v>
      </c>
      <c r="E169" s="278">
        <f>'калькуляция 2024'!R169</f>
        <v>166.67</v>
      </c>
      <c r="F169" s="278">
        <f>'калькуляция 2024'!S169</f>
        <v>33.33</v>
      </c>
      <c r="G169" s="300">
        <f t="shared" si="21"/>
        <v>200</v>
      </c>
      <c r="H169" s="296"/>
      <c r="I169" s="80"/>
      <c r="J169" s="305">
        <v>58</v>
      </c>
      <c r="K169" s="81" t="b">
        <f t="shared" si="15"/>
        <v>0</v>
      </c>
    </row>
    <row r="170" spans="1:11" x14ac:dyDescent="0.25">
      <c r="A170" s="276" t="s">
        <v>484</v>
      </c>
      <c r="B170" s="276" t="s">
        <v>194</v>
      </c>
      <c r="C170" s="277" t="s">
        <v>46</v>
      </c>
      <c r="D170" s="96" t="s">
        <v>195</v>
      </c>
      <c r="E170" s="278">
        <f>'калькуляция 2024'!R170</f>
        <v>225</v>
      </c>
      <c r="F170" s="278">
        <f>'калькуляция 2024'!S170</f>
        <v>45</v>
      </c>
      <c r="G170" s="300">
        <f t="shared" si="21"/>
        <v>270</v>
      </c>
      <c r="H170" s="296"/>
      <c r="I170" s="80"/>
      <c r="J170" s="305">
        <v>77</v>
      </c>
      <c r="K170" s="81" t="b">
        <f t="shared" si="15"/>
        <v>0</v>
      </c>
    </row>
    <row r="171" spans="1:11" x14ac:dyDescent="0.25">
      <c r="A171" s="276" t="s">
        <v>485</v>
      </c>
      <c r="B171" s="276" t="s">
        <v>196</v>
      </c>
      <c r="C171" s="277" t="s">
        <v>47</v>
      </c>
      <c r="D171" s="96" t="s">
        <v>197</v>
      </c>
      <c r="E171" s="278">
        <f>'калькуляция 2024'!R171</f>
        <v>275</v>
      </c>
      <c r="F171" s="278">
        <f>'калькуляция 2024'!S171</f>
        <v>55</v>
      </c>
      <c r="G171" s="300">
        <f t="shared" si="21"/>
        <v>330</v>
      </c>
      <c r="H171" s="296"/>
      <c r="I171" s="80"/>
      <c r="J171" s="305">
        <v>96</v>
      </c>
      <c r="K171" s="81" t="b">
        <f t="shared" si="15"/>
        <v>0</v>
      </c>
    </row>
    <row r="172" spans="1:11" x14ac:dyDescent="0.25">
      <c r="A172" s="276" t="s">
        <v>486</v>
      </c>
      <c r="B172" s="276" t="s">
        <v>198</v>
      </c>
      <c r="C172" s="277" t="s">
        <v>48</v>
      </c>
      <c r="D172" s="96" t="s">
        <v>199</v>
      </c>
      <c r="E172" s="278">
        <f>'калькуляция 2024'!R172</f>
        <v>166.67</v>
      </c>
      <c r="F172" s="278">
        <f>'калькуляция 2024'!S172</f>
        <v>33.33</v>
      </c>
      <c r="G172" s="300">
        <f t="shared" si="21"/>
        <v>200</v>
      </c>
      <c r="H172" s="296"/>
      <c r="I172" s="80"/>
      <c r="J172" s="305">
        <v>58</v>
      </c>
      <c r="K172" s="81" t="b">
        <f t="shared" si="15"/>
        <v>0</v>
      </c>
    </row>
    <row r="173" spans="1:11" x14ac:dyDescent="0.25">
      <c r="A173" s="276" t="s">
        <v>487</v>
      </c>
      <c r="B173" s="276" t="s">
        <v>200</v>
      </c>
      <c r="C173" s="277" t="s">
        <v>49</v>
      </c>
      <c r="D173" s="96" t="s">
        <v>201</v>
      </c>
      <c r="E173" s="278">
        <f>'калькуляция 2024'!R173</f>
        <v>1383.33</v>
      </c>
      <c r="F173" s="278">
        <f>'калькуляция 2024'!S173</f>
        <v>276.67</v>
      </c>
      <c r="G173" s="300">
        <f t="shared" si="21"/>
        <v>1660</v>
      </c>
      <c r="H173" s="296"/>
      <c r="I173" s="80"/>
      <c r="J173" s="305">
        <v>475</v>
      </c>
      <c r="K173" s="81" t="b">
        <f t="shared" si="15"/>
        <v>0</v>
      </c>
    </row>
    <row r="174" spans="1:11" x14ac:dyDescent="0.25">
      <c r="A174" s="276" t="s">
        <v>488</v>
      </c>
      <c r="B174" s="276" t="s">
        <v>202</v>
      </c>
      <c r="C174" s="277" t="s">
        <v>50</v>
      </c>
      <c r="D174" s="96" t="s">
        <v>203</v>
      </c>
      <c r="E174" s="278">
        <f>'калькуляция 2024'!R174</f>
        <v>900</v>
      </c>
      <c r="F174" s="278">
        <f>'калькуляция 2024'!S174</f>
        <v>180</v>
      </c>
      <c r="G174" s="300">
        <f t="shared" si="21"/>
        <v>1080</v>
      </c>
      <c r="H174" s="296"/>
      <c r="I174" s="80"/>
      <c r="J174" s="305">
        <v>311</v>
      </c>
      <c r="K174" s="81" t="b">
        <f t="shared" si="15"/>
        <v>0</v>
      </c>
    </row>
    <row r="175" spans="1:11" x14ac:dyDescent="0.25">
      <c r="A175" s="276" t="s">
        <v>489</v>
      </c>
      <c r="B175" s="276" t="s">
        <v>204</v>
      </c>
      <c r="C175" s="277" t="s">
        <v>51</v>
      </c>
      <c r="D175" s="96" t="s">
        <v>205</v>
      </c>
      <c r="E175" s="278">
        <f>'калькуляция 2024'!R175</f>
        <v>766.67</v>
      </c>
      <c r="F175" s="278">
        <f>'калькуляция 2024'!S175</f>
        <v>153.33000000000001</v>
      </c>
      <c r="G175" s="300">
        <f t="shared" si="21"/>
        <v>920</v>
      </c>
      <c r="H175" s="296"/>
      <c r="I175" s="80"/>
      <c r="J175" s="305">
        <v>265</v>
      </c>
      <c r="K175" s="81" t="b">
        <f t="shared" si="15"/>
        <v>0</v>
      </c>
    </row>
    <row r="176" spans="1:11" x14ac:dyDescent="0.25">
      <c r="A176" s="276" t="s">
        <v>490</v>
      </c>
      <c r="B176" s="276" t="s">
        <v>206</v>
      </c>
      <c r="C176" s="277" t="s">
        <v>52</v>
      </c>
      <c r="D176" s="96" t="s">
        <v>207</v>
      </c>
      <c r="E176" s="278">
        <f>'калькуляция 2024'!R176</f>
        <v>483.33</v>
      </c>
      <c r="F176" s="278">
        <f>'калькуляция 2024'!S176</f>
        <v>96.67</v>
      </c>
      <c r="G176" s="300">
        <f t="shared" si="21"/>
        <v>580</v>
      </c>
      <c r="H176" s="296"/>
      <c r="I176" s="80"/>
      <c r="J176" s="305">
        <v>165</v>
      </c>
      <c r="K176" s="81" t="b">
        <f t="shared" si="15"/>
        <v>0</v>
      </c>
    </row>
    <row r="177" spans="1:11" x14ac:dyDescent="0.25">
      <c r="A177" s="276" t="s">
        <v>491</v>
      </c>
      <c r="B177" s="276" t="s">
        <v>208</v>
      </c>
      <c r="C177" s="277" t="s">
        <v>53</v>
      </c>
      <c r="D177" s="96" t="s">
        <v>203</v>
      </c>
      <c r="E177" s="278">
        <f>'калькуляция 2024'!R177</f>
        <v>333.33</v>
      </c>
      <c r="F177" s="278">
        <f>'калькуляция 2024'!S177</f>
        <v>66.67</v>
      </c>
      <c r="G177" s="300">
        <f t="shared" si="21"/>
        <v>400</v>
      </c>
      <c r="H177" s="296"/>
      <c r="I177" s="80"/>
      <c r="J177" s="305">
        <v>115</v>
      </c>
      <c r="K177" s="81" t="b">
        <f t="shared" si="15"/>
        <v>0</v>
      </c>
    </row>
    <row r="178" spans="1:11" x14ac:dyDescent="0.25">
      <c r="A178" s="276" t="s">
        <v>492</v>
      </c>
      <c r="B178" s="276" t="s">
        <v>209</v>
      </c>
      <c r="C178" s="277" t="s">
        <v>54</v>
      </c>
      <c r="D178" s="96" t="s">
        <v>203</v>
      </c>
      <c r="E178" s="278">
        <f>'калькуляция 2024'!R178</f>
        <v>450</v>
      </c>
      <c r="F178" s="278">
        <f>'калькуляция 2024'!S178</f>
        <v>90</v>
      </c>
      <c r="G178" s="300">
        <f t="shared" si="21"/>
        <v>540</v>
      </c>
      <c r="H178" s="296"/>
      <c r="I178" s="80"/>
      <c r="J178" s="305">
        <v>153</v>
      </c>
      <c r="K178" s="81" t="b">
        <f t="shared" si="15"/>
        <v>0</v>
      </c>
    </row>
    <row r="179" spans="1:11" x14ac:dyDescent="0.25">
      <c r="A179" s="276" t="s">
        <v>493</v>
      </c>
      <c r="B179" s="276" t="s">
        <v>210</v>
      </c>
      <c r="C179" s="277" t="s">
        <v>55</v>
      </c>
      <c r="D179" s="96" t="s">
        <v>211</v>
      </c>
      <c r="E179" s="278">
        <f>'калькуляция 2024'!R179</f>
        <v>666.67</v>
      </c>
      <c r="F179" s="278">
        <f>'калькуляция 2024'!S179</f>
        <v>133.33000000000001</v>
      </c>
      <c r="G179" s="300">
        <f t="shared" si="21"/>
        <v>800</v>
      </c>
      <c r="H179" s="296"/>
      <c r="I179" s="80"/>
      <c r="J179" s="305">
        <v>230</v>
      </c>
      <c r="K179" s="81" t="b">
        <f t="shared" si="15"/>
        <v>0</v>
      </c>
    </row>
    <row r="180" spans="1:11" x14ac:dyDescent="0.25">
      <c r="A180" s="276" t="s">
        <v>494</v>
      </c>
      <c r="B180" s="276" t="s">
        <v>212</v>
      </c>
      <c r="C180" s="277" t="s">
        <v>56</v>
      </c>
      <c r="D180" s="96" t="s">
        <v>211</v>
      </c>
      <c r="E180" s="278">
        <f>'калькуляция 2024'!R180</f>
        <v>1000</v>
      </c>
      <c r="F180" s="278">
        <f>'калькуляция 2024'!S180</f>
        <v>200</v>
      </c>
      <c r="G180" s="300">
        <f t="shared" si="21"/>
        <v>1200</v>
      </c>
      <c r="H180" s="296"/>
      <c r="I180" s="80"/>
      <c r="J180" s="305">
        <v>345</v>
      </c>
      <c r="K180" s="81" t="b">
        <f t="shared" si="15"/>
        <v>0</v>
      </c>
    </row>
    <row r="181" spans="1:11" x14ac:dyDescent="0.25">
      <c r="A181" s="276" t="s">
        <v>495</v>
      </c>
      <c r="B181" s="276" t="s">
        <v>213</v>
      </c>
      <c r="C181" s="277" t="s">
        <v>57</v>
      </c>
      <c r="D181" s="96" t="s">
        <v>34</v>
      </c>
      <c r="E181" s="278">
        <f>'калькуляция 2024'!R181</f>
        <v>916.67</v>
      </c>
      <c r="F181" s="278">
        <f>'калькуляция 2024'!S181</f>
        <v>183.33</v>
      </c>
      <c r="G181" s="300">
        <f t="shared" si="21"/>
        <v>1100</v>
      </c>
      <c r="H181" s="296"/>
      <c r="I181" s="80"/>
      <c r="J181" s="305">
        <v>314</v>
      </c>
      <c r="K181" s="81" t="b">
        <f t="shared" si="15"/>
        <v>0</v>
      </c>
    </row>
    <row r="182" spans="1:11" x14ac:dyDescent="0.25">
      <c r="A182" s="276" t="s">
        <v>496</v>
      </c>
      <c r="B182" s="276" t="s">
        <v>214</v>
      </c>
      <c r="C182" s="277" t="s">
        <v>58</v>
      </c>
      <c r="D182" s="96" t="s">
        <v>203</v>
      </c>
      <c r="E182" s="278">
        <f>'калькуляция 2024'!R182</f>
        <v>275</v>
      </c>
      <c r="F182" s="278">
        <f>'калькуляция 2024'!S182</f>
        <v>55</v>
      </c>
      <c r="G182" s="300">
        <f t="shared" si="21"/>
        <v>330</v>
      </c>
      <c r="H182" s="296"/>
      <c r="I182" s="80"/>
      <c r="J182" s="305">
        <v>192</v>
      </c>
      <c r="K182" s="81" t="b">
        <f t="shared" si="15"/>
        <v>0</v>
      </c>
    </row>
    <row r="183" spans="1:11" x14ac:dyDescent="0.25">
      <c r="A183" s="276" t="s">
        <v>497</v>
      </c>
      <c r="B183" s="276" t="s">
        <v>215</v>
      </c>
      <c r="C183" s="277" t="s">
        <v>59</v>
      </c>
      <c r="D183" s="96" t="s">
        <v>203</v>
      </c>
      <c r="E183" s="278">
        <f>'калькуляция 2024'!R183</f>
        <v>558.33000000000004</v>
      </c>
      <c r="F183" s="278">
        <f>'калькуляция 2024'!S183</f>
        <v>111.67</v>
      </c>
      <c r="G183" s="300">
        <f t="shared" si="21"/>
        <v>670</v>
      </c>
      <c r="H183" s="296"/>
      <c r="I183" s="80"/>
      <c r="J183" s="305">
        <v>383</v>
      </c>
      <c r="K183" s="81" t="b">
        <f t="shared" si="15"/>
        <v>0</v>
      </c>
    </row>
    <row r="184" spans="1:11" ht="18" customHeight="1" x14ac:dyDescent="0.25">
      <c r="A184" s="276" t="s">
        <v>498</v>
      </c>
      <c r="B184" s="276" t="s">
        <v>216</v>
      </c>
      <c r="C184" s="277" t="s">
        <v>60</v>
      </c>
      <c r="D184" s="96" t="s">
        <v>203</v>
      </c>
      <c r="E184" s="278">
        <f>'калькуляция 2024'!R184</f>
        <v>108.33</v>
      </c>
      <c r="F184" s="278">
        <f>'калькуляция 2024'!S184</f>
        <v>21.67</v>
      </c>
      <c r="G184" s="300">
        <f t="shared" si="21"/>
        <v>130</v>
      </c>
      <c r="H184" s="296"/>
      <c r="I184" s="80"/>
      <c r="J184" s="305">
        <v>38</v>
      </c>
      <c r="K184" s="81" t="b">
        <f t="shared" si="15"/>
        <v>0</v>
      </c>
    </row>
    <row r="185" spans="1:11" ht="31.5" x14ac:dyDescent="0.25">
      <c r="A185" s="276" t="s">
        <v>499</v>
      </c>
      <c r="B185" s="276" t="s">
        <v>218</v>
      </c>
      <c r="C185" s="277" t="s">
        <v>380</v>
      </c>
      <c r="D185" s="96" t="s">
        <v>217</v>
      </c>
      <c r="E185" s="278">
        <f>'калькуляция 2024'!R185</f>
        <v>558.33000000000004</v>
      </c>
      <c r="F185" s="278">
        <f>'калькуляция 2024'!S185</f>
        <v>111.67</v>
      </c>
      <c r="G185" s="300">
        <f t="shared" si="21"/>
        <v>670</v>
      </c>
      <c r="H185" s="296"/>
      <c r="I185" s="80"/>
      <c r="J185" s="305">
        <v>202</v>
      </c>
      <c r="K185" s="81" t="b">
        <f t="shared" si="15"/>
        <v>0</v>
      </c>
    </row>
    <row r="186" spans="1:11" ht="23.25" hidden="1" customHeight="1" outlineLevel="1" x14ac:dyDescent="0.25">
      <c r="A186" s="276"/>
      <c r="B186" s="276"/>
      <c r="C186" s="277"/>
      <c r="D186" s="96"/>
      <c r="E186" s="278"/>
      <c r="F186" s="278"/>
      <c r="G186" s="300"/>
      <c r="H186" s="296"/>
      <c r="I186" s="80"/>
      <c r="J186" s="305"/>
      <c r="K186" s="81" t="b">
        <f t="shared" si="15"/>
        <v>1</v>
      </c>
    </row>
    <row r="187" spans="1:11" ht="16.5" hidden="1" customHeight="1" outlineLevel="1" x14ac:dyDescent="0.25">
      <c r="A187" s="276"/>
      <c r="B187" s="276"/>
      <c r="C187" s="277"/>
      <c r="D187" s="96"/>
      <c r="E187" s="278"/>
      <c r="F187" s="278"/>
      <c r="G187" s="300"/>
      <c r="H187" s="296"/>
      <c r="I187" s="80"/>
      <c r="J187" s="305"/>
      <c r="K187" s="81" t="b">
        <f t="shared" si="15"/>
        <v>1</v>
      </c>
    </row>
    <row r="188" spans="1:11" ht="15.75" hidden="1" customHeight="1" outlineLevel="1" x14ac:dyDescent="0.25">
      <c r="A188" s="276"/>
      <c r="B188" s="276"/>
      <c r="C188" s="277"/>
      <c r="D188" s="96"/>
      <c r="E188" s="278"/>
      <c r="F188" s="278"/>
      <c r="G188" s="300"/>
      <c r="H188" s="296"/>
      <c r="I188" s="80"/>
      <c r="J188" s="305"/>
      <c r="K188" s="81" t="b">
        <f t="shared" si="15"/>
        <v>1</v>
      </c>
    </row>
    <row r="189" spans="1:11" ht="31.5" collapsed="1" x14ac:dyDescent="0.25">
      <c r="A189" s="276" t="s">
        <v>500</v>
      </c>
      <c r="B189" s="276" t="s">
        <v>219</v>
      </c>
      <c r="C189" s="277" t="s">
        <v>61</v>
      </c>
      <c r="D189" s="96" t="s">
        <v>211</v>
      </c>
      <c r="E189" s="278">
        <f>'калькуляция 2024'!R189</f>
        <v>558.33000000000004</v>
      </c>
      <c r="F189" s="278">
        <f>'калькуляция 2024'!S189</f>
        <v>111.67</v>
      </c>
      <c r="G189" s="300">
        <f t="shared" ref="G189:G204" si="22">E189+F189</f>
        <v>670</v>
      </c>
      <c r="H189" s="296"/>
      <c r="I189" s="80"/>
      <c r="J189" s="305">
        <v>192</v>
      </c>
      <c r="K189" s="81" t="b">
        <f t="shared" si="15"/>
        <v>0</v>
      </c>
    </row>
    <row r="190" spans="1:11" x14ac:dyDescent="0.25">
      <c r="A190" s="276" t="s">
        <v>501</v>
      </c>
      <c r="B190" s="276" t="s">
        <v>220</v>
      </c>
      <c r="C190" s="277" t="s">
        <v>62</v>
      </c>
      <c r="D190" s="96" t="s">
        <v>193</v>
      </c>
      <c r="E190" s="278">
        <f>'калькуляция 2024'!R190</f>
        <v>333.33</v>
      </c>
      <c r="F190" s="278">
        <f>'калькуляция 2024'!S190</f>
        <v>66.67</v>
      </c>
      <c r="G190" s="300">
        <f t="shared" si="22"/>
        <v>400</v>
      </c>
      <c r="H190" s="296"/>
      <c r="I190" s="80"/>
      <c r="J190" s="305">
        <v>115</v>
      </c>
      <c r="K190" s="81" t="b">
        <f t="shared" si="15"/>
        <v>0</v>
      </c>
    </row>
    <row r="191" spans="1:11" ht="37.5" customHeight="1" x14ac:dyDescent="0.25">
      <c r="A191" s="276" t="s">
        <v>502</v>
      </c>
      <c r="B191" s="276" t="s">
        <v>221</v>
      </c>
      <c r="C191" s="277" t="s">
        <v>63</v>
      </c>
      <c r="D191" s="96" t="s">
        <v>222</v>
      </c>
      <c r="E191" s="278">
        <f>'калькуляция 2024'!R191</f>
        <v>750</v>
      </c>
      <c r="F191" s="278">
        <f>'калькуляция 2024'!S191</f>
        <v>150</v>
      </c>
      <c r="G191" s="300">
        <f t="shared" si="22"/>
        <v>900</v>
      </c>
      <c r="H191" s="296"/>
      <c r="I191" s="80"/>
      <c r="J191" s="305">
        <v>257</v>
      </c>
      <c r="K191" s="81" t="b">
        <f t="shared" si="15"/>
        <v>0</v>
      </c>
    </row>
    <row r="192" spans="1:11" ht="18.95" customHeight="1" x14ac:dyDescent="0.25">
      <c r="A192" s="276" t="s">
        <v>503</v>
      </c>
      <c r="B192" s="276" t="s">
        <v>223</v>
      </c>
      <c r="C192" s="277" t="s">
        <v>64</v>
      </c>
      <c r="D192" s="96" t="s">
        <v>224</v>
      </c>
      <c r="E192" s="278">
        <f>'калькуляция 2024'!R192</f>
        <v>191.67</v>
      </c>
      <c r="F192" s="278">
        <f>'калькуляция 2024'!S192</f>
        <v>38.33</v>
      </c>
      <c r="G192" s="300">
        <f t="shared" si="22"/>
        <v>230</v>
      </c>
      <c r="H192" s="296"/>
      <c r="I192" s="80"/>
      <c r="J192" s="305">
        <v>65</v>
      </c>
      <c r="K192" s="81" t="b">
        <f t="shared" si="15"/>
        <v>0</v>
      </c>
    </row>
    <row r="193" spans="1:11" ht="22.7" customHeight="1" x14ac:dyDescent="0.25">
      <c r="A193" s="276" t="s">
        <v>504</v>
      </c>
      <c r="B193" s="276" t="s">
        <v>225</v>
      </c>
      <c r="C193" s="277" t="s">
        <v>65</v>
      </c>
      <c r="D193" s="96" t="s">
        <v>211</v>
      </c>
      <c r="E193" s="278">
        <f>'калькуляция 2024'!R193</f>
        <v>558.33000000000004</v>
      </c>
      <c r="F193" s="278">
        <f>'калькуляция 2024'!S193</f>
        <v>111.67</v>
      </c>
      <c r="G193" s="300">
        <f t="shared" si="22"/>
        <v>670</v>
      </c>
      <c r="H193" s="296"/>
      <c r="I193" s="80"/>
      <c r="J193" s="305">
        <v>192</v>
      </c>
      <c r="K193" s="81" t="b">
        <f t="shared" si="15"/>
        <v>0</v>
      </c>
    </row>
    <row r="194" spans="1:11" ht="18.95" customHeight="1" x14ac:dyDescent="0.25">
      <c r="A194" s="276" t="s">
        <v>505</v>
      </c>
      <c r="B194" s="276" t="s">
        <v>226</v>
      </c>
      <c r="C194" s="277" t="s">
        <v>66</v>
      </c>
      <c r="D194" s="96" t="s">
        <v>190</v>
      </c>
      <c r="E194" s="278">
        <f>'калькуляция 2024'!R194</f>
        <v>750</v>
      </c>
      <c r="F194" s="278">
        <f>'калькуляция 2024'!S194</f>
        <v>150</v>
      </c>
      <c r="G194" s="300">
        <f t="shared" si="22"/>
        <v>900</v>
      </c>
      <c r="H194" s="296"/>
      <c r="I194" s="80"/>
      <c r="J194" s="305">
        <v>257</v>
      </c>
      <c r="K194" s="81" t="b">
        <f t="shared" si="15"/>
        <v>0</v>
      </c>
    </row>
    <row r="195" spans="1:11" ht="21.75" customHeight="1" x14ac:dyDescent="0.25">
      <c r="A195" s="276" t="s">
        <v>506</v>
      </c>
      <c r="B195" s="276" t="s">
        <v>227</v>
      </c>
      <c r="C195" s="277" t="s">
        <v>67</v>
      </c>
      <c r="D195" s="96" t="s">
        <v>228</v>
      </c>
      <c r="E195" s="278">
        <f>'калькуляция 2024'!R195</f>
        <v>333.33</v>
      </c>
      <c r="F195" s="278">
        <f>'калькуляция 2024'!S195</f>
        <v>66.67</v>
      </c>
      <c r="G195" s="300">
        <f t="shared" si="22"/>
        <v>400</v>
      </c>
      <c r="H195" s="296"/>
      <c r="I195" s="80"/>
      <c r="J195" s="305">
        <v>115</v>
      </c>
      <c r="K195" s="81" t="b">
        <f t="shared" si="15"/>
        <v>0</v>
      </c>
    </row>
    <row r="196" spans="1:11" ht="20.25" customHeight="1" x14ac:dyDescent="0.25">
      <c r="A196" s="276" t="s">
        <v>507</v>
      </c>
      <c r="B196" s="276" t="s">
        <v>229</v>
      </c>
      <c r="C196" s="277" t="s">
        <v>68</v>
      </c>
      <c r="D196" s="96" t="s">
        <v>228</v>
      </c>
      <c r="E196" s="278">
        <f>'калькуляция 2024'!R196</f>
        <v>225</v>
      </c>
      <c r="F196" s="278">
        <f>'калькуляция 2024'!S196</f>
        <v>45</v>
      </c>
      <c r="G196" s="300">
        <f t="shared" si="22"/>
        <v>270</v>
      </c>
      <c r="H196" s="296"/>
      <c r="I196" s="80"/>
      <c r="J196" s="305">
        <v>96</v>
      </c>
      <c r="K196" s="81" t="b">
        <f t="shared" si="15"/>
        <v>0</v>
      </c>
    </row>
    <row r="197" spans="1:11" s="117" customFormat="1" ht="35.25" customHeight="1" x14ac:dyDescent="0.25">
      <c r="A197" s="276" t="s">
        <v>640</v>
      </c>
      <c r="B197" s="276" t="s">
        <v>229</v>
      </c>
      <c r="C197" s="204" t="s">
        <v>641</v>
      </c>
      <c r="D197" s="214" t="s">
        <v>228</v>
      </c>
      <c r="E197" s="278">
        <f>'калькуляция 2024'!R197</f>
        <v>843.33</v>
      </c>
      <c r="F197" s="278">
        <f>'калькуляция 2024'!S197</f>
        <v>168.67</v>
      </c>
      <c r="G197" s="300">
        <f t="shared" si="22"/>
        <v>1012</v>
      </c>
      <c r="H197" s="139"/>
      <c r="I197" s="127"/>
      <c r="J197" s="305">
        <v>313</v>
      </c>
      <c r="K197" s="81" t="b">
        <f t="shared" si="15"/>
        <v>0</v>
      </c>
    </row>
    <row r="198" spans="1:11" s="117" customFormat="1" ht="20.25" hidden="1" customHeight="1" x14ac:dyDescent="0.25">
      <c r="A198" s="276"/>
      <c r="B198" s="276"/>
      <c r="C198" s="277"/>
      <c r="D198" s="96"/>
      <c r="E198" s="278">
        <f>'калькуляция 2024'!R198</f>
        <v>0</v>
      </c>
      <c r="F198" s="278">
        <f>'калькуляция 2024'!S198</f>
        <v>0</v>
      </c>
      <c r="G198" s="300">
        <f t="shared" si="22"/>
        <v>0</v>
      </c>
      <c r="H198" s="139"/>
      <c r="I198" s="127"/>
      <c r="J198" s="305"/>
      <c r="K198" s="81" t="b">
        <f t="shared" si="15"/>
        <v>1</v>
      </c>
    </row>
    <row r="199" spans="1:11" ht="22.7" customHeight="1" x14ac:dyDescent="0.25">
      <c r="A199" s="276" t="s">
        <v>508</v>
      </c>
      <c r="B199" s="276" t="s">
        <v>230</v>
      </c>
      <c r="C199" s="277" t="s">
        <v>69</v>
      </c>
      <c r="D199" s="96" t="s">
        <v>217</v>
      </c>
      <c r="E199" s="278">
        <f>'калькуляция 2024'!R199</f>
        <v>536.66999999999996</v>
      </c>
      <c r="F199" s="278">
        <f>'калькуляция 2024'!S199</f>
        <v>107.33</v>
      </c>
      <c r="G199" s="300">
        <f t="shared" si="22"/>
        <v>644</v>
      </c>
      <c r="H199" s="296"/>
      <c r="I199" s="80"/>
      <c r="J199" s="305">
        <v>260</v>
      </c>
      <c r="K199" s="81" t="b">
        <f t="shared" si="15"/>
        <v>0</v>
      </c>
    </row>
    <row r="200" spans="1:11" ht="15" hidden="1" customHeight="1" outlineLevel="1" x14ac:dyDescent="0.25">
      <c r="A200" s="266"/>
      <c r="B200" s="266"/>
      <c r="C200" s="263"/>
      <c r="D200" s="268"/>
      <c r="E200" s="278">
        <f>'калькуляция 2024'!R200</f>
        <v>0</v>
      </c>
      <c r="F200" s="278">
        <f>'калькуляция 2024'!S200</f>
        <v>0</v>
      </c>
      <c r="G200" s="300">
        <f t="shared" si="22"/>
        <v>0</v>
      </c>
      <c r="H200" s="296"/>
      <c r="I200" s="80"/>
      <c r="J200" s="305"/>
      <c r="K200" s="81" t="b">
        <f t="shared" si="15"/>
        <v>1</v>
      </c>
    </row>
    <row r="201" spans="1:11" ht="15" hidden="1" customHeight="1" outlineLevel="1" x14ac:dyDescent="0.25">
      <c r="A201" s="266"/>
      <c r="B201" s="266"/>
      <c r="C201" s="263"/>
      <c r="D201" s="268"/>
      <c r="E201" s="278">
        <f>'калькуляция 2024'!R201</f>
        <v>0</v>
      </c>
      <c r="F201" s="278">
        <f>'калькуляция 2024'!S201</f>
        <v>0</v>
      </c>
      <c r="G201" s="300">
        <f t="shared" si="22"/>
        <v>0</v>
      </c>
      <c r="H201" s="296"/>
      <c r="I201" s="80"/>
      <c r="J201" s="305"/>
      <c r="K201" s="81" t="b">
        <f t="shared" ref="K201:K264" si="23">G201=J201</f>
        <v>1</v>
      </c>
    </row>
    <row r="202" spans="1:11" ht="15" hidden="1" customHeight="1" outlineLevel="1" x14ac:dyDescent="0.25">
      <c r="A202" s="266"/>
      <c r="B202" s="266"/>
      <c r="C202" s="263"/>
      <c r="D202" s="268"/>
      <c r="E202" s="278">
        <f>'калькуляция 2024'!R202</f>
        <v>0</v>
      </c>
      <c r="F202" s="278">
        <f>'калькуляция 2024'!S202</f>
        <v>0</v>
      </c>
      <c r="G202" s="300">
        <f t="shared" si="22"/>
        <v>0</v>
      </c>
      <c r="H202" s="296"/>
      <c r="I202" s="80"/>
      <c r="J202" s="305"/>
      <c r="K202" s="81" t="b">
        <f t="shared" si="23"/>
        <v>1</v>
      </c>
    </row>
    <row r="203" spans="1:11" ht="15" hidden="1" customHeight="1" outlineLevel="1" x14ac:dyDescent="0.25">
      <c r="A203" s="266"/>
      <c r="B203" s="266"/>
      <c r="C203" s="263"/>
      <c r="D203" s="268"/>
      <c r="E203" s="278">
        <f>'калькуляция 2024'!R203</f>
        <v>0</v>
      </c>
      <c r="F203" s="278">
        <f>'калькуляция 2024'!S203</f>
        <v>0</v>
      </c>
      <c r="G203" s="300">
        <f t="shared" si="22"/>
        <v>0</v>
      </c>
      <c r="H203" s="296"/>
      <c r="I203" s="80"/>
      <c r="J203" s="305"/>
      <c r="K203" s="81" t="b">
        <f t="shared" si="23"/>
        <v>1</v>
      </c>
    </row>
    <row r="204" spans="1:11" ht="33" customHeight="1" collapsed="1" x14ac:dyDescent="0.25">
      <c r="A204" s="276" t="s">
        <v>627</v>
      </c>
      <c r="B204" s="276" t="s">
        <v>230</v>
      </c>
      <c r="C204" s="277" t="s">
        <v>628</v>
      </c>
      <c r="D204" s="214" t="s">
        <v>217</v>
      </c>
      <c r="E204" s="278">
        <f>'калькуляция 2024'!R204</f>
        <v>689.17</v>
      </c>
      <c r="F204" s="278">
        <f>'калькуляция 2024'!S204</f>
        <v>137.83000000000001</v>
      </c>
      <c r="G204" s="300">
        <f t="shared" si="22"/>
        <v>827</v>
      </c>
      <c r="H204" s="296"/>
      <c r="I204" s="80"/>
      <c r="J204" s="305">
        <v>347</v>
      </c>
      <c r="K204" s="81" t="b">
        <f t="shared" si="23"/>
        <v>0</v>
      </c>
    </row>
    <row r="205" spans="1:11" ht="15" hidden="1" customHeight="1" outlineLevel="1" x14ac:dyDescent="0.25">
      <c r="A205" s="217"/>
      <c r="B205" s="218"/>
      <c r="C205" s="219"/>
      <c r="D205" s="220"/>
      <c r="E205" s="221"/>
      <c r="F205" s="221"/>
      <c r="G205" s="319"/>
      <c r="H205" s="296"/>
      <c r="I205" s="80"/>
      <c r="J205" s="305"/>
      <c r="K205" s="81" t="b">
        <f t="shared" si="23"/>
        <v>1</v>
      </c>
    </row>
    <row r="206" spans="1:11" ht="15" hidden="1" customHeight="1" outlineLevel="1" x14ac:dyDescent="0.25">
      <c r="A206" s="217"/>
      <c r="B206" s="218"/>
      <c r="C206" s="219"/>
      <c r="D206" s="220"/>
      <c r="E206" s="221"/>
      <c r="F206" s="221"/>
      <c r="G206" s="319"/>
      <c r="H206" s="296"/>
      <c r="I206" s="80"/>
      <c r="J206" s="305"/>
      <c r="K206" s="81" t="b">
        <f t="shared" si="23"/>
        <v>1</v>
      </c>
    </row>
    <row r="207" spans="1:11" ht="15" hidden="1" customHeight="1" outlineLevel="1" x14ac:dyDescent="0.25">
      <c r="A207" s="217"/>
      <c r="B207" s="218"/>
      <c r="C207" s="219"/>
      <c r="D207" s="220"/>
      <c r="E207" s="221"/>
      <c r="F207" s="221"/>
      <c r="G207" s="319"/>
      <c r="H207" s="296"/>
      <c r="I207" s="80"/>
      <c r="J207" s="305"/>
      <c r="K207" s="81" t="b">
        <f t="shared" si="23"/>
        <v>1</v>
      </c>
    </row>
    <row r="208" spans="1:11" ht="15" hidden="1" customHeight="1" outlineLevel="1" x14ac:dyDescent="0.25">
      <c r="A208" s="217"/>
      <c r="B208" s="218"/>
      <c r="C208" s="219"/>
      <c r="D208" s="220"/>
      <c r="E208" s="221"/>
      <c r="F208" s="221"/>
      <c r="G208" s="319"/>
      <c r="H208" s="296"/>
      <c r="I208" s="80"/>
      <c r="J208" s="305"/>
      <c r="K208" s="81" t="b">
        <f t="shared" si="23"/>
        <v>1</v>
      </c>
    </row>
    <row r="209" spans="1:11" ht="15" hidden="1" customHeight="1" outlineLevel="1" x14ac:dyDescent="0.25">
      <c r="A209" s="217"/>
      <c r="B209" s="218"/>
      <c r="C209" s="219"/>
      <c r="D209" s="220"/>
      <c r="E209" s="221"/>
      <c r="F209" s="221"/>
      <c r="G209" s="319"/>
      <c r="H209" s="296"/>
      <c r="I209" s="80"/>
      <c r="J209" s="305"/>
      <c r="K209" s="81" t="b">
        <f t="shared" si="23"/>
        <v>1</v>
      </c>
    </row>
    <row r="210" spans="1:11" ht="15" hidden="1" customHeight="1" outlineLevel="1" x14ac:dyDescent="0.25">
      <c r="A210" s="217"/>
      <c r="B210" s="218"/>
      <c r="C210" s="219"/>
      <c r="D210" s="220"/>
      <c r="E210" s="221"/>
      <c r="F210" s="221"/>
      <c r="G210" s="319"/>
      <c r="H210" s="296"/>
      <c r="I210" s="80"/>
      <c r="J210" s="305"/>
      <c r="K210" s="81" t="b">
        <f t="shared" si="23"/>
        <v>1</v>
      </c>
    </row>
    <row r="211" spans="1:11" ht="30" customHeight="1" collapsed="1" x14ac:dyDescent="0.25">
      <c r="A211" s="1067" t="s">
        <v>240</v>
      </c>
      <c r="B211" s="1068"/>
      <c r="C211" s="1068"/>
      <c r="D211" s="1068"/>
      <c r="E211" s="299"/>
      <c r="F211" s="299"/>
      <c r="G211" s="320"/>
      <c r="H211" s="296"/>
      <c r="I211" s="80"/>
      <c r="J211" s="305"/>
      <c r="K211" s="81" t="b">
        <f t="shared" si="23"/>
        <v>1</v>
      </c>
    </row>
    <row r="212" spans="1:11" ht="51.75" customHeight="1" x14ac:dyDescent="0.25">
      <c r="A212" s="276" t="s">
        <v>509</v>
      </c>
      <c r="B212" s="276" t="s">
        <v>232</v>
      </c>
      <c r="C212" s="277" t="s">
        <v>395</v>
      </c>
      <c r="D212" s="96" t="s">
        <v>244</v>
      </c>
      <c r="E212" s="278">
        <f>'калькуляция 2024'!R212</f>
        <v>2225</v>
      </c>
      <c r="F212" s="278">
        <f>'калькуляция 2024'!S212</f>
        <v>445</v>
      </c>
      <c r="G212" s="300">
        <f t="shared" ref="G212" si="24">E212+F212</f>
        <v>2670</v>
      </c>
      <c r="H212" s="296"/>
      <c r="I212" s="80"/>
      <c r="J212" s="305">
        <v>1372</v>
      </c>
      <c r="K212" s="81" t="b">
        <f t="shared" si="23"/>
        <v>0</v>
      </c>
    </row>
    <row r="213" spans="1:11" ht="36" hidden="1" customHeight="1" outlineLevel="1" x14ac:dyDescent="0.25">
      <c r="A213" s="276"/>
      <c r="B213" s="276"/>
      <c r="C213" s="277"/>
      <c r="D213" s="96"/>
      <c r="E213" s="278"/>
      <c r="F213" s="278"/>
      <c r="G213" s="300"/>
      <c r="H213" s="296"/>
      <c r="I213" s="80"/>
      <c r="J213" s="305"/>
      <c r="K213" s="81" t="b">
        <f t="shared" si="23"/>
        <v>1</v>
      </c>
    </row>
    <row r="214" spans="1:11" ht="24" hidden="1" customHeight="1" outlineLevel="1" x14ac:dyDescent="0.25">
      <c r="A214" s="276"/>
      <c r="B214" s="276"/>
      <c r="C214" s="277"/>
      <c r="D214" s="96"/>
      <c r="E214" s="278"/>
      <c r="F214" s="278"/>
      <c r="G214" s="300"/>
      <c r="H214" s="296"/>
      <c r="I214" s="80"/>
      <c r="J214" s="305"/>
      <c r="K214" s="81" t="b">
        <f t="shared" si="23"/>
        <v>1</v>
      </c>
    </row>
    <row r="215" spans="1:11" ht="24.75" hidden="1" customHeight="1" outlineLevel="1" x14ac:dyDescent="0.25">
      <c r="A215" s="276"/>
      <c r="B215" s="276"/>
      <c r="C215" s="277"/>
      <c r="D215" s="96"/>
      <c r="E215" s="278"/>
      <c r="F215" s="278"/>
      <c r="G215" s="300"/>
      <c r="H215" s="296"/>
      <c r="I215" s="80"/>
      <c r="J215" s="305"/>
      <c r="K215" s="81" t="b">
        <f t="shared" si="23"/>
        <v>1</v>
      </c>
    </row>
    <row r="216" spans="1:11" ht="15.75" hidden="1" customHeight="1" outlineLevel="1" x14ac:dyDescent="0.25">
      <c r="A216" s="276"/>
      <c r="B216" s="276"/>
      <c r="C216" s="277"/>
      <c r="D216" s="96"/>
      <c r="E216" s="278"/>
      <c r="F216" s="278"/>
      <c r="G216" s="300"/>
      <c r="H216" s="296"/>
      <c r="I216" s="80"/>
      <c r="J216" s="305"/>
      <c r="K216" s="81" t="b">
        <f t="shared" si="23"/>
        <v>1</v>
      </c>
    </row>
    <row r="217" spans="1:11" ht="15.75" hidden="1" customHeight="1" outlineLevel="1" x14ac:dyDescent="0.25">
      <c r="A217" s="276"/>
      <c r="B217" s="276"/>
      <c r="C217" s="277"/>
      <c r="D217" s="96"/>
      <c r="E217" s="278"/>
      <c r="F217" s="278"/>
      <c r="G217" s="300"/>
      <c r="H217" s="296"/>
      <c r="I217" s="80"/>
      <c r="J217" s="305"/>
      <c r="K217" s="81" t="b">
        <f t="shared" si="23"/>
        <v>1</v>
      </c>
    </row>
    <row r="218" spans="1:11" ht="36.950000000000003" customHeight="1" collapsed="1" x14ac:dyDescent="0.25">
      <c r="A218" s="276" t="s">
        <v>510</v>
      </c>
      <c r="B218" s="276" t="s">
        <v>232</v>
      </c>
      <c r="C218" s="277" t="s">
        <v>241</v>
      </c>
      <c r="D218" s="96" t="s">
        <v>244</v>
      </c>
      <c r="E218" s="278">
        <f>'калькуляция 2024'!R218</f>
        <v>2450</v>
      </c>
      <c r="F218" s="278">
        <f>'калькуляция 2024'!S218</f>
        <v>490</v>
      </c>
      <c r="G218" s="300">
        <f t="shared" ref="G218" si="25">E218+F218</f>
        <v>2940</v>
      </c>
      <c r="H218" s="296"/>
      <c r="I218" s="80"/>
      <c r="J218" s="305">
        <v>1155</v>
      </c>
      <c r="K218" s="81" t="b">
        <f t="shared" si="23"/>
        <v>0</v>
      </c>
    </row>
    <row r="219" spans="1:11" ht="24.75" hidden="1" customHeight="1" outlineLevel="1" x14ac:dyDescent="0.25">
      <c r="A219" s="276"/>
      <c r="B219" s="276"/>
      <c r="C219" s="277"/>
      <c r="D219" s="96"/>
      <c r="E219" s="278"/>
      <c r="F219" s="278"/>
      <c r="G219" s="300"/>
      <c r="H219" s="296"/>
      <c r="I219" s="80"/>
      <c r="J219" s="305"/>
      <c r="K219" s="81" t="b">
        <f t="shared" si="23"/>
        <v>1</v>
      </c>
    </row>
    <row r="220" spans="1:11" ht="24.75" hidden="1" customHeight="1" outlineLevel="1" x14ac:dyDescent="0.25">
      <c r="A220" s="276"/>
      <c r="B220" s="276"/>
      <c r="C220" s="277"/>
      <c r="D220" s="96"/>
      <c r="E220" s="278"/>
      <c r="F220" s="278"/>
      <c r="G220" s="300"/>
      <c r="H220" s="296"/>
      <c r="I220" s="80"/>
      <c r="J220" s="305"/>
      <c r="K220" s="81" t="b">
        <f t="shared" si="23"/>
        <v>1</v>
      </c>
    </row>
    <row r="221" spans="1:11" ht="23.25" hidden="1" customHeight="1" outlineLevel="1" x14ac:dyDescent="0.25">
      <c r="A221" s="276"/>
      <c r="B221" s="276"/>
      <c r="C221" s="277"/>
      <c r="D221" s="96"/>
      <c r="E221" s="278"/>
      <c r="F221" s="278"/>
      <c r="G221" s="300"/>
      <c r="H221" s="296"/>
      <c r="I221" s="80"/>
      <c r="J221" s="305"/>
      <c r="K221" s="81" t="b">
        <f t="shared" si="23"/>
        <v>1</v>
      </c>
    </row>
    <row r="222" spans="1:11" ht="15.75" hidden="1" customHeight="1" outlineLevel="1" x14ac:dyDescent="0.25">
      <c r="A222" s="276"/>
      <c r="B222" s="276"/>
      <c r="C222" s="277"/>
      <c r="D222" s="96"/>
      <c r="E222" s="278"/>
      <c r="F222" s="278"/>
      <c r="G222" s="300"/>
      <c r="H222" s="296"/>
      <c r="I222" s="80"/>
      <c r="J222" s="305"/>
      <c r="K222" s="81" t="b">
        <f t="shared" si="23"/>
        <v>1</v>
      </c>
    </row>
    <row r="223" spans="1:11" ht="15.75" hidden="1" customHeight="1" outlineLevel="1" x14ac:dyDescent="0.25">
      <c r="A223" s="276"/>
      <c r="B223" s="276"/>
      <c r="C223" s="277"/>
      <c r="D223" s="96"/>
      <c r="E223" s="278"/>
      <c r="F223" s="278"/>
      <c r="G223" s="300"/>
      <c r="H223" s="296"/>
      <c r="I223" s="80"/>
      <c r="J223" s="305"/>
      <c r="K223" s="81" t="b">
        <f t="shared" si="23"/>
        <v>1</v>
      </c>
    </row>
    <row r="224" spans="1:11" ht="26.25" customHeight="1" collapsed="1" x14ac:dyDescent="0.25">
      <c r="A224" s="276" t="s">
        <v>511</v>
      </c>
      <c r="B224" s="276" t="s">
        <v>233</v>
      </c>
      <c r="C224" s="277" t="s">
        <v>242</v>
      </c>
      <c r="D224" s="96" t="s">
        <v>244</v>
      </c>
      <c r="E224" s="278">
        <f>'калькуляция 2024'!R224</f>
        <v>1341.67</v>
      </c>
      <c r="F224" s="278">
        <f>'калькуляция 2024'!S224</f>
        <v>268.33</v>
      </c>
      <c r="G224" s="300">
        <f t="shared" ref="G224:G226" si="26">E224+F224</f>
        <v>1610</v>
      </c>
      <c r="H224" s="296"/>
      <c r="I224" s="80"/>
      <c r="J224" s="305">
        <v>520</v>
      </c>
      <c r="K224" s="81" t="b">
        <f t="shared" si="23"/>
        <v>0</v>
      </c>
    </row>
    <row r="225" spans="1:11" ht="14.25" customHeight="1" x14ac:dyDescent="0.25">
      <c r="A225" s="920" t="s">
        <v>512</v>
      </c>
      <c r="B225" s="928" t="s">
        <v>235</v>
      </c>
      <c r="C225" s="1063" t="s">
        <v>243</v>
      </c>
      <c r="D225" s="905" t="s">
        <v>244</v>
      </c>
      <c r="E225" s="918">
        <f>'калькуляция 2024'!R225</f>
        <v>3651.67</v>
      </c>
      <c r="F225" s="918">
        <f>'калькуляция 2024'!S225</f>
        <v>730.33</v>
      </c>
      <c r="G225" s="1061">
        <f t="shared" si="26"/>
        <v>4382</v>
      </c>
      <c r="H225" s="915"/>
      <c r="I225" s="955"/>
      <c r="J225" s="1060">
        <v>1456</v>
      </c>
      <c r="K225" s="81" t="b">
        <f t="shared" si="23"/>
        <v>0</v>
      </c>
    </row>
    <row r="226" spans="1:11" ht="23.25" customHeight="1" x14ac:dyDescent="0.25">
      <c r="A226" s="922"/>
      <c r="B226" s="929"/>
      <c r="C226" s="1063"/>
      <c r="D226" s="909"/>
      <c r="E226" s="919">
        <f>'калькуляция 2024'!R226</f>
        <v>0</v>
      </c>
      <c r="F226" s="919">
        <f>'калькуляция 2024'!S226</f>
        <v>0</v>
      </c>
      <c r="G226" s="1062">
        <f t="shared" si="26"/>
        <v>0</v>
      </c>
      <c r="H226" s="916"/>
      <c r="I226" s="955"/>
      <c r="J226" s="1060"/>
      <c r="K226" s="81" t="b">
        <f t="shared" si="23"/>
        <v>1</v>
      </c>
    </row>
    <row r="227" spans="1:11" ht="15.75" hidden="1" customHeight="1" outlineLevel="1" x14ac:dyDescent="0.25">
      <c r="A227" s="276"/>
      <c r="B227" s="222"/>
      <c r="C227" s="277"/>
      <c r="D227" s="96"/>
      <c r="E227" s="278"/>
      <c r="F227" s="278"/>
      <c r="G227" s="300"/>
      <c r="H227" s="296"/>
      <c r="I227" s="80"/>
      <c r="J227" s="305"/>
      <c r="K227" s="81" t="b">
        <f t="shared" si="23"/>
        <v>1</v>
      </c>
    </row>
    <row r="228" spans="1:11" ht="15.75" hidden="1" customHeight="1" outlineLevel="1" x14ac:dyDescent="0.25">
      <c r="A228" s="276"/>
      <c r="B228" s="222"/>
      <c r="C228" s="277"/>
      <c r="D228" s="96"/>
      <c r="E228" s="278"/>
      <c r="F228" s="278"/>
      <c r="G228" s="300"/>
      <c r="H228" s="296"/>
      <c r="I228" s="80"/>
      <c r="J228" s="305"/>
      <c r="K228" s="81" t="b">
        <f t="shared" si="23"/>
        <v>1</v>
      </c>
    </row>
    <row r="229" spans="1:11" ht="35.25" hidden="1" customHeight="1" outlineLevel="1" x14ac:dyDescent="0.25">
      <c r="A229" s="276"/>
      <c r="B229" s="222"/>
      <c r="C229" s="277"/>
      <c r="D229" s="96"/>
      <c r="E229" s="278"/>
      <c r="F229" s="278"/>
      <c r="G229" s="300"/>
      <c r="H229" s="296"/>
      <c r="I229" s="80"/>
      <c r="J229" s="305"/>
      <c r="K229" s="81" t="b">
        <f t="shared" si="23"/>
        <v>1</v>
      </c>
    </row>
    <row r="230" spans="1:11" ht="26.25" hidden="1" customHeight="1" outlineLevel="1" x14ac:dyDescent="0.25">
      <c r="A230" s="276"/>
      <c r="B230" s="222"/>
      <c r="C230" s="277"/>
      <c r="D230" s="96"/>
      <c r="E230" s="278"/>
      <c r="F230" s="278"/>
      <c r="G230" s="300"/>
      <c r="H230" s="296"/>
      <c r="I230" s="80"/>
      <c r="J230" s="305"/>
      <c r="K230" s="81" t="b">
        <f t="shared" si="23"/>
        <v>1</v>
      </c>
    </row>
    <row r="231" spans="1:11" ht="24.75" hidden="1" customHeight="1" outlineLevel="1" x14ac:dyDescent="0.25">
      <c r="A231" s="276"/>
      <c r="B231" s="222"/>
      <c r="C231" s="277"/>
      <c r="D231" s="96"/>
      <c r="E231" s="278"/>
      <c r="F231" s="278"/>
      <c r="G231" s="300"/>
      <c r="H231" s="296"/>
      <c r="I231" s="80"/>
      <c r="J231" s="305"/>
      <c r="K231" s="81" t="b">
        <f t="shared" si="23"/>
        <v>1</v>
      </c>
    </row>
    <row r="232" spans="1:11" ht="15.75" hidden="1" customHeight="1" outlineLevel="1" x14ac:dyDescent="0.25">
      <c r="A232" s="276"/>
      <c r="B232" s="222"/>
      <c r="C232" s="277"/>
      <c r="D232" s="96"/>
      <c r="E232" s="278"/>
      <c r="F232" s="278"/>
      <c r="G232" s="300"/>
      <c r="H232" s="296"/>
      <c r="I232" s="80"/>
      <c r="J232" s="305"/>
      <c r="K232" s="81" t="b">
        <f t="shared" si="23"/>
        <v>1</v>
      </c>
    </row>
    <row r="233" spans="1:11" ht="15.75" hidden="1" customHeight="1" outlineLevel="1" x14ac:dyDescent="0.25">
      <c r="A233" s="276"/>
      <c r="B233" s="222"/>
      <c r="C233" s="277"/>
      <c r="D233" s="96"/>
      <c r="E233" s="278"/>
      <c r="F233" s="278"/>
      <c r="G233" s="300"/>
      <c r="H233" s="296"/>
      <c r="I233" s="80"/>
      <c r="J233" s="305"/>
      <c r="K233" s="81" t="b">
        <f t="shared" si="23"/>
        <v>1</v>
      </c>
    </row>
    <row r="234" spans="1:11" ht="17.25" customHeight="1" collapsed="1" x14ac:dyDescent="0.25">
      <c r="A234" s="920" t="s">
        <v>513</v>
      </c>
      <c r="B234" s="928" t="s">
        <v>237</v>
      </c>
      <c r="C234" s="1063" t="s">
        <v>70</v>
      </c>
      <c r="D234" s="905" t="s">
        <v>236</v>
      </c>
      <c r="E234" s="918">
        <f>'калькуляция 2024'!R234</f>
        <v>2677.5</v>
      </c>
      <c r="F234" s="918">
        <f>'калькуляция 2024'!S234</f>
        <v>535.5</v>
      </c>
      <c r="G234" s="1061">
        <f t="shared" ref="G234:G235" si="27">E234+F234</f>
        <v>3213</v>
      </c>
      <c r="H234" s="915"/>
      <c r="I234" s="955"/>
      <c r="J234" s="1060">
        <v>1474</v>
      </c>
      <c r="K234" s="81" t="b">
        <f t="shared" si="23"/>
        <v>0</v>
      </c>
    </row>
    <row r="235" spans="1:11" ht="32.25" customHeight="1" x14ac:dyDescent="0.25">
      <c r="A235" s="922"/>
      <c r="B235" s="929"/>
      <c r="C235" s="1063"/>
      <c r="D235" s="909"/>
      <c r="E235" s="919">
        <f>'калькуляция 2024'!R235</f>
        <v>0</v>
      </c>
      <c r="F235" s="919">
        <f>'калькуляция 2024'!S235</f>
        <v>0</v>
      </c>
      <c r="G235" s="1062">
        <f t="shared" si="27"/>
        <v>0</v>
      </c>
      <c r="H235" s="916"/>
      <c r="I235" s="955"/>
      <c r="J235" s="1060"/>
      <c r="K235" s="81" t="b">
        <f t="shared" si="23"/>
        <v>1</v>
      </c>
    </row>
    <row r="236" spans="1:11" ht="19.5" hidden="1" customHeight="1" outlineLevel="1" x14ac:dyDescent="0.25">
      <c r="A236" s="265"/>
      <c r="B236" s="294"/>
      <c r="C236" s="277"/>
      <c r="D236" s="274"/>
      <c r="E236" s="283"/>
      <c r="F236" s="283"/>
      <c r="G236" s="313"/>
      <c r="H236" s="280"/>
      <c r="I236" s="80"/>
      <c r="J236" s="305"/>
      <c r="K236" s="81" t="b">
        <f t="shared" si="23"/>
        <v>1</v>
      </c>
    </row>
    <row r="237" spans="1:11" ht="19.5" hidden="1" customHeight="1" outlineLevel="1" x14ac:dyDescent="0.25">
      <c r="A237" s="265"/>
      <c r="B237" s="294"/>
      <c r="C237" s="277"/>
      <c r="D237" s="274"/>
      <c r="E237" s="283"/>
      <c r="F237" s="283"/>
      <c r="G237" s="313"/>
      <c r="H237" s="280"/>
      <c r="I237" s="80"/>
      <c r="J237" s="305"/>
      <c r="K237" s="81" t="b">
        <f t="shared" si="23"/>
        <v>1</v>
      </c>
    </row>
    <row r="238" spans="1:11" ht="36" hidden="1" customHeight="1" outlineLevel="1" x14ac:dyDescent="0.25">
      <c r="A238" s="265"/>
      <c r="B238" s="294"/>
      <c r="C238" s="277"/>
      <c r="D238" s="274"/>
      <c r="E238" s="283"/>
      <c r="F238" s="283"/>
      <c r="G238" s="313"/>
      <c r="H238" s="280"/>
      <c r="I238" s="80"/>
      <c r="J238" s="305"/>
      <c r="K238" s="81" t="b">
        <f t="shared" si="23"/>
        <v>1</v>
      </c>
    </row>
    <row r="239" spans="1:11" ht="24.75" hidden="1" customHeight="1" outlineLevel="1" x14ac:dyDescent="0.25">
      <c r="A239" s="265"/>
      <c r="B239" s="294"/>
      <c r="C239" s="277"/>
      <c r="D239" s="274"/>
      <c r="E239" s="283"/>
      <c r="F239" s="283"/>
      <c r="G239" s="313"/>
      <c r="H239" s="280"/>
      <c r="I239" s="80"/>
      <c r="J239" s="305"/>
      <c r="K239" s="81" t="b">
        <f t="shared" si="23"/>
        <v>1</v>
      </c>
    </row>
    <row r="240" spans="1:11" ht="28.5" hidden="1" customHeight="1" outlineLevel="1" x14ac:dyDescent="0.25">
      <c r="A240" s="265"/>
      <c r="B240" s="294"/>
      <c r="C240" s="277"/>
      <c r="D240" s="274"/>
      <c r="E240" s="283"/>
      <c r="F240" s="283"/>
      <c r="G240" s="313"/>
      <c r="H240" s="280"/>
      <c r="I240" s="80"/>
      <c r="J240" s="305"/>
      <c r="K240" s="81" t="b">
        <f t="shared" si="23"/>
        <v>1</v>
      </c>
    </row>
    <row r="241" spans="1:11" ht="19.5" hidden="1" customHeight="1" outlineLevel="1" x14ac:dyDescent="0.25">
      <c r="A241" s="265"/>
      <c r="B241" s="294"/>
      <c r="C241" s="277"/>
      <c r="D241" s="274"/>
      <c r="E241" s="283"/>
      <c r="F241" s="283"/>
      <c r="G241" s="313"/>
      <c r="H241" s="280"/>
      <c r="I241" s="80"/>
      <c r="J241" s="305"/>
      <c r="K241" s="81" t="b">
        <f t="shared" si="23"/>
        <v>1</v>
      </c>
    </row>
    <row r="242" spans="1:11" ht="2.25" hidden="1" customHeight="1" outlineLevel="1" x14ac:dyDescent="0.25">
      <c r="A242" s="265"/>
      <c r="B242" s="294"/>
      <c r="C242" s="277"/>
      <c r="D242" s="274"/>
      <c r="E242" s="283"/>
      <c r="F242" s="283"/>
      <c r="G242" s="313"/>
      <c r="H242" s="280"/>
      <c r="I242" s="80"/>
      <c r="J242" s="305"/>
      <c r="K242" s="81" t="b">
        <f t="shared" si="23"/>
        <v>1</v>
      </c>
    </row>
    <row r="243" spans="1:11" ht="21" customHeight="1" collapsed="1" x14ac:dyDescent="0.25">
      <c r="A243" s="276" t="s">
        <v>514</v>
      </c>
      <c r="B243" s="276" t="s">
        <v>238</v>
      </c>
      <c r="C243" s="277" t="s">
        <v>245</v>
      </c>
      <c r="D243" s="96" t="s">
        <v>190</v>
      </c>
      <c r="E243" s="278">
        <f>'калькуляция 2024'!R243</f>
        <v>558.33000000000004</v>
      </c>
      <c r="F243" s="278">
        <f>'калькуляция 2024'!S243</f>
        <v>111.67</v>
      </c>
      <c r="G243" s="300">
        <f t="shared" ref="G243:G295" si="28">E243+F243</f>
        <v>670</v>
      </c>
      <c r="H243" s="296"/>
      <c r="I243" s="80"/>
      <c r="J243" s="305">
        <v>217</v>
      </c>
      <c r="K243" s="81" t="b">
        <f t="shared" si="23"/>
        <v>0</v>
      </c>
    </row>
    <row r="244" spans="1:11" x14ac:dyDescent="0.25">
      <c r="A244" s="276" t="s">
        <v>516</v>
      </c>
      <c r="B244" s="276" t="s">
        <v>239</v>
      </c>
      <c r="C244" s="277" t="s">
        <v>71</v>
      </c>
      <c r="D244" s="96" t="s">
        <v>246</v>
      </c>
      <c r="E244" s="278">
        <f>'калькуляция 2024'!R244</f>
        <v>2233.33</v>
      </c>
      <c r="F244" s="278">
        <f>'калькуляция 2024'!S244</f>
        <v>446.67</v>
      </c>
      <c r="G244" s="300">
        <f t="shared" si="28"/>
        <v>2680</v>
      </c>
      <c r="H244" s="296"/>
      <c r="I244" s="80"/>
      <c r="J244" s="305">
        <v>477</v>
      </c>
      <c r="K244" s="81" t="b">
        <f t="shared" si="23"/>
        <v>0</v>
      </c>
    </row>
    <row r="245" spans="1:11" x14ac:dyDescent="0.25">
      <c r="A245" s="276" t="s">
        <v>515</v>
      </c>
      <c r="B245" s="276" t="s">
        <v>247</v>
      </c>
      <c r="C245" s="277" t="s">
        <v>72</v>
      </c>
      <c r="D245" s="96" t="s">
        <v>203</v>
      </c>
      <c r="E245" s="278">
        <f>'калькуляция 2024'!R245</f>
        <v>358.33</v>
      </c>
      <c r="F245" s="278">
        <f>'калькуляция 2024'!S245</f>
        <v>71.67</v>
      </c>
      <c r="G245" s="300">
        <f t="shared" si="28"/>
        <v>430</v>
      </c>
      <c r="H245" s="296"/>
      <c r="I245" s="80"/>
      <c r="J245" s="305">
        <v>260</v>
      </c>
      <c r="K245" s="81" t="b">
        <f t="shared" si="23"/>
        <v>0</v>
      </c>
    </row>
    <row r="246" spans="1:11" x14ac:dyDescent="0.25">
      <c r="A246" s="276" t="s">
        <v>517</v>
      </c>
      <c r="B246" s="276" t="s">
        <v>359</v>
      </c>
      <c r="C246" s="277" t="s">
        <v>73</v>
      </c>
      <c r="D246" s="96" t="s">
        <v>203</v>
      </c>
      <c r="E246" s="278">
        <f>'калькуляция 2024'!R246</f>
        <v>548.33000000000004</v>
      </c>
      <c r="F246" s="278">
        <f>'калькуляция 2024'!S246</f>
        <v>109.67</v>
      </c>
      <c r="G246" s="300">
        <f t="shared" si="28"/>
        <v>658</v>
      </c>
      <c r="H246" s="296"/>
      <c r="I246" s="80"/>
      <c r="J246" s="305">
        <v>434</v>
      </c>
      <c r="K246" s="81" t="b">
        <f t="shared" si="23"/>
        <v>0</v>
      </c>
    </row>
    <row r="247" spans="1:11" x14ac:dyDescent="0.25">
      <c r="A247" s="276" t="s">
        <v>518</v>
      </c>
      <c r="B247" s="276" t="s">
        <v>248</v>
      </c>
      <c r="C247" s="277" t="s">
        <v>74</v>
      </c>
      <c r="D247" s="96" t="s">
        <v>250</v>
      </c>
      <c r="E247" s="278">
        <f>'калькуляция 2024'!R247</f>
        <v>783.33</v>
      </c>
      <c r="F247" s="278">
        <f>'калькуляция 2024'!S247</f>
        <v>156.66999999999999</v>
      </c>
      <c r="G247" s="300">
        <f t="shared" si="28"/>
        <v>940</v>
      </c>
      <c r="H247" s="296"/>
      <c r="I247" s="80"/>
      <c r="J247" s="305">
        <v>304</v>
      </c>
      <c r="K247" s="81" t="b">
        <f t="shared" si="23"/>
        <v>0</v>
      </c>
    </row>
    <row r="248" spans="1:11" x14ac:dyDescent="0.25">
      <c r="A248" s="276" t="s">
        <v>519</v>
      </c>
      <c r="B248" s="276" t="s">
        <v>249</v>
      </c>
      <c r="C248" s="277" t="s">
        <v>75</v>
      </c>
      <c r="D248" s="96" t="s">
        <v>250</v>
      </c>
      <c r="E248" s="278">
        <f>'калькуляция 2024'!R248</f>
        <v>1200</v>
      </c>
      <c r="F248" s="278">
        <f>'калькуляция 2024'!S248</f>
        <v>240</v>
      </c>
      <c r="G248" s="300">
        <f t="shared" si="28"/>
        <v>1440</v>
      </c>
      <c r="H248" s="296"/>
      <c r="I248" s="80"/>
      <c r="J248" s="305">
        <v>173</v>
      </c>
      <c r="K248" s="81" t="b">
        <f t="shared" si="23"/>
        <v>0</v>
      </c>
    </row>
    <row r="249" spans="1:11" ht="18" customHeight="1" x14ac:dyDescent="0.25">
      <c r="A249" s="276" t="s">
        <v>520</v>
      </c>
      <c r="B249" s="276" t="s">
        <v>251</v>
      </c>
      <c r="C249" s="277" t="s">
        <v>76</v>
      </c>
      <c r="D249" s="96" t="s">
        <v>252</v>
      </c>
      <c r="E249" s="278">
        <f>'калькуляция 2024'!R249</f>
        <v>833.33</v>
      </c>
      <c r="F249" s="278">
        <f>'калькуляция 2024'!S249</f>
        <v>166.67</v>
      </c>
      <c r="G249" s="300">
        <f t="shared" si="28"/>
        <v>1000</v>
      </c>
      <c r="H249" s="296"/>
      <c r="I249" s="80"/>
      <c r="J249" s="305">
        <v>173</v>
      </c>
      <c r="K249" s="81" t="b">
        <f t="shared" si="23"/>
        <v>0</v>
      </c>
    </row>
    <row r="250" spans="1:11" x14ac:dyDescent="0.25">
      <c r="A250" s="276" t="s">
        <v>521</v>
      </c>
      <c r="B250" s="276" t="s">
        <v>253</v>
      </c>
      <c r="C250" s="277" t="s">
        <v>77</v>
      </c>
      <c r="D250" s="96" t="s">
        <v>254</v>
      </c>
      <c r="E250" s="278">
        <f>'калькуляция 2024'!R250</f>
        <v>558.33000000000004</v>
      </c>
      <c r="F250" s="278">
        <f>'калькуляция 2024'!S250</f>
        <v>111.67</v>
      </c>
      <c r="G250" s="300">
        <f t="shared" si="28"/>
        <v>670</v>
      </c>
      <c r="H250" s="296"/>
      <c r="I250" s="80"/>
      <c r="J250" s="305">
        <v>104</v>
      </c>
      <c r="K250" s="81" t="b">
        <f t="shared" si="23"/>
        <v>0</v>
      </c>
    </row>
    <row r="251" spans="1:11" ht="20.25" customHeight="1" x14ac:dyDescent="0.25">
      <c r="A251" s="276" t="s">
        <v>522</v>
      </c>
      <c r="B251" s="276" t="s">
        <v>255</v>
      </c>
      <c r="C251" s="277" t="s">
        <v>78</v>
      </c>
      <c r="D251" s="96" t="s">
        <v>203</v>
      </c>
      <c r="E251" s="278">
        <f>'калькуляция 2024'!R251</f>
        <v>162.5</v>
      </c>
      <c r="F251" s="278">
        <f>'калькуляция 2024'!S251</f>
        <v>32.5</v>
      </c>
      <c r="G251" s="300">
        <f t="shared" si="28"/>
        <v>195</v>
      </c>
      <c r="H251" s="296"/>
      <c r="I251" s="80"/>
      <c r="J251" s="305">
        <v>87</v>
      </c>
      <c r="K251" s="81" t="b">
        <f t="shared" si="23"/>
        <v>0</v>
      </c>
    </row>
    <row r="252" spans="1:11" x14ac:dyDescent="0.25">
      <c r="A252" s="276" t="s">
        <v>523</v>
      </c>
      <c r="B252" s="276" t="s">
        <v>256</v>
      </c>
      <c r="C252" s="277" t="s">
        <v>79</v>
      </c>
      <c r="D252" s="96" t="s">
        <v>203</v>
      </c>
      <c r="E252" s="278">
        <f>'калькуляция 2024'!R252</f>
        <v>275</v>
      </c>
      <c r="F252" s="278">
        <f>'калькуляция 2024'!S252</f>
        <v>55</v>
      </c>
      <c r="G252" s="300">
        <f t="shared" si="28"/>
        <v>330</v>
      </c>
      <c r="H252" s="296"/>
      <c r="I252" s="80"/>
      <c r="J252" s="305">
        <v>108</v>
      </c>
      <c r="K252" s="81" t="b">
        <f t="shared" si="23"/>
        <v>0</v>
      </c>
    </row>
    <row r="253" spans="1:11" ht="31.5" x14ac:dyDescent="0.25">
      <c r="A253" s="276" t="s">
        <v>524</v>
      </c>
      <c r="B253" s="276" t="s">
        <v>257</v>
      </c>
      <c r="C253" s="277" t="s">
        <v>80</v>
      </c>
      <c r="D253" s="96" t="s">
        <v>258</v>
      </c>
      <c r="E253" s="278">
        <f>'калькуляция 2024'!R253</f>
        <v>1116.67</v>
      </c>
      <c r="F253" s="278">
        <f>'калькуляция 2024'!S253</f>
        <v>223.33</v>
      </c>
      <c r="G253" s="300">
        <f t="shared" si="28"/>
        <v>1340</v>
      </c>
      <c r="H253" s="296"/>
      <c r="I253" s="80"/>
      <c r="J253" s="305">
        <v>434</v>
      </c>
      <c r="K253" s="81" t="b">
        <f t="shared" si="23"/>
        <v>0</v>
      </c>
    </row>
    <row r="254" spans="1:11" x14ac:dyDescent="0.25">
      <c r="A254" s="276" t="s">
        <v>525</v>
      </c>
      <c r="B254" s="276" t="s">
        <v>260</v>
      </c>
      <c r="C254" s="277" t="s">
        <v>81</v>
      </c>
      <c r="D254" s="96" t="s">
        <v>193</v>
      </c>
      <c r="E254" s="278">
        <f>'калькуляция 2024'!R254</f>
        <v>600</v>
      </c>
      <c r="F254" s="278">
        <f>'калькуляция 2024'!S254</f>
        <v>120</v>
      </c>
      <c r="G254" s="300">
        <f t="shared" si="28"/>
        <v>720</v>
      </c>
      <c r="H254" s="296"/>
      <c r="I254" s="80"/>
      <c r="J254" s="305">
        <v>234</v>
      </c>
      <c r="K254" s="81" t="b">
        <f t="shared" si="23"/>
        <v>0</v>
      </c>
    </row>
    <row r="255" spans="1:11" x14ac:dyDescent="0.25">
      <c r="A255" s="276" t="s">
        <v>526</v>
      </c>
      <c r="B255" s="276" t="s">
        <v>260</v>
      </c>
      <c r="C255" s="277" t="s">
        <v>82</v>
      </c>
      <c r="D255" s="96" t="s">
        <v>261</v>
      </c>
      <c r="E255" s="278">
        <f>'калькуляция 2024'!R255</f>
        <v>1589.17</v>
      </c>
      <c r="F255" s="278">
        <f>'калькуляция 2024'!S255</f>
        <v>317.83</v>
      </c>
      <c r="G255" s="300">
        <f t="shared" si="28"/>
        <v>1907</v>
      </c>
      <c r="H255" s="296"/>
      <c r="I255" s="80"/>
      <c r="J255" s="305">
        <v>620</v>
      </c>
      <c r="K255" s="81" t="b">
        <f t="shared" si="23"/>
        <v>0</v>
      </c>
    </row>
    <row r="256" spans="1:11" x14ac:dyDescent="0.25">
      <c r="A256" s="276" t="s">
        <v>527</v>
      </c>
      <c r="B256" s="276" t="s">
        <v>262</v>
      </c>
      <c r="C256" s="277" t="s">
        <v>83</v>
      </c>
      <c r="D256" s="96" t="s">
        <v>197</v>
      </c>
      <c r="E256" s="278">
        <f>'калькуляция 2024'!R256</f>
        <v>558.33000000000004</v>
      </c>
      <c r="F256" s="278">
        <f>'калькуляция 2024'!S256</f>
        <v>111.67</v>
      </c>
      <c r="G256" s="300">
        <f t="shared" si="28"/>
        <v>670</v>
      </c>
      <c r="H256" s="296"/>
      <c r="I256" s="80"/>
      <c r="J256" s="305">
        <v>217</v>
      </c>
      <c r="K256" s="81" t="b">
        <f t="shared" si="23"/>
        <v>0</v>
      </c>
    </row>
    <row r="257" spans="1:11" x14ac:dyDescent="0.25">
      <c r="A257" s="276" t="s">
        <v>528</v>
      </c>
      <c r="B257" s="276" t="s">
        <v>263</v>
      </c>
      <c r="C257" s="277" t="s">
        <v>84</v>
      </c>
      <c r="D257" s="96" t="s">
        <v>197</v>
      </c>
      <c r="E257" s="278">
        <f>'калькуляция 2024'!R257</f>
        <v>750</v>
      </c>
      <c r="F257" s="278">
        <f>'калькуляция 2024'!S257</f>
        <v>150</v>
      </c>
      <c r="G257" s="300">
        <f t="shared" si="28"/>
        <v>900</v>
      </c>
      <c r="H257" s="296"/>
      <c r="I257" s="80"/>
      <c r="J257" s="305">
        <v>291</v>
      </c>
      <c r="K257" s="81" t="b">
        <f t="shared" si="23"/>
        <v>0</v>
      </c>
    </row>
    <row r="258" spans="1:11" x14ac:dyDescent="0.25">
      <c r="A258" s="276" t="s">
        <v>529</v>
      </c>
      <c r="B258" s="276" t="s">
        <v>264</v>
      </c>
      <c r="C258" s="277" t="s">
        <v>85</v>
      </c>
      <c r="D258" s="96" t="s">
        <v>197</v>
      </c>
      <c r="E258" s="278">
        <f>'калькуляция 2024'!R258</f>
        <v>266.67</v>
      </c>
      <c r="F258" s="278">
        <f>'калькуляция 2024'!S258</f>
        <v>53.33</v>
      </c>
      <c r="G258" s="300">
        <f t="shared" si="28"/>
        <v>320</v>
      </c>
      <c r="H258" s="296"/>
      <c r="I258" s="80"/>
      <c r="J258" s="305">
        <v>104</v>
      </c>
      <c r="K258" s="81" t="b">
        <f t="shared" si="23"/>
        <v>0</v>
      </c>
    </row>
    <row r="259" spans="1:11" x14ac:dyDescent="0.25">
      <c r="A259" s="276" t="s">
        <v>530</v>
      </c>
      <c r="B259" s="276" t="s">
        <v>265</v>
      </c>
      <c r="C259" s="277" t="s">
        <v>86</v>
      </c>
      <c r="D259" s="96" t="s">
        <v>259</v>
      </c>
      <c r="E259" s="278">
        <f>'калькуляция 2024'!R259</f>
        <v>566.66999999999996</v>
      </c>
      <c r="F259" s="278">
        <f>'калькуляция 2024'!S259</f>
        <v>113.33</v>
      </c>
      <c r="G259" s="300">
        <f t="shared" si="28"/>
        <v>680</v>
      </c>
      <c r="H259" s="296"/>
      <c r="I259" s="80"/>
      <c r="J259" s="305">
        <v>221</v>
      </c>
      <c r="K259" s="81" t="b">
        <f t="shared" si="23"/>
        <v>0</v>
      </c>
    </row>
    <row r="260" spans="1:11" ht="31.5" x14ac:dyDescent="0.25">
      <c r="A260" s="276" t="s">
        <v>531</v>
      </c>
      <c r="B260" s="276" t="s">
        <v>35</v>
      </c>
      <c r="C260" s="277" t="s">
        <v>441</v>
      </c>
      <c r="D260" s="96" t="s">
        <v>442</v>
      </c>
      <c r="E260" s="278">
        <f>'калькуляция 2024'!R260</f>
        <v>415</v>
      </c>
      <c r="F260" s="278">
        <f>'калькуляция 2024'!S260</f>
        <v>83</v>
      </c>
      <c r="G260" s="300">
        <f t="shared" si="28"/>
        <v>498</v>
      </c>
      <c r="H260" s="296"/>
      <c r="I260" s="80"/>
      <c r="J260" s="305">
        <v>221</v>
      </c>
      <c r="K260" s="81" t="b">
        <f t="shared" si="23"/>
        <v>0</v>
      </c>
    </row>
    <row r="261" spans="1:11" x14ac:dyDescent="0.25">
      <c r="A261" s="276" t="s">
        <v>532</v>
      </c>
      <c r="B261" s="276" t="s">
        <v>266</v>
      </c>
      <c r="C261" s="277" t="s">
        <v>87</v>
      </c>
      <c r="D261" s="96" t="s">
        <v>267</v>
      </c>
      <c r="E261" s="278">
        <f>'калькуляция 2024'!R261</f>
        <v>366.67</v>
      </c>
      <c r="F261" s="278">
        <f>'калькуляция 2024'!S261</f>
        <v>73.33</v>
      </c>
      <c r="G261" s="300">
        <f t="shared" si="28"/>
        <v>440</v>
      </c>
      <c r="H261" s="296"/>
      <c r="I261" s="80"/>
      <c r="J261" s="305">
        <v>143</v>
      </c>
      <c r="K261" s="81" t="b">
        <f t="shared" si="23"/>
        <v>0</v>
      </c>
    </row>
    <row r="262" spans="1:11" x14ac:dyDescent="0.25">
      <c r="A262" s="276" t="s">
        <v>533</v>
      </c>
      <c r="B262" s="276" t="s">
        <v>35</v>
      </c>
      <c r="C262" s="277" t="s">
        <v>440</v>
      </c>
      <c r="D262" s="96" t="s">
        <v>203</v>
      </c>
      <c r="E262" s="278">
        <f>'калькуляция 2024'!R262</f>
        <v>566.66999999999996</v>
      </c>
      <c r="F262" s="278">
        <f>'калькуляция 2024'!S262</f>
        <v>113.33</v>
      </c>
      <c r="G262" s="300">
        <f t="shared" si="28"/>
        <v>680</v>
      </c>
      <c r="H262" s="296"/>
      <c r="I262" s="80"/>
      <c r="J262" s="305">
        <v>143</v>
      </c>
      <c r="K262" s="81" t="b">
        <f t="shared" si="23"/>
        <v>0</v>
      </c>
    </row>
    <row r="263" spans="1:11" x14ac:dyDescent="0.25">
      <c r="A263" s="276" t="s">
        <v>534</v>
      </c>
      <c r="B263" s="276" t="s">
        <v>268</v>
      </c>
      <c r="C263" s="277" t="s">
        <v>88</v>
      </c>
      <c r="D263" s="96" t="s">
        <v>199</v>
      </c>
      <c r="E263" s="278">
        <f>'калькуляция 2024'!R263</f>
        <v>558.33000000000004</v>
      </c>
      <c r="F263" s="278">
        <f>'калькуляция 2024'!S263</f>
        <v>111.67</v>
      </c>
      <c r="G263" s="300">
        <f t="shared" si="28"/>
        <v>670</v>
      </c>
      <c r="H263" s="296"/>
      <c r="I263" s="80"/>
      <c r="J263" s="305">
        <v>217</v>
      </c>
      <c r="K263" s="81" t="b">
        <f t="shared" si="23"/>
        <v>0</v>
      </c>
    </row>
    <row r="264" spans="1:11" x14ac:dyDescent="0.25">
      <c r="A264" s="276" t="s">
        <v>535</v>
      </c>
      <c r="B264" s="276" t="s">
        <v>269</v>
      </c>
      <c r="C264" s="277" t="s">
        <v>89</v>
      </c>
      <c r="D264" s="96" t="s">
        <v>199</v>
      </c>
      <c r="E264" s="278">
        <f>'калькуляция 2024'!R264</f>
        <v>366.67</v>
      </c>
      <c r="F264" s="278">
        <f>'калькуляция 2024'!S264</f>
        <v>73.33</v>
      </c>
      <c r="G264" s="300">
        <f t="shared" si="28"/>
        <v>440</v>
      </c>
      <c r="H264" s="296"/>
      <c r="I264" s="80"/>
      <c r="J264" s="305">
        <v>143</v>
      </c>
      <c r="K264" s="81" t="b">
        <f t="shared" si="23"/>
        <v>0</v>
      </c>
    </row>
    <row r="265" spans="1:11" x14ac:dyDescent="0.25">
      <c r="A265" s="276" t="s">
        <v>536</v>
      </c>
      <c r="B265" s="276" t="s">
        <v>270</v>
      </c>
      <c r="C265" s="277" t="s">
        <v>90</v>
      </c>
      <c r="D265" s="96" t="s">
        <v>199</v>
      </c>
      <c r="E265" s="278">
        <f>'калькуляция 2024'!R265</f>
        <v>1116.67</v>
      </c>
      <c r="F265" s="278">
        <f>'калькуляция 2024'!S265</f>
        <v>223.33</v>
      </c>
      <c r="G265" s="300">
        <f t="shared" si="28"/>
        <v>1340</v>
      </c>
      <c r="H265" s="296"/>
      <c r="I265" s="80"/>
      <c r="J265" s="305">
        <v>434</v>
      </c>
      <c r="K265" s="81" t="b">
        <f t="shared" ref="K265:K328" si="29">G265=J265</f>
        <v>0</v>
      </c>
    </row>
    <row r="266" spans="1:11" x14ac:dyDescent="0.25">
      <c r="A266" s="276" t="s">
        <v>537</v>
      </c>
      <c r="B266" s="276" t="s">
        <v>271</v>
      </c>
      <c r="C266" s="277" t="s">
        <v>91</v>
      </c>
      <c r="D266" s="96" t="s">
        <v>272</v>
      </c>
      <c r="E266" s="278">
        <f>'калькуляция 2024'!R266</f>
        <v>275</v>
      </c>
      <c r="F266" s="278">
        <f>'калькуляция 2024'!S266</f>
        <v>55</v>
      </c>
      <c r="G266" s="300">
        <f t="shared" si="28"/>
        <v>330</v>
      </c>
      <c r="H266" s="296"/>
      <c r="I266" s="80"/>
      <c r="J266" s="305">
        <v>108</v>
      </c>
      <c r="K266" s="81" t="b">
        <f t="shared" si="29"/>
        <v>0</v>
      </c>
    </row>
    <row r="267" spans="1:11" x14ac:dyDescent="0.25">
      <c r="A267" s="276" t="s">
        <v>538</v>
      </c>
      <c r="B267" s="276" t="s">
        <v>273</v>
      </c>
      <c r="C267" s="277" t="s">
        <v>92</v>
      </c>
      <c r="D267" s="96" t="s">
        <v>274</v>
      </c>
      <c r="E267" s="278">
        <f>'калькуляция 2024'!R267</f>
        <v>108.33</v>
      </c>
      <c r="F267" s="278">
        <f>'калькуляция 2024'!S267</f>
        <v>21.67</v>
      </c>
      <c r="G267" s="300">
        <f t="shared" si="28"/>
        <v>130</v>
      </c>
      <c r="H267" s="296"/>
      <c r="I267" s="80"/>
      <c r="J267" s="305">
        <v>43</v>
      </c>
      <c r="K267" s="81" t="b">
        <f t="shared" si="29"/>
        <v>0</v>
      </c>
    </row>
    <row r="268" spans="1:11" x14ac:dyDescent="0.25">
      <c r="A268" s="276" t="s">
        <v>539</v>
      </c>
      <c r="B268" s="276" t="s">
        <v>276</v>
      </c>
      <c r="C268" s="277" t="s">
        <v>93</v>
      </c>
      <c r="D268" s="96" t="s">
        <v>275</v>
      </c>
      <c r="E268" s="278">
        <f>'калькуляция 2024'!R268</f>
        <v>583.33000000000004</v>
      </c>
      <c r="F268" s="278">
        <f>'калькуляция 2024'!S268</f>
        <v>116.67</v>
      </c>
      <c r="G268" s="300">
        <f t="shared" si="28"/>
        <v>700</v>
      </c>
      <c r="H268" s="296"/>
      <c r="I268" s="80"/>
      <c r="J268" s="305">
        <v>226</v>
      </c>
      <c r="K268" s="81" t="b">
        <f t="shared" si="29"/>
        <v>0</v>
      </c>
    </row>
    <row r="269" spans="1:11" x14ac:dyDescent="0.25">
      <c r="A269" s="276" t="s">
        <v>540</v>
      </c>
      <c r="B269" s="276" t="s">
        <v>277</v>
      </c>
      <c r="C269" s="277" t="s">
        <v>94</v>
      </c>
      <c r="D269" s="96" t="s">
        <v>275</v>
      </c>
      <c r="E269" s="278">
        <f>'калькуляция 2024'!R269</f>
        <v>358.33</v>
      </c>
      <c r="F269" s="278">
        <f>'калькуляция 2024'!S269</f>
        <v>71.67</v>
      </c>
      <c r="G269" s="300">
        <f t="shared" si="28"/>
        <v>430</v>
      </c>
      <c r="H269" s="296"/>
      <c r="I269" s="80"/>
      <c r="J269" s="305">
        <v>139</v>
      </c>
      <c r="K269" s="81" t="b">
        <f t="shared" si="29"/>
        <v>0</v>
      </c>
    </row>
    <row r="270" spans="1:11" x14ac:dyDescent="0.25">
      <c r="A270" s="276" t="s">
        <v>541</v>
      </c>
      <c r="B270" s="276" t="s">
        <v>278</v>
      </c>
      <c r="C270" s="277" t="s">
        <v>95</v>
      </c>
      <c r="D270" s="96" t="s">
        <v>211</v>
      </c>
      <c r="E270" s="278">
        <f>'калькуляция 2024'!R270</f>
        <v>450</v>
      </c>
      <c r="F270" s="278">
        <f>'калькуляция 2024'!S270</f>
        <v>90</v>
      </c>
      <c r="G270" s="300">
        <f t="shared" si="28"/>
        <v>540</v>
      </c>
      <c r="H270" s="296"/>
      <c r="I270" s="80"/>
      <c r="J270" s="305">
        <v>173</v>
      </c>
      <c r="K270" s="81" t="b">
        <f t="shared" si="29"/>
        <v>0</v>
      </c>
    </row>
    <row r="271" spans="1:11" x14ac:dyDescent="0.25">
      <c r="A271" s="276" t="s">
        <v>542</v>
      </c>
      <c r="B271" s="276" t="s">
        <v>279</v>
      </c>
      <c r="C271" s="277" t="s">
        <v>96</v>
      </c>
      <c r="D271" s="96" t="s">
        <v>211</v>
      </c>
      <c r="E271" s="278">
        <f>'калькуляция 2024'!R271</f>
        <v>616.66999999999996</v>
      </c>
      <c r="F271" s="278">
        <f>'калькуляция 2024'!S271</f>
        <v>123.33</v>
      </c>
      <c r="G271" s="300">
        <f t="shared" si="28"/>
        <v>740</v>
      </c>
      <c r="H271" s="296"/>
      <c r="I271" s="80"/>
      <c r="J271" s="305">
        <v>239</v>
      </c>
      <c r="K271" s="81" t="b">
        <f t="shared" si="29"/>
        <v>0</v>
      </c>
    </row>
    <row r="272" spans="1:11" ht="31.7" customHeight="1" x14ac:dyDescent="0.25">
      <c r="A272" s="276" t="s">
        <v>543</v>
      </c>
      <c r="B272" s="276" t="s">
        <v>280</v>
      </c>
      <c r="C272" s="277" t="s">
        <v>97</v>
      </c>
      <c r="D272" s="96" t="s">
        <v>211</v>
      </c>
      <c r="E272" s="278">
        <f>'калькуляция 2024'!R272</f>
        <v>609.16999999999996</v>
      </c>
      <c r="F272" s="278">
        <f>'калькуляция 2024'!S272</f>
        <v>121.83</v>
      </c>
      <c r="G272" s="300">
        <f t="shared" si="28"/>
        <v>731</v>
      </c>
      <c r="H272" s="296"/>
      <c r="I272" s="80"/>
      <c r="J272" s="305">
        <v>325</v>
      </c>
      <c r="K272" s="81" t="b">
        <f t="shared" si="29"/>
        <v>0</v>
      </c>
    </row>
    <row r="273" spans="1:11" ht="17.25" customHeight="1" x14ac:dyDescent="0.25">
      <c r="A273" s="276" t="s">
        <v>544</v>
      </c>
      <c r="B273" s="276" t="s">
        <v>281</v>
      </c>
      <c r="C273" s="277" t="s">
        <v>98</v>
      </c>
      <c r="D273" s="96" t="s">
        <v>190</v>
      </c>
      <c r="E273" s="278">
        <f>'калькуляция 2024'!R273</f>
        <v>891.67</v>
      </c>
      <c r="F273" s="278">
        <f>'калькуляция 2024'!S273</f>
        <v>178.33</v>
      </c>
      <c r="G273" s="300">
        <f t="shared" si="28"/>
        <v>1070</v>
      </c>
      <c r="H273" s="296"/>
      <c r="I273" s="80"/>
      <c r="J273" s="305">
        <v>347</v>
      </c>
      <c r="K273" s="81" t="b">
        <f t="shared" si="29"/>
        <v>0</v>
      </c>
    </row>
    <row r="274" spans="1:11" ht="31.5" x14ac:dyDescent="0.25">
      <c r="A274" s="276" t="s">
        <v>545</v>
      </c>
      <c r="B274" s="276" t="s">
        <v>282</v>
      </c>
      <c r="C274" s="277" t="s">
        <v>99</v>
      </c>
      <c r="D274" s="96" t="s">
        <v>211</v>
      </c>
      <c r="E274" s="278">
        <f>'калькуляция 2024'!R274</f>
        <v>811.67</v>
      </c>
      <c r="F274" s="278">
        <f>'калькуляция 2024'!S274</f>
        <v>162.33000000000001</v>
      </c>
      <c r="G274" s="300">
        <f t="shared" si="28"/>
        <v>974</v>
      </c>
      <c r="H274" s="296"/>
      <c r="I274" s="80"/>
      <c r="J274" s="305">
        <v>434</v>
      </c>
      <c r="K274" s="81" t="b">
        <f t="shared" si="29"/>
        <v>0</v>
      </c>
    </row>
    <row r="275" spans="1:11" ht="26.25" customHeight="1" x14ac:dyDescent="0.25">
      <c r="A275" s="276" t="s">
        <v>546</v>
      </c>
      <c r="B275" s="276" t="s">
        <v>283</v>
      </c>
      <c r="C275" s="277" t="s">
        <v>100</v>
      </c>
      <c r="D275" s="96" t="s">
        <v>211</v>
      </c>
      <c r="E275" s="278">
        <f>'калькуляция 2024'!R275</f>
        <v>275</v>
      </c>
      <c r="F275" s="278">
        <f>'калькуляция 2024'!S275</f>
        <v>55</v>
      </c>
      <c r="G275" s="300">
        <f t="shared" si="28"/>
        <v>330</v>
      </c>
      <c r="H275" s="296"/>
      <c r="I275" s="80"/>
      <c r="J275" s="305">
        <v>108</v>
      </c>
      <c r="K275" s="81" t="b">
        <f t="shared" si="29"/>
        <v>0</v>
      </c>
    </row>
    <row r="276" spans="1:11" x14ac:dyDescent="0.25">
      <c r="A276" s="276" t="s">
        <v>547</v>
      </c>
      <c r="B276" s="276" t="s">
        <v>284</v>
      </c>
      <c r="C276" s="277" t="s">
        <v>101</v>
      </c>
      <c r="D276" s="96" t="s">
        <v>211</v>
      </c>
      <c r="E276" s="278">
        <f>'калькуляция 2024'!R276</f>
        <v>275</v>
      </c>
      <c r="F276" s="278">
        <f>'калькуляция 2024'!S276</f>
        <v>55</v>
      </c>
      <c r="G276" s="300">
        <f t="shared" si="28"/>
        <v>330</v>
      </c>
      <c r="H276" s="296"/>
      <c r="I276" s="80"/>
      <c r="J276" s="305">
        <v>108</v>
      </c>
      <c r="K276" s="81" t="b">
        <f t="shared" si="29"/>
        <v>0</v>
      </c>
    </row>
    <row r="277" spans="1:11" ht="31.5" x14ac:dyDescent="0.25">
      <c r="A277" s="276" t="s">
        <v>548</v>
      </c>
      <c r="B277" s="276" t="s">
        <v>285</v>
      </c>
      <c r="C277" s="277" t="s">
        <v>102</v>
      </c>
      <c r="D277" s="96" t="s">
        <v>211</v>
      </c>
      <c r="E277" s="278">
        <f>'калькуляция 2024'!R277</f>
        <v>275</v>
      </c>
      <c r="F277" s="278">
        <f>'калькуляция 2024'!S277</f>
        <v>55</v>
      </c>
      <c r="G277" s="300">
        <f t="shared" si="28"/>
        <v>330</v>
      </c>
      <c r="H277" s="296"/>
      <c r="I277" s="80"/>
      <c r="J277" s="305">
        <v>108</v>
      </c>
      <c r="K277" s="81" t="b">
        <f t="shared" si="29"/>
        <v>0</v>
      </c>
    </row>
    <row r="278" spans="1:11" x14ac:dyDescent="0.25">
      <c r="A278" s="276" t="s">
        <v>549</v>
      </c>
      <c r="B278" s="276" t="s">
        <v>286</v>
      </c>
      <c r="C278" s="277" t="s">
        <v>103</v>
      </c>
      <c r="D278" s="96" t="s">
        <v>211</v>
      </c>
      <c r="E278" s="278">
        <f>'калькуляция 2024'!R278</f>
        <v>558.33000000000004</v>
      </c>
      <c r="F278" s="278">
        <f>'калькуляция 2024'!S278</f>
        <v>111.67</v>
      </c>
      <c r="G278" s="300">
        <f t="shared" si="28"/>
        <v>670</v>
      </c>
      <c r="H278" s="296"/>
      <c r="I278" s="80"/>
      <c r="J278" s="305">
        <v>217</v>
      </c>
      <c r="K278" s="81" t="b">
        <f t="shared" si="29"/>
        <v>0</v>
      </c>
    </row>
    <row r="279" spans="1:11" x14ac:dyDescent="0.25">
      <c r="A279" s="276" t="s">
        <v>550</v>
      </c>
      <c r="B279" s="276" t="s">
        <v>287</v>
      </c>
      <c r="C279" s="277" t="s">
        <v>104</v>
      </c>
      <c r="D279" s="96" t="s">
        <v>211</v>
      </c>
      <c r="E279" s="278">
        <f>'калькуляция 2024'!R279</f>
        <v>1016.67</v>
      </c>
      <c r="F279" s="278">
        <f>'калькуляция 2024'!S279</f>
        <v>203.33</v>
      </c>
      <c r="G279" s="300">
        <f t="shared" si="28"/>
        <v>1220</v>
      </c>
      <c r="H279" s="296"/>
      <c r="I279" s="80"/>
      <c r="J279" s="305">
        <v>395</v>
      </c>
      <c r="K279" s="81" t="b">
        <f t="shared" si="29"/>
        <v>0</v>
      </c>
    </row>
    <row r="280" spans="1:11" x14ac:dyDescent="0.25">
      <c r="A280" s="276" t="s">
        <v>551</v>
      </c>
      <c r="B280" s="276" t="s">
        <v>288</v>
      </c>
      <c r="C280" s="277" t="s">
        <v>105</v>
      </c>
      <c r="D280" s="96" t="s">
        <v>211</v>
      </c>
      <c r="E280" s="278">
        <f>'калькуляция 2024'!R280</f>
        <v>800</v>
      </c>
      <c r="F280" s="278">
        <f>'калькуляция 2024'!S280</f>
        <v>160</v>
      </c>
      <c r="G280" s="300">
        <f t="shared" si="28"/>
        <v>960</v>
      </c>
      <c r="H280" s="296"/>
      <c r="I280" s="80"/>
      <c r="J280" s="305">
        <v>312</v>
      </c>
      <c r="K280" s="81" t="b">
        <f t="shared" si="29"/>
        <v>0</v>
      </c>
    </row>
    <row r="281" spans="1:11" x14ac:dyDescent="0.25">
      <c r="A281" s="276" t="s">
        <v>552</v>
      </c>
      <c r="B281" s="276" t="s">
        <v>289</v>
      </c>
      <c r="C281" s="277" t="s">
        <v>106</v>
      </c>
      <c r="D281" s="96" t="s">
        <v>211</v>
      </c>
      <c r="E281" s="278">
        <f>'калькуляция 2024'!R281</f>
        <v>466.67</v>
      </c>
      <c r="F281" s="278">
        <f>'калькуляция 2024'!S281</f>
        <v>93.33</v>
      </c>
      <c r="G281" s="300">
        <f t="shared" si="28"/>
        <v>560</v>
      </c>
      <c r="H281" s="296"/>
      <c r="I281" s="80"/>
      <c r="J281" s="305">
        <v>182</v>
      </c>
      <c r="K281" s="81" t="b">
        <f t="shared" si="29"/>
        <v>0</v>
      </c>
    </row>
    <row r="282" spans="1:11" x14ac:dyDescent="0.25">
      <c r="A282" s="276" t="s">
        <v>553</v>
      </c>
      <c r="B282" s="276" t="s">
        <v>290</v>
      </c>
      <c r="C282" s="277" t="s">
        <v>107</v>
      </c>
      <c r="D282" s="96" t="s">
        <v>211</v>
      </c>
      <c r="E282" s="278">
        <f>'калькуляция 2024'!R282</f>
        <v>2233.33</v>
      </c>
      <c r="F282" s="278">
        <f>'калькуляция 2024'!S282</f>
        <v>446.67</v>
      </c>
      <c r="G282" s="300">
        <f t="shared" si="28"/>
        <v>2680</v>
      </c>
      <c r="H282" s="296"/>
      <c r="I282" s="80"/>
      <c r="J282" s="305">
        <v>867</v>
      </c>
      <c r="K282" s="81" t="b">
        <f t="shared" si="29"/>
        <v>0</v>
      </c>
    </row>
    <row r="283" spans="1:11" x14ac:dyDescent="0.25">
      <c r="A283" s="276" t="s">
        <v>554</v>
      </c>
      <c r="B283" s="276" t="s">
        <v>291</v>
      </c>
      <c r="C283" s="277" t="s">
        <v>108</v>
      </c>
      <c r="D283" s="96" t="s">
        <v>211</v>
      </c>
      <c r="E283" s="278">
        <f>'калькуляция 2024'!R283</f>
        <v>391.67</v>
      </c>
      <c r="F283" s="278">
        <f>'калькуляция 2024'!S283</f>
        <v>78.33</v>
      </c>
      <c r="G283" s="300">
        <f t="shared" si="28"/>
        <v>470</v>
      </c>
      <c r="H283" s="296"/>
      <c r="I283" s="80"/>
      <c r="J283" s="305">
        <v>152</v>
      </c>
      <c r="K283" s="81" t="b">
        <f t="shared" si="29"/>
        <v>0</v>
      </c>
    </row>
    <row r="284" spans="1:11" x14ac:dyDescent="0.25">
      <c r="A284" s="276" t="s">
        <v>555</v>
      </c>
      <c r="B284" s="276" t="s">
        <v>292</v>
      </c>
      <c r="C284" s="277" t="s">
        <v>109</v>
      </c>
      <c r="D284" s="96" t="s">
        <v>211</v>
      </c>
      <c r="E284" s="278">
        <f>'калькуляция 2024'!R284</f>
        <v>725</v>
      </c>
      <c r="F284" s="278">
        <f>'калькуляция 2024'!S284</f>
        <v>145</v>
      </c>
      <c r="G284" s="300">
        <f t="shared" si="28"/>
        <v>870</v>
      </c>
      <c r="H284" s="296"/>
      <c r="I284" s="80"/>
      <c r="J284" s="305">
        <v>282</v>
      </c>
      <c r="K284" s="81" t="b">
        <f t="shared" si="29"/>
        <v>0</v>
      </c>
    </row>
    <row r="285" spans="1:11" x14ac:dyDescent="0.25">
      <c r="A285" s="276" t="s">
        <v>556</v>
      </c>
      <c r="B285" s="276" t="s">
        <v>293</v>
      </c>
      <c r="C285" s="277" t="s">
        <v>110</v>
      </c>
      <c r="D285" s="96" t="s">
        <v>211</v>
      </c>
      <c r="E285" s="278">
        <f>'калькуляция 2024'!R285</f>
        <v>811.67</v>
      </c>
      <c r="F285" s="278">
        <f>'калькуляция 2024'!S285</f>
        <v>162.33000000000001</v>
      </c>
      <c r="G285" s="300">
        <f t="shared" si="28"/>
        <v>974</v>
      </c>
      <c r="H285" s="296"/>
      <c r="I285" s="80"/>
      <c r="J285" s="305">
        <v>434</v>
      </c>
      <c r="K285" s="81" t="b">
        <f t="shared" si="29"/>
        <v>0</v>
      </c>
    </row>
    <row r="286" spans="1:11" x14ac:dyDescent="0.25">
      <c r="A286" s="276" t="s">
        <v>557</v>
      </c>
      <c r="B286" s="276" t="s">
        <v>294</v>
      </c>
      <c r="C286" s="277" t="s">
        <v>111</v>
      </c>
      <c r="D286" s="96" t="s">
        <v>211</v>
      </c>
      <c r="E286" s="278">
        <f>'калькуляция 2024'!R286</f>
        <v>733.33</v>
      </c>
      <c r="F286" s="278">
        <f>'калькуляция 2024'!S286</f>
        <v>146.66999999999999</v>
      </c>
      <c r="G286" s="300">
        <f t="shared" si="28"/>
        <v>880</v>
      </c>
      <c r="H286" s="296"/>
      <c r="I286" s="80"/>
      <c r="J286" s="305">
        <v>286</v>
      </c>
      <c r="K286" s="81" t="b">
        <f t="shared" si="29"/>
        <v>0</v>
      </c>
    </row>
    <row r="287" spans="1:11" x14ac:dyDescent="0.25">
      <c r="A287" s="276" t="s">
        <v>558</v>
      </c>
      <c r="B287" s="276" t="s">
        <v>35</v>
      </c>
      <c r="C287" s="277" t="s">
        <v>112</v>
      </c>
      <c r="D287" s="96" t="s">
        <v>211</v>
      </c>
      <c r="E287" s="278">
        <f>'калькуляция 2024'!R287</f>
        <v>81.67</v>
      </c>
      <c r="F287" s="278">
        <f>'калькуляция 2024'!S287</f>
        <v>16.329999999999998</v>
      </c>
      <c r="G287" s="300">
        <f t="shared" si="28"/>
        <v>98</v>
      </c>
      <c r="H287" s="296"/>
      <c r="I287" s="80"/>
      <c r="J287" s="305">
        <v>43</v>
      </c>
      <c r="K287" s="81" t="b">
        <f t="shared" si="29"/>
        <v>0</v>
      </c>
    </row>
    <row r="288" spans="1:11" x14ac:dyDescent="0.25">
      <c r="A288" s="276" t="s">
        <v>559</v>
      </c>
      <c r="B288" s="276" t="s">
        <v>35</v>
      </c>
      <c r="C288" s="277" t="s">
        <v>113</v>
      </c>
      <c r="D288" s="96" t="s">
        <v>211</v>
      </c>
      <c r="E288" s="278">
        <f>'калькуляция 2024'!R288</f>
        <v>275</v>
      </c>
      <c r="F288" s="278">
        <f>'калькуляция 2024'!S288</f>
        <v>55</v>
      </c>
      <c r="G288" s="300">
        <f t="shared" si="28"/>
        <v>330</v>
      </c>
      <c r="H288" s="296"/>
      <c r="I288" s="80"/>
      <c r="J288" s="305">
        <v>123</v>
      </c>
      <c r="K288" s="81" t="b">
        <f t="shared" si="29"/>
        <v>0</v>
      </c>
    </row>
    <row r="289" spans="1:11" x14ac:dyDescent="0.25">
      <c r="A289" s="276" t="s">
        <v>560</v>
      </c>
      <c r="B289" s="276" t="s">
        <v>35</v>
      </c>
      <c r="C289" s="277" t="s">
        <v>114</v>
      </c>
      <c r="D289" s="96" t="s">
        <v>211</v>
      </c>
      <c r="E289" s="278">
        <f>'калькуляция 2024'!R289</f>
        <v>275</v>
      </c>
      <c r="F289" s="278">
        <f>'калькуляция 2024'!S289</f>
        <v>55</v>
      </c>
      <c r="G289" s="300">
        <f t="shared" si="28"/>
        <v>330</v>
      </c>
      <c r="H289" s="296"/>
      <c r="I289" s="80"/>
      <c r="J289" s="305">
        <v>123</v>
      </c>
      <c r="K289" s="81" t="b">
        <f t="shared" si="29"/>
        <v>0</v>
      </c>
    </row>
    <row r="290" spans="1:11" ht="31.5" x14ac:dyDescent="0.25">
      <c r="A290" s="276" t="s">
        <v>561</v>
      </c>
      <c r="B290" s="276" t="s">
        <v>35</v>
      </c>
      <c r="C290" s="277" t="s">
        <v>115</v>
      </c>
      <c r="D290" s="96" t="s">
        <v>211</v>
      </c>
      <c r="E290" s="278">
        <f>'калькуляция 2024'!R290</f>
        <v>433.33</v>
      </c>
      <c r="F290" s="278">
        <f>'калькуляция 2024'!S290</f>
        <v>86.67</v>
      </c>
      <c r="G290" s="300">
        <f t="shared" si="28"/>
        <v>520</v>
      </c>
      <c r="H290" s="296"/>
      <c r="I290" s="80"/>
      <c r="J290" s="305">
        <v>162</v>
      </c>
      <c r="K290" s="81" t="b">
        <f t="shared" si="29"/>
        <v>0</v>
      </c>
    </row>
    <row r="291" spans="1:11" x14ac:dyDescent="0.25">
      <c r="A291" s="276" t="s">
        <v>562</v>
      </c>
      <c r="B291" s="276" t="s">
        <v>35</v>
      </c>
      <c r="C291" s="277" t="s">
        <v>116</v>
      </c>
      <c r="D291" s="96" t="s">
        <v>211</v>
      </c>
      <c r="E291" s="278">
        <f>'калькуляция 2024'!R291</f>
        <v>306.67</v>
      </c>
      <c r="F291" s="278">
        <f>'калькуляция 2024'!S291</f>
        <v>61.33</v>
      </c>
      <c r="G291" s="300">
        <f t="shared" si="28"/>
        <v>368</v>
      </c>
      <c r="H291" s="296"/>
      <c r="I291" s="80"/>
      <c r="J291" s="305">
        <v>162</v>
      </c>
      <c r="K291" s="81" t="b">
        <f t="shared" si="29"/>
        <v>0</v>
      </c>
    </row>
    <row r="292" spans="1:11" x14ac:dyDescent="0.25">
      <c r="A292" s="276" t="s">
        <v>563</v>
      </c>
      <c r="B292" s="276" t="s">
        <v>35</v>
      </c>
      <c r="C292" s="277" t="s">
        <v>117</v>
      </c>
      <c r="D292" s="96" t="s">
        <v>211</v>
      </c>
      <c r="E292" s="278">
        <f>'калькуляция 2024'!R292</f>
        <v>306.67</v>
      </c>
      <c r="F292" s="278">
        <f>'калькуляция 2024'!S292</f>
        <v>61.33</v>
      </c>
      <c r="G292" s="300">
        <f t="shared" si="28"/>
        <v>368</v>
      </c>
      <c r="H292" s="296"/>
      <c r="I292" s="80"/>
      <c r="J292" s="305">
        <v>162</v>
      </c>
      <c r="K292" s="81" t="b">
        <f t="shared" si="29"/>
        <v>0</v>
      </c>
    </row>
    <row r="293" spans="1:11" ht="18" customHeight="1" x14ac:dyDescent="0.25">
      <c r="A293" s="276" t="s">
        <v>564</v>
      </c>
      <c r="B293" s="276" t="s">
        <v>35</v>
      </c>
      <c r="C293" s="277" t="s">
        <v>118</v>
      </c>
      <c r="D293" s="96" t="s">
        <v>211</v>
      </c>
      <c r="E293" s="278">
        <f>'калькуляция 2024'!R293</f>
        <v>462.5</v>
      </c>
      <c r="F293" s="278">
        <f>'калькуляция 2024'!S293</f>
        <v>92.5</v>
      </c>
      <c r="G293" s="300">
        <f t="shared" si="28"/>
        <v>555</v>
      </c>
      <c r="H293" s="296"/>
      <c r="I293" s="80"/>
      <c r="J293" s="305">
        <v>245</v>
      </c>
      <c r="K293" s="81" t="b">
        <f t="shared" si="29"/>
        <v>0</v>
      </c>
    </row>
    <row r="294" spans="1:11" ht="22.5" customHeight="1" x14ac:dyDescent="0.25">
      <c r="A294" s="1065" t="s">
        <v>295</v>
      </c>
      <c r="B294" s="1066"/>
      <c r="C294" s="1066"/>
      <c r="D294" s="1066"/>
      <c r="E294" s="299"/>
      <c r="F294" s="299"/>
      <c r="G294" s="320"/>
      <c r="H294" s="94"/>
      <c r="I294" s="80"/>
      <c r="J294" s="305"/>
      <c r="K294" s="81" t="b">
        <f t="shared" si="29"/>
        <v>1</v>
      </c>
    </row>
    <row r="295" spans="1:11" ht="38.25" customHeight="1" x14ac:dyDescent="0.25">
      <c r="A295" s="276" t="s">
        <v>565</v>
      </c>
      <c r="B295" s="276" t="s">
        <v>296</v>
      </c>
      <c r="C295" s="277" t="s">
        <v>119</v>
      </c>
      <c r="D295" s="96" t="s">
        <v>34</v>
      </c>
      <c r="E295" s="278">
        <f>'калькуляция 2024'!R295</f>
        <v>1000</v>
      </c>
      <c r="F295" s="278">
        <f>'калькуляция 2024'!S295</f>
        <v>200</v>
      </c>
      <c r="G295" s="300">
        <f t="shared" si="28"/>
        <v>1200</v>
      </c>
      <c r="H295" s="296"/>
      <c r="I295" s="80"/>
      <c r="J295" s="305">
        <v>356</v>
      </c>
      <c r="K295" s="81" t="b">
        <f t="shared" si="29"/>
        <v>0</v>
      </c>
    </row>
    <row r="296" spans="1:11" ht="26.25" hidden="1" customHeight="1" outlineLevel="1" x14ac:dyDescent="0.25">
      <c r="A296" s="264"/>
      <c r="B296" s="264"/>
      <c r="C296" s="291"/>
      <c r="D296" s="273"/>
      <c r="E296" s="282"/>
      <c r="F296" s="282"/>
      <c r="G296" s="311"/>
      <c r="H296" s="279"/>
      <c r="I296" s="80"/>
      <c r="J296" s="305"/>
      <c r="K296" s="81" t="b">
        <f t="shared" si="29"/>
        <v>1</v>
      </c>
    </row>
    <row r="297" spans="1:11" ht="15.75" hidden="1" customHeight="1" outlineLevel="1" x14ac:dyDescent="0.25">
      <c r="A297" s="264"/>
      <c r="B297" s="264"/>
      <c r="C297" s="291"/>
      <c r="D297" s="273"/>
      <c r="E297" s="282"/>
      <c r="F297" s="282"/>
      <c r="G297" s="311"/>
      <c r="H297" s="279"/>
      <c r="I297" s="80"/>
      <c r="J297" s="305"/>
      <c r="K297" s="81" t="b">
        <f t="shared" si="29"/>
        <v>1</v>
      </c>
    </row>
    <row r="298" spans="1:11" ht="15.75" hidden="1" customHeight="1" outlineLevel="1" x14ac:dyDescent="0.25">
      <c r="A298" s="264"/>
      <c r="B298" s="264"/>
      <c r="C298" s="291"/>
      <c r="D298" s="273"/>
      <c r="E298" s="282"/>
      <c r="F298" s="282"/>
      <c r="G298" s="311"/>
      <c r="H298" s="279"/>
      <c r="I298" s="80"/>
      <c r="J298" s="305"/>
      <c r="K298" s="81" t="b">
        <f t="shared" si="29"/>
        <v>1</v>
      </c>
    </row>
    <row r="299" spans="1:11" s="117" customFormat="1" ht="46.5" customHeight="1" outlineLevel="1" x14ac:dyDescent="0.25">
      <c r="A299" s="276" t="s">
        <v>643</v>
      </c>
      <c r="B299" s="276" t="s">
        <v>296</v>
      </c>
      <c r="C299" s="277" t="s">
        <v>644</v>
      </c>
      <c r="D299" s="214" t="s">
        <v>34</v>
      </c>
      <c r="E299" s="278">
        <f>'калькуляция 2024'!R299</f>
        <v>1068.33</v>
      </c>
      <c r="F299" s="278">
        <f>'калькуляция 2024'!S299</f>
        <v>213.67</v>
      </c>
      <c r="G299" s="300">
        <f t="shared" ref="G299:G305" si="30">E299+F299</f>
        <v>1282</v>
      </c>
      <c r="H299" s="141"/>
      <c r="I299" s="127"/>
      <c r="J299" s="305">
        <v>582</v>
      </c>
      <c r="K299" s="81" t="b">
        <f t="shared" si="29"/>
        <v>0</v>
      </c>
    </row>
    <row r="300" spans="1:11" s="117" customFormat="1" ht="15.75" hidden="1" customHeight="1" outlineLevel="1" x14ac:dyDescent="0.25">
      <c r="A300" s="266"/>
      <c r="B300" s="266"/>
      <c r="C300" s="267"/>
      <c r="D300" s="262"/>
      <c r="E300" s="278">
        <f>'калькуляция 2024'!R300</f>
        <v>0</v>
      </c>
      <c r="F300" s="278">
        <f>'калькуляция 2024'!S300</f>
        <v>0</v>
      </c>
      <c r="G300" s="300">
        <f t="shared" si="30"/>
        <v>0</v>
      </c>
      <c r="H300" s="141"/>
      <c r="I300" s="127"/>
      <c r="J300" s="305"/>
      <c r="K300" s="81" t="b">
        <f t="shared" si="29"/>
        <v>1</v>
      </c>
    </row>
    <row r="301" spans="1:11" s="117" customFormat="1" ht="15.75" hidden="1" customHeight="1" outlineLevel="1" x14ac:dyDescent="0.25">
      <c r="A301" s="266"/>
      <c r="B301" s="266"/>
      <c r="C301" s="267"/>
      <c r="D301" s="262"/>
      <c r="E301" s="278">
        <f>'калькуляция 2024'!R301</f>
        <v>0</v>
      </c>
      <c r="F301" s="278">
        <f>'калькуляция 2024'!S301</f>
        <v>0</v>
      </c>
      <c r="G301" s="300">
        <f t="shared" si="30"/>
        <v>0</v>
      </c>
      <c r="H301" s="141"/>
      <c r="I301" s="127"/>
      <c r="J301" s="305"/>
      <c r="K301" s="81" t="b">
        <f t="shared" si="29"/>
        <v>1</v>
      </c>
    </row>
    <row r="302" spans="1:11" s="117" customFormat="1" ht="15.75" hidden="1" customHeight="1" outlineLevel="1" x14ac:dyDescent="0.25">
      <c r="A302" s="266"/>
      <c r="B302" s="266"/>
      <c r="C302" s="267"/>
      <c r="D302" s="262"/>
      <c r="E302" s="278">
        <f>'калькуляция 2024'!R302</f>
        <v>0</v>
      </c>
      <c r="F302" s="278">
        <f>'калькуляция 2024'!S302</f>
        <v>0</v>
      </c>
      <c r="G302" s="300">
        <f t="shared" si="30"/>
        <v>0</v>
      </c>
      <c r="H302" s="141"/>
      <c r="I302" s="127"/>
      <c r="J302" s="305"/>
      <c r="K302" s="81" t="b">
        <f t="shared" si="29"/>
        <v>1</v>
      </c>
    </row>
    <row r="303" spans="1:11" s="117" customFormat="1" ht="15.75" hidden="1" customHeight="1" outlineLevel="1" x14ac:dyDescent="0.25">
      <c r="A303" s="266"/>
      <c r="B303" s="266"/>
      <c r="C303" s="267"/>
      <c r="D303" s="262"/>
      <c r="E303" s="278">
        <f>'калькуляция 2024'!R303</f>
        <v>0</v>
      </c>
      <c r="F303" s="278">
        <f>'калькуляция 2024'!S303</f>
        <v>0</v>
      </c>
      <c r="G303" s="300">
        <f t="shared" si="30"/>
        <v>0</v>
      </c>
      <c r="H303" s="141"/>
      <c r="I303" s="127"/>
      <c r="J303" s="305"/>
      <c r="K303" s="81" t="b">
        <f t="shared" si="29"/>
        <v>1</v>
      </c>
    </row>
    <row r="304" spans="1:11" ht="19.5" customHeight="1" collapsed="1" x14ac:dyDescent="0.25">
      <c r="A304" s="920" t="s">
        <v>566</v>
      </c>
      <c r="B304" s="920" t="s">
        <v>298</v>
      </c>
      <c r="C304" s="953" t="s">
        <v>396</v>
      </c>
      <c r="D304" s="905" t="s">
        <v>299</v>
      </c>
      <c r="E304" s="918">
        <f>'калькуляция 2024'!R308</f>
        <v>3307.5</v>
      </c>
      <c r="F304" s="918">
        <f>'калькуляция 2024'!S308</f>
        <v>661.5</v>
      </c>
      <c r="G304" s="1061">
        <f t="shared" si="30"/>
        <v>3969</v>
      </c>
      <c r="H304" s="915"/>
      <c r="I304" s="955"/>
      <c r="J304" s="1060">
        <v>1751</v>
      </c>
      <c r="K304" s="81" t="b">
        <f t="shared" si="29"/>
        <v>0</v>
      </c>
    </row>
    <row r="305" spans="1:11" ht="22.7" customHeight="1" x14ac:dyDescent="0.25">
      <c r="A305" s="922"/>
      <c r="B305" s="922"/>
      <c r="C305" s="954"/>
      <c r="D305" s="909"/>
      <c r="E305" s="919">
        <f>'калькуляция 2024'!R309</f>
        <v>0</v>
      </c>
      <c r="F305" s="919">
        <f>'калькуляция 2024'!S309</f>
        <v>0</v>
      </c>
      <c r="G305" s="1062">
        <f t="shared" si="30"/>
        <v>0</v>
      </c>
      <c r="H305" s="916"/>
      <c r="I305" s="955"/>
      <c r="J305" s="1060"/>
      <c r="K305" s="81" t="b">
        <f t="shared" si="29"/>
        <v>1</v>
      </c>
    </row>
    <row r="306" spans="1:11" ht="15.75" hidden="1" customHeight="1" outlineLevel="1" x14ac:dyDescent="0.25">
      <c r="A306" s="276"/>
      <c r="B306" s="276"/>
      <c r="C306" s="277"/>
      <c r="D306" s="96"/>
      <c r="E306" s="278"/>
      <c r="F306" s="278"/>
      <c r="G306" s="300"/>
      <c r="H306" s="296"/>
      <c r="I306" s="298"/>
      <c r="J306" s="305"/>
      <c r="K306" s="81" t="b">
        <f t="shared" si="29"/>
        <v>1</v>
      </c>
    </row>
    <row r="307" spans="1:11" ht="15.75" hidden="1" customHeight="1" outlineLevel="1" x14ac:dyDescent="0.25">
      <c r="A307" s="276"/>
      <c r="B307" s="276"/>
      <c r="C307" s="277"/>
      <c r="D307" s="96"/>
      <c r="E307" s="278"/>
      <c r="F307" s="278"/>
      <c r="G307" s="300"/>
      <c r="H307" s="296"/>
      <c r="I307" s="298"/>
      <c r="J307" s="305"/>
      <c r="K307" s="81" t="b">
        <f t="shared" si="29"/>
        <v>1</v>
      </c>
    </row>
    <row r="308" spans="1:11" ht="36" hidden="1" customHeight="1" outlineLevel="1" x14ac:dyDescent="0.25">
      <c r="A308" s="276"/>
      <c r="B308" s="276"/>
      <c r="C308" s="277"/>
      <c r="D308" s="96"/>
      <c r="E308" s="278"/>
      <c r="F308" s="278"/>
      <c r="G308" s="300"/>
      <c r="H308" s="296"/>
      <c r="I308" s="298"/>
      <c r="J308" s="305"/>
      <c r="K308" s="81" t="b">
        <f t="shared" si="29"/>
        <v>1</v>
      </c>
    </row>
    <row r="309" spans="1:11" ht="15.75" hidden="1" customHeight="1" outlineLevel="1" x14ac:dyDescent="0.25">
      <c r="A309" s="264"/>
      <c r="B309" s="264"/>
      <c r="C309" s="291"/>
      <c r="D309" s="273"/>
      <c r="E309" s="278"/>
      <c r="F309" s="278"/>
      <c r="G309" s="300"/>
      <c r="H309" s="296"/>
      <c r="I309" s="298"/>
      <c r="J309" s="305"/>
      <c r="K309" s="81" t="b">
        <f t="shared" si="29"/>
        <v>1</v>
      </c>
    </row>
    <row r="310" spans="1:11" ht="15.75" hidden="1" customHeight="1" outlineLevel="1" x14ac:dyDescent="0.25">
      <c r="A310" s="264"/>
      <c r="B310" s="264"/>
      <c r="C310" s="291"/>
      <c r="D310" s="273"/>
      <c r="E310" s="278"/>
      <c r="F310" s="278"/>
      <c r="G310" s="300"/>
      <c r="H310" s="296"/>
      <c r="I310" s="298"/>
      <c r="J310" s="305"/>
      <c r="K310" s="81" t="b">
        <f t="shared" si="29"/>
        <v>1</v>
      </c>
    </row>
    <row r="311" spans="1:11" ht="15.75" hidden="1" customHeight="1" outlineLevel="1" x14ac:dyDescent="0.25">
      <c r="A311" s="264"/>
      <c r="B311" s="264"/>
      <c r="C311" s="291"/>
      <c r="D311" s="273"/>
      <c r="E311" s="278"/>
      <c r="F311" s="278"/>
      <c r="G311" s="300"/>
      <c r="H311" s="296"/>
      <c r="I311" s="298"/>
      <c r="J311" s="305"/>
      <c r="K311" s="81" t="b">
        <f t="shared" si="29"/>
        <v>1</v>
      </c>
    </row>
    <row r="312" spans="1:11" ht="21" customHeight="1" collapsed="1" x14ac:dyDescent="0.25">
      <c r="A312" s="920" t="s">
        <v>567</v>
      </c>
      <c r="B312" s="920" t="s">
        <v>298</v>
      </c>
      <c r="C312" s="953" t="s">
        <v>610</v>
      </c>
      <c r="D312" s="905" t="s">
        <v>299</v>
      </c>
      <c r="E312" s="914">
        <f>'калькуляция 2024'!R316</f>
        <v>4075.83</v>
      </c>
      <c r="F312" s="914">
        <f>'калькуляция 2024'!S316</f>
        <v>815.17</v>
      </c>
      <c r="G312" s="1064">
        <f t="shared" ref="G312:G313" si="31">E312+F312</f>
        <v>4891</v>
      </c>
      <c r="H312" s="942"/>
      <c r="I312" s="955"/>
      <c r="J312" s="1060">
        <v>2124</v>
      </c>
      <c r="K312" s="81" t="b">
        <f t="shared" si="29"/>
        <v>0</v>
      </c>
    </row>
    <row r="313" spans="1:11" ht="28.5" customHeight="1" x14ac:dyDescent="0.25">
      <c r="A313" s="922"/>
      <c r="B313" s="922"/>
      <c r="C313" s="954"/>
      <c r="D313" s="909"/>
      <c r="E313" s="914">
        <f>'калькуляция 2024'!R317</f>
        <v>0</v>
      </c>
      <c r="F313" s="914">
        <f>'калькуляция 2024'!S317</f>
        <v>0</v>
      </c>
      <c r="G313" s="1064">
        <f t="shared" si="31"/>
        <v>0</v>
      </c>
      <c r="H313" s="942"/>
      <c r="I313" s="955"/>
      <c r="J313" s="1060"/>
      <c r="K313" s="81" t="b">
        <f t="shared" si="29"/>
        <v>1</v>
      </c>
    </row>
    <row r="314" spans="1:11" ht="17.25" hidden="1" customHeight="1" outlineLevel="1" x14ac:dyDescent="0.25">
      <c r="A314" s="276"/>
      <c r="B314" s="276"/>
      <c r="C314" s="277"/>
      <c r="D314" s="96"/>
      <c r="E314" s="278"/>
      <c r="F314" s="278"/>
      <c r="G314" s="300"/>
      <c r="H314" s="296"/>
      <c r="I314" s="298"/>
      <c r="J314" s="305"/>
      <c r="K314" s="81" t="b">
        <f t="shared" si="29"/>
        <v>1</v>
      </c>
    </row>
    <row r="315" spans="1:11" ht="17.25" hidden="1" customHeight="1" outlineLevel="1" x14ac:dyDescent="0.25">
      <c r="A315" s="276"/>
      <c r="B315" s="276"/>
      <c r="C315" s="277"/>
      <c r="D315" s="96"/>
      <c r="E315" s="278"/>
      <c r="F315" s="278"/>
      <c r="G315" s="300"/>
      <c r="H315" s="296"/>
      <c r="I315" s="298"/>
      <c r="J315" s="305"/>
      <c r="K315" s="81" t="b">
        <f t="shared" si="29"/>
        <v>1</v>
      </c>
    </row>
    <row r="316" spans="1:11" ht="39" hidden="1" customHeight="1" outlineLevel="1" x14ac:dyDescent="0.25">
      <c r="A316" s="276"/>
      <c r="B316" s="276"/>
      <c r="C316" s="277"/>
      <c r="D316" s="96"/>
      <c r="E316" s="278"/>
      <c r="F316" s="278"/>
      <c r="G316" s="300"/>
      <c r="H316" s="296"/>
      <c r="I316" s="298"/>
      <c r="J316" s="305"/>
      <c r="K316" s="81" t="b">
        <f t="shared" si="29"/>
        <v>1</v>
      </c>
    </row>
    <row r="317" spans="1:11" ht="15.75" hidden="1" customHeight="1" outlineLevel="1" x14ac:dyDescent="0.25">
      <c r="A317" s="264"/>
      <c r="B317" s="264"/>
      <c r="C317" s="291"/>
      <c r="D317" s="273"/>
      <c r="E317" s="282"/>
      <c r="F317" s="282"/>
      <c r="G317" s="311"/>
      <c r="H317" s="279"/>
      <c r="I317" s="298"/>
      <c r="J317" s="305"/>
      <c r="K317" s="81" t="b">
        <f t="shared" si="29"/>
        <v>1</v>
      </c>
    </row>
    <row r="318" spans="1:11" ht="15.75" hidden="1" customHeight="1" outlineLevel="1" x14ac:dyDescent="0.25">
      <c r="A318" s="264"/>
      <c r="B318" s="264"/>
      <c r="C318" s="291"/>
      <c r="D318" s="273"/>
      <c r="E318" s="282"/>
      <c r="F318" s="282"/>
      <c r="G318" s="311"/>
      <c r="H318" s="279"/>
      <c r="I318" s="298"/>
      <c r="J318" s="305"/>
      <c r="K318" s="81" t="b">
        <f t="shared" si="29"/>
        <v>1</v>
      </c>
    </row>
    <row r="319" spans="1:11" ht="15.75" hidden="1" customHeight="1" outlineLevel="1" x14ac:dyDescent="0.25">
      <c r="A319" s="264"/>
      <c r="B319" s="264"/>
      <c r="C319" s="291"/>
      <c r="D319" s="273"/>
      <c r="E319" s="282"/>
      <c r="F319" s="282"/>
      <c r="G319" s="311"/>
      <c r="H319" s="279"/>
      <c r="I319" s="298"/>
      <c r="J319" s="305"/>
      <c r="K319" s="81" t="b">
        <f t="shared" si="29"/>
        <v>1</v>
      </c>
    </row>
    <row r="320" spans="1:11" ht="15" collapsed="1" x14ac:dyDescent="0.25">
      <c r="A320" s="920" t="s">
        <v>568</v>
      </c>
      <c r="B320" s="920" t="s">
        <v>300</v>
      </c>
      <c r="C320" s="953" t="s">
        <v>398</v>
      </c>
      <c r="D320" s="905" t="s">
        <v>36</v>
      </c>
      <c r="E320" s="918">
        <f>'калькуляция 2024'!R324</f>
        <v>1056.67</v>
      </c>
      <c r="F320" s="918">
        <f>'калькуляция 2024'!S324</f>
        <v>211.33</v>
      </c>
      <c r="G320" s="1061">
        <f t="shared" ref="G320:G321" si="32">E320+F320</f>
        <v>1268</v>
      </c>
      <c r="H320" s="915"/>
      <c r="I320" s="955"/>
      <c r="J320" s="1060">
        <v>556</v>
      </c>
      <c r="K320" s="81" t="b">
        <f t="shared" si="29"/>
        <v>0</v>
      </c>
    </row>
    <row r="321" spans="1:11" ht="29.25" customHeight="1" x14ac:dyDescent="0.25">
      <c r="A321" s="922"/>
      <c r="B321" s="922"/>
      <c r="C321" s="954"/>
      <c r="D321" s="909"/>
      <c r="E321" s="919">
        <f>'калькуляция 2024'!R325</f>
        <v>0</v>
      </c>
      <c r="F321" s="919">
        <f>'калькуляция 2024'!S325</f>
        <v>0</v>
      </c>
      <c r="G321" s="1062">
        <f t="shared" si="32"/>
        <v>0</v>
      </c>
      <c r="H321" s="916"/>
      <c r="I321" s="955"/>
      <c r="J321" s="1060"/>
      <c r="K321" s="81" t="b">
        <f t="shared" si="29"/>
        <v>1</v>
      </c>
    </row>
    <row r="322" spans="1:11" ht="27.95" hidden="1" customHeight="1" outlineLevel="1" x14ac:dyDescent="0.25">
      <c r="A322" s="284"/>
      <c r="B322" s="284"/>
      <c r="C322" s="223"/>
      <c r="D322" s="207"/>
      <c r="E322" s="208"/>
      <c r="F322" s="208"/>
      <c r="G322" s="310"/>
      <c r="H322" s="100"/>
      <c r="I322" s="298"/>
      <c r="J322" s="305"/>
      <c r="K322" s="81" t="b">
        <f t="shared" si="29"/>
        <v>1</v>
      </c>
    </row>
    <row r="323" spans="1:11" ht="16.5" customHeight="1" collapsed="1" x14ac:dyDescent="0.25">
      <c r="A323" s="920" t="s">
        <v>569</v>
      </c>
      <c r="B323" s="920" t="s">
        <v>300</v>
      </c>
      <c r="C323" s="953" t="s">
        <v>399</v>
      </c>
      <c r="D323" s="905" t="s">
        <v>36</v>
      </c>
      <c r="E323" s="918">
        <f>'калькуляция 2024'!R327</f>
        <v>1496.67</v>
      </c>
      <c r="F323" s="918">
        <f>'калькуляция 2024'!S327</f>
        <v>299.33</v>
      </c>
      <c r="G323" s="1061">
        <f t="shared" ref="G323:G324" si="33">E323+F323</f>
        <v>1796</v>
      </c>
      <c r="H323" s="915"/>
      <c r="I323" s="955"/>
      <c r="J323" s="1060">
        <v>735</v>
      </c>
      <c r="K323" s="81" t="b">
        <f t="shared" si="29"/>
        <v>0</v>
      </c>
    </row>
    <row r="324" spans="1:11" ht="23.25" customHeight="1" x14ac:dyDescent="0.25">
      <c r="A324" s="922"/>
      <c r="B324" s="922"/>
      <c r="C324" s="954"/>
      <c r="D324" s="909"/>
      <c r="E324" s="919">
        <f>'калькуляция 2024'!R328</f>
        <v>0</v>
      </c>
      <c r="F324" s="919">
        <f>'калькуляция 2024'!S328</f>
        <v>0</v>
      </c>
      <c r="G324" s="1062">
        <f t="shared" si="33"/>
        <v>0</v>
      </c>
      <c r="H324" s="916"/>
      <c r="I324" s="955"/>
      <c r="J324" s="1060"/>
      <c r="K324" s="81" t="b">
        <f t="shared" si="29"/>
        <v>1</v>
      </c>
    </row>
    <row r="325" spans="1:11" ht="27" hidden="1" customHeight="1" outlineLevel="1" x14ac:dyDescent="0.25">
      <c r="A325" s="265"/>
      <c r="B325" s="265"/>
      <c r="C325" s="292"/>
      <c r="D325" s="274"/>
      <c r="E325" s="283"/>
      <c r="F325" s="283"/>
      <c r="G325" s="313"/>
      <c r="H325" s="280"/>
      <c r="I325" s="298"/>
      <c r="J325" s="305"/>
      <c r="K325" s="81" t="b">
        <f t="shared" si="29"/>
        <v>1</v>
      </c>
    </row>
    <row r="326" spans="1:11" ht="42" customHeight="1" collapsed="1" x14ac:dyDescent="0.25">
      <c r="A326" s="276" t="s">
        <v>570</v>
      </c>
      <c r="B326" s="276" t="s">
        <v>301</v>
      </c>
      <c r="C326" s="277" t="s">
        <v>401</v>
      </c>
      <c r="D326" s="96" t="s">
        <v>302</v>
      </c>
      <c r="E326" s="278">
        <f>'калькуляция 2024'!R330</f>
        <v>1050</v>
      </c>
      <c r="F326" s="278">
        <f>'калькуляция 2024'!S330</f>
        <v>210</v>
      </c>
      <c r="G326" s="300">
        <f t="shared" ref="G326" si="34">E326+F326</f>
        <v>1260</v>
      </c>
      <c r="H326" s="296"/>
      <c r="I326" s="80"/>
      <c r="J326" s="305">
        <v>454</v>
      </c>
      <c r="K326" s="81" t="b">
        <f t="shared" si="29"/>
        <v>0</v>
      </c>
    </row>
    <row r="327" spans="1:11" ht="15.75" hidden="1" customHeight="1" outlineLevel="1" x14ac:dyDescent="0.25">
      <c r="A327" s="276"/>
      <c r="B327" s="276"/>
      <c r="C327" s="277"/>
      <c r="D327" s="96"/>
      <c r="E327" s="278"/>
      <c r="F327" s="278"/>
      <c r="G327" s="300"/>
      <c r="H327" s="296"/>
      <c r="I327" s="80"/>
      <c r="J327" s="305"/>
      <c r="K327" s="81" t="b">
        <f t="shared" si="29"/>
        <v>1</v>
      </c>
    </row>
    <row r="328" spans="1:11" ht="15.75" hidden="1" customHeight="1" outlineLevel="1" x14ac:dyDescent="0.25">
      <c r="A328" s="276"/>
      <c r="B328" s="276"/>
      <c r="C328" s="277"/>
      <c r="D328" s="96"/>
      <c r="E328" s="278"/>
      <c r="F328" s="278"/>
      <c r="G328" s="300"/>
      <c r="H328" s="296"/>
      <c r="I328" s="80"/>
      <c r="J328" s="305"/>
      <c r="K328" s="81" t="b">
        <f t="shared" si="29"/>
        <v>1</v>
      </c>
    </row>
    <row r="329" spans="1:11" ht="15.75" hidden="1" customHeight="1" outlineLevel="1" x14ac:dyDescent="0.25">
      <c r="A329" s="276"/>
      <c r="B329" s="276"/>
      <c r="C329" s="277"/>
      <c r="D329" s="96"/>
      <c r="E329" s="278"/>
      <c r="F329" s="278"/>
      <c r="G329" s="300"/>
      <c r="H329" s="296"/>
      <c r="I329" s="80"/>
      <c r="J329" s="305"/>
      <c r="K329" s="81" t="b">
        <f t="shared" ref="K329:K364" si="35">G329=J329</f>
        <v>1</v>
      </c>
    </row>
    <row r="330" spans="1:11" ht="15.75" hidden="1" customHeight="1" outlineLevel="1" x14ac:dyDescent="0.25">
      <c r="A330" s="276"/>
      <c r="B330" s="276"/>
      <c r="C330" s="277"/>
      <c r="D330" s="96"/>
      <c r="E330" s="278"/>
      <c r="F330" s="278"/>
      <c r="G330" s="300"/>
      <c r="H330" s="296"/>
      <c r="I330" s="80"/>
      <c r="J330" s="305"/>
      <c r="K330" s="81" t="b">
        <f t="shared" si="35"/>
        <v>1</v>
      </c>
    </row>
    <row r="331" spans="1:11" ht="42.75" customHeight="1" collapsed="1" x14ac:dyDescent="0.25">
      <c r="A331" s="276" t="s">
        <v>571</v>
      </c>
      <c r="B331" s="276" t="s">
        <v>303</v>
      </c>
      <c r="C331" s="277" t="s">
        <v>120</v>
      </c>
      <c r="D331" s="96" t="s">
        <v>304</v>
      </c>
      <c r="E331" s="278">
        <f>'калькуляция 2024'!R335</f>
        <v>526.66999999999996</v>
      </c>
      <c r="F331" s="278">
        <f>'калькуляция 2024'!S335</f>
        <v>105.33</v>
      </c>
      <c r="G331" s="300">
        <f t="shared" ref="G331:G332" si="36">E331+F331</f>
        <v>632</v>
      </c>
      <c r="H331" s="296"/>
      <c r="I331" s="80"/>
      <c r="J331" s="305">
        <v>249</v>
      </c>
      <c r="K331" s="81" t="b">
        <f t="shared" si="35"/>
        <v>0</v>
      </c>
    </row>
    <row r="332" spans="1:11" ht="37.5" customHeight="1" x14ac:dyDescent="0.25">
      <c r="A332" s="276" t="s">
        <v>572</v>
      </c>
      <c r="B332" s="276" t="s">
        <v>305</v>
      </c>
      <c r="C332" s="277" t="s">
        <v>121</v>
      </c>
      <c r="D332" s="96" t="s">
        <v>234</v>
      </c>
      <c r="E332" s="278">
        <f>'калькуляция 2024'!R336</f>
        <v>1000</v>
      </c>
      <c r="F332" s="278">
        <f>'калькуляция 2024'!S336</f>
        <v>200</v>
      </c>
      <c r="G332" s="300">
        <f t="shared" si="36"/>
        <v>1200</v>
      </c>
      <c r="H332" s="296"/>
      <c r="I332" s="80"/>
      <c r="J332" s="305">
        <v>159</v>
      </c>
      <c r="K332" s="81" t="b">
        <f t="shared" si="35"/>
        <v>0</v>
      </c>
    </row>
    <row r="333" spans="1:11" ht="15.75" hidden="1" customHeight="1" outlineLevel="1" x14ac:dyDescent="0.25">
      <c r="A333" s="276"/>
      <c r="B333" s="276"/>
      <c r="C333" s="277"/>
      <c r="D333" s="96"/>
      <c r="E333" s="278"/>
      <c r="F333" s="278"/>
      <c r="G333" s="300"/>
      <c r="H333" s="296"/>
      <c r="I333" s="80"/>
      <c r="J333" s="305"/>
      <c r="K333" s="81" t="b">
        <f t="shared" si="35"/>
        <v>1</v>
      </c>
    </row>
    <row r="334" spans="1:11" ht="39.75" customHeight="1" collapsed="1" x14ac:dyDescent="0.25">
      <c r="A334" s="276" t="s">
        <v>573</v>
      </c>
      <c r="B334" s="276" t="s">
        <v>306</v>
      </c>
      <c r="C334" s="277" t="s">
        <v>122</v>
      </c>
      <c r="D334" s="96" t="s">
        <v>234</v>
      </c>
      <c r="E334" s="278">
        <f>'калькуляция 2024'!R340</f>
        <v>1108.33</v>
      </c>
      <c r="F334" s="278">
        <f>'калькуляция 2024'!S340</f>
        <v>221.67</v>
      </c>
      <c r="G334" s="300">
        <f t="shared" ref="G334" si="37">E334+F334</f>
        <v>1330</v>
      </c>
      <c r="H334" s="296"/>
      <c r="I334" s="80"/>
      <c r="J334" s="305">
        <v>209</v>
      </c>
      <c r="K334" s="81" t="b">
        <f t="shared" si="35"/>
        <v>0</v>
      </c>
    </row>
    <row r="335" spans="1:11" ht="15.75" hidden="1" customHeight="1" outlineLevel="1" x14ac:dyDescent="0.25">
      <c r="A335" s="264"/>
      <c r="B335" s="276"/>
      <c r="C335" s="277"/>
      <c r="D335" s="96"/>
      <c r="E335" s="278"/>
      <c r="F335" s="278"/>
      <c r="G335" s="300"/>
      <c r="H335" s="296"/>
      <c r="I335" s="80"/>
      <c r="J335" s="305"/>
      <c r="K335" s="81" t="b">
        <f t="shared" si="35"/>
        <v>1</v>
      </c>
    </row>
    <row r="336" spans="1:11" ht="38.25" customHeight="1" collapsed="1" x14ac:dyDescent="0.25">
      <c r="A336" s="264" t="s">
        <v>574</v>
      </c>
      <c r="B336" s="276" t="s">
        <v>378</v>
      </c>
      <c r="C336" s="277" t="s">
        <v>377</v>
      </c>
      <c r="D336" s="96" t="s">
        <v>20</v>
      </c>
      <c r="E336" s="278">
        <f>'калькуляция 2024'!R344</f>
        <v>358.33</v>
      </c>
      <c r="F336" s="278">
        <f>'калькуляция 2024'!S344</f>
        <v>71.67</v>
      </c>
      <c r="G336" s="300">
        <f t="shared" ref="G336:G337" si="38">E336+F336</f>
        <v>430</v>
      </c>
      <c r="H336" s="296"/>
      <c r="I336" s="80"/>
      <c r="J336" s="305">
        <v>123</v>
      </c>
      <c r="K336" s="81" t="b">
        <f t="shared" si="35"/>
        <v>0</v>
      </c>
    </row>
    <row r="337" spans="1:11" ht="66.75" customHeight="1" x14ac:dyDescent="0.25">
      <c r="A337" s="295" t="s">
        <v>575</v>
      </c>
      <c r="B337" s="276" t="s">
        <v>307</v>
      </c>
      <c r="C337" s="277" t="s">
        <v>123</v>
      </c>
      <c r="D337" s="96" t="s">
        <v>234</v>
      </c>
      <c r="E337" s="278">
        <f>'калькуляция 2024'!R345</f>
        <v>225</v>
      </c>
      <c r="F337" s="278">
        <f>'калькуляция 2024'!S345</f>
        <v>45</v>
      </c>
      <c r="G337" s="300">
        <f t="shared" si="38"/>
        <v>270</v>
      </c>
      <c r="H337" s="296"/>
      <c r="I337" s="80"/>
      <c r="J337" s="305">
        <v>77</v>
      </c>
      <c r="K337" s="81" t="b">
        <f t="shared" si="35"/>
        <v>0</v>
      </c>
    </row>
    <row r="338" spans="1:11" s="83" customFormat="1" ht="21" customHeight="1" x14ac:dyDescent="0.25">
      <c r="A338" s="965" t="s">
        <v>606</v>
      </c>
      <c r="B338" s="966"/>
      <c r="C338" s="966"/>
      <c r="D338" s="966"/>
      <c r="E338" s="966"/>
      <c r="F338" s="966"/>
      <c r="G338" s="967"/>
      <c r="H338" s="296"/>
      <c r="I338" s="82"/>
      <c r="J338" s="305"/>
      <c r="K338" s="81" t="b">
        <f t="shared" si="35"/>
        <v>1</v>
      </c>
    </row>
    <row r="339" spans="1:11" ht="30.75" customHeight="1" x14ac:dyDescent="0.25">
      <c r="A339" s="276" t="s">
        <v>576</v>
      </c>
      <c r="B339" s="276" t="s">
        <v>312</v>
      </c>
      <c r="C339" s="277" t="s">
        <v>313</v>
      </c>
      <c r="D339" s="96" t="s">
        <v>211</v>
      </c>
      <c r="E339" s="278">
        <f>'калькуляция 2024'!R352</f>
        <v>558.33000000000004</v>
      </c>
      <c r="F339" s="278">
        <f>'калькуляция 2024'!S352</f>
        <v>111.67</v>
      </c>
      <c r="G339" s="300">
        <f t="shared" ref="G339:G343" si="39">E339+F339</f>
        <v>670</v>
      </c>
      <c r="H339" s="296"/>
      <c r="I339" s="80"/>
      <c r="J339" s="305">
        <v>217</v>
      </c>
      <c r="K339" s="81" t="b">
        <f t="shared" si="35"/>
        <v>0</v>
      </c>
    </row>
    <row r="340" spans="1:11" ht="33" customHeight="1" x14ac:dyDescent="0.25">
      <c r="A340" s="276" t="s">
        <v>577</v>
      </c>
      <c r="B340" s="276" t="s">
        <v>312</v>
      </c>
      <c r="C340" s="277" t="s">
        <v>314</v>
      </c>
      <c r="D340" s="96" t="s">
        <v>211</v>
      </c>
      <c r="E340" s="278">
        <f>'калькуляция 2024'!R353</f>
        <v>162.5</v>
      </c>
      <c r="F340" s="278">
        <f>'калькуляция 2024'!S353</f>
        <v>32.5</v>
      </c>
      <c r="G340" s="300">
        <f t="shared" si="39"/>
        <v>195</v>
      </c>
      <c r="H340" s="296"/>
      <c r="I340" s="80"/>
      <c r="J340" s="305">
        <v>87</v>
      </c>
      <c r="K340" s="81" t="b">
        <f t="shared" si="35"/>
        <v>0</v>
      </c>
    </row>
    <row r="341" spans="1:11" ht="15.75" customHeight="1" x14ac:dyDescent="0.25">
      <c r="A341" s="920" t="s">
        <v>578</v>
      </c>
      <c r="B341" s="920" t="s">
        <v>315</v>
      </c>
      <c r="C341" s="953" t="s">
        <v>130</v>
      </c>
      <c r="D341" s="905" t="s">
        <v>211</v>
      </c>
      <c r="E341" s="918">
        <f>'калькуляция 2024'!R354</f>
        <v>642.5</v>
      </c>
      <c r="F341" s="918">
        <f>'калькуляция 2024'!S354</f>
        <v>128.5</v>
      </c>
      <c r="G341" s="1061">
        <f t="shared" si="39"/>
        <v>771</v>
      </c>
      <c r="H341" s="910"/>
      <c r="I341" s="955"/>
      <c r="J341" s="1060">
        <v>321</v>
      </c>
      <c r="K341" s="81" t="b">
        <f t="shared" si="35"/>
        <v>0</v>
      </c>
    </row>
    <row r="342" spans="1:11" ht="21.75" customHeight="1" x14ac:dyDescent="0.25">
      <c r="A342" s="922"/>
      <c r="B342" s="922"/>
      <c r="C342" s="954"/>
      <c r="D342" s="909"/>
      <c r="E342" s="919">
        <f>'калькуляция 2024'!R355</f>
        <v>0</v>
      </c>
      <c r="F342" s="919">
        <f>'калькуляция 2024'!S355</f>
        <v>0</v>
      </c>
      <c r="G342" s="1062">
        <f t="shared" si="39"/>
        <v>0</v>
      </c>
      <c r="H342" s="911"/>
      <c r="I342" s="955"/>
      <c r="J342" s="1060"/>
      <c r="K342" s="81" t="b">
        <f t="shared" si="35"/>
        <v>1</v>
      </c>
    </row>
    <row r="343" spans="1:11" ht="30" customHeight="1" x14ac:dyDescent="0.25">
      <c r="A343" s="276" t="s">
        <v>579</v>
      </c>
      <c r="B343" s="276" t="s">
        <v>316</v>
      </c>
      <c r="C343" s="277" t="s">
        <v>131</v>
      </c>
      <c r="D343" s="96" t="s">
        <v>211</v>
      </c>
      <c r="E343" s="278">
        <f>'калькуляция 2024'!R356</f>
        <v>1925.83</v>
      </c>
      <c r="F343" s="278">
        <f>'калькуляция 2024'!S356</f>
        <v>385.17</v>
      </c>
      <c r="G343" s="300">
        <f t="shared" si="39"/>
        <v>2311</v>
      </c>
      <c r="H343" s="296"/>
      <c r="I343" s="80"/>
      <c r="J343" s="305">
        <v>992</v>
      </c>
      <c r="K343" s="81" t="b">
        <f t="shared" si="35"/>
        <v>0</v>
      </c>
    </row>
    <row r="344" spans="1:11" ht="15" hidden="1" customHeight="1" outlineLevel="1" x14ac:dyDescent="0.25">
      <c r="A344" s="266"/>
      <c r="B344" s="266"/>
      <c r="C344" s="263"/>
      <c r="D344" s="268"/>
      <c r="E344" s="262"/>
      <c r="F344" s="262"/>
      <c r="G344" s="321"/>
      <c r="H344" s="296"/>
      <c r="I344" s="80"/>
      <c r="J344" s="305"/>
      <c r="K344" s="81" t="b">
        <f t="shared" si="35"/>
        <v>1</v>
      </c>
    </row>
    <row r="345" spans="1:11" ht="15" hidden="1" customHeight="1" outlineLevel="1" x14ac:dyDescent="0.25">
      <c r="A345" s="266"/>
      <c r="B345" s="266"/>
      <c r="C345" s="263"/>
      <c r="D345" s="268"/>
      <c r="E345" s="262"/>
      <c r="F345" s="262"/>
      <c r="G345" s="321"/>
      <c r="H345" s="296"/>
      <c r="I345" s="80"/>
      <c r="J345" s="305"/>
      <c r="K345" s="81" t="b">
        <f t="shared" si="35"/>
        <v>1</v>
      </c>
    </row>
    <row r="346" spans="1:11" ht="15" hidden="1" customHeight="1" outlineLevel="1" x14ac:dyDescent="0.25">
      <c r="A346" s="266"/>
      <c r="B346" s="266"/>
      <c r="C346" s="263"/>
      <c r="D346" s="268"/>
      <c r="E346" s="262"/>
      <c r="F346" s="262"/>
      <c r="G346" s="321"/>
      <c r="H346" s="296"/>
      <c r="I346" s="80"/>
      <c r="J346" s="305"/>
      <c r="K346" s="81" t="b">
        <f t="shared" si="35"/>
        <v>1</v>
      </c>
    </row>
    <row r="347" spans="1:11" s="83" customFormat="1" ht="23.25" customHeight="1" collapsed="1" x14ac:dyDescent="0.25">
      <c r="A347" s="965" t="s">
        <v>632</v>
      </c>
      <c r="B347" s="966"/>
      <c r="C347" s="966"/>
      <c r="D347" s="966"/>
      <c r="E347" s="966"/>
      <c r="F347" s="966"/>
      <c r="G347" s="967"/>
      <c r="H347" s="296"/>
      <c r="I347" s="82"/>
      <c r="J347" s="305"/>
      <c r="K347" s="81" t="b">
        <f t="shared" si="35"/>
        <v>1</v>
      </c>
    </row>
    <row r="348" spans="1:11" ht="22.7" customHeight="1" x14ac:dyDescent="0.25">
      <c r="A348" s="266" t="s">
        <v>580</v>
      </c>
      <c r="B348" s="276" t="s">
        <v>35</v>
      </c>
      <c r="C348" s="277" t="s">
        <v>133</v>
      </c>
      <c r="D348" s="96" t="s">
        <v>317</v>
      </c>
      <c r="E348" s="278">
        <f>'калькуляция 2024'!R361</f>
        <v>1145.83</v>
      </c>
      <c r="F348" s="278">
        <f>'калькуляция 2024'!S361</f>
        <v>229.17</v>
      </c>
      <c r="G348" s="300">
        <f t="shared" ref="G348:G364" si="40">E348+F348</f>
        <v>1375</v>
      </c>
      <c r="H348" s="296"/>
      <c r="I348" s="80"/>
      <c r="J348" s="305">
        <v>766</v>
      </c>
      <c r="K348" s="81" t="b">
        <f t="shared" si="35"/>
        <v>0</v>
      </c>
    </row>
    <row r="349" spans="1:11" ht="23.25" customHeight="1" x14ac:dyDescent="0.25">
      <c r="A349" s="266" t="s">
        <v>581</v>
      </c>
      <c r="B349" s="276" t="s">
        <v>35</v>
      </c>
      <c r="C349" s="277" t="s">
        <v>133</v>
      </c>
      <c r="D349" s="96" t="s">
        <v>318</v>
      </c>
      <c r="E349" s="278">
        <f>'калькуляция 2024'!R362</f>
        <v>23.33</v>
      </c>
      <c r="F349" s="278">
        <f>'калькуляция 2024'!S362</f>
        <v>4.67</v>
      </c>
      <c r="G349" s="300">
        <f t="shared" si="40"/>
        <v>28</v>
      </c>
      <c r="H349" s="296"/>
      <c r="I349" s="80"/>
      <c r="J349" s="305">
        <v>15</v>
      </c>
      <c r="K349" s="81" t="b">
        <f t="shared" si="35"/>
        <v>0</v>
      </c>
    </row>
    <row r="350" spans="1:11" ht="22.7" customHeight="1" x14ac:dyDescent="0.25">
      <c r="A350" s="266" t="s">
        <v>583</v>
      </c>
      <c r="B350" s="276" t="s">
        <v>35</v>
      </c>
      <c r="C350" s="277" t="s">
        <v>132</v>
      </c>
      <c r="D350" s="96" t="s">
        <v>317</v>
      </c>
      <c r="E350" s="278">
        <f>'калькуляция 2024'!R363</f>
        <v>1454.17</v>
      </c>
      <c r="F350" s="278">
        <f>'калькуляция 2024'!S363</f>
        <v>290.83</v>
      </c>
      <c r="G350" s="300">
        <f t="shared" si="40"/>
        <v>1745</v>
      </c>
      <c r="H350" s="296"/>
      <c r="I350" s="80"/>
      <c r="J350" s="305">
        <v>868</v>
      </c>
      <c r="K350" s="81" t="b">
        <f t="shared" si="35"/>
        <v>0</v>
      </c>
    </row>
    <row r="351" spans="1:11" ht="21.75" customHeight="1" x14ac:dyDescent="0.25">
      <c r="A351" s="266" t="s">
        <v>584</v>
      </c>
      <c r="B351" s="276" t="s">
        <v>35</v>
      </c>
      <c r="C351" s="277" t="s">
        <v>132</v>
      </c>
      <c r="D351" s="96" t="s">
        <v>318</v>
      </c>
      <c r="E351" s="278">
        <f>'калькуляция 2024'!R364</f>
        <v>29.17</v>
      </c>
      <c r="F351" s="278">
        <f>'калькуляция 2024'!S364</f>
        <v>5.83</v>
      </c>
      <c r="G351" s="300">
        <f t="shared" si="40"/>
        <v>35</v>
      </c>
      <c r="H351" s="296"/>
      <c r="I351" s="80"/>
      <c r="J351" s="305">
        <v>17</v>
      </c>
      <c r="K351" s="81" t="b">
        <f t="shared" si="35"/>
        <v>0</v>
      </c>
    </row>
    <row r="352" spans="1:11" ht="30" customHeight="1" x14ac:dyDescent="0.25">
      <c r="A352" s="266" t="s">
        <v>585</v>
      </c>
      <c r="B352" s="276" t="s">
        <v>319</v>
      </c>
      <c r="C352" s="277" t="s">
        <v>134</v>
      </c>
      <c r="D352" s="96" t="s">
        <v>20</v>
      </c>
      <c r="E352" s="278">
        <f>'калькуляция 2024'!R365</f>
        <v>494.17</v>
      </c>
      <c r="F352" s="278">
        <f>'калькуляция 2024'!S365</f>
        <v>98.83</v>
      </c>
      <c r="G352" s="300">
        <f t="shared" si="40"/>
        <v>593</v>
      </c>
      <c r="H352" s="296"/>
      <c r="I352" s="80"/>
      <c r="J352" s="305">
        <v>201</v>
      </c>
      <c r="K352" s="81" t="b">
        <f t="shared" si="35"/>
        <v>0</v>
      </c>
    </row>
    <row r="353" spans="1:11" ht="31.7" customHeight="1" x14ac:dyDescent="0.25">
      <c r="A353" s="266" t="s">
        <v>586</v>
      </c>
      <c r="B353" s="214" t="s">
        <v>35</v>
      </c>
      <c r="C353" s="277" t="s">
        <v>135</v>
      </c>
      <c r="D353" s="96" t="s">
        <v>320</v>
      </c>
      <c r="E353" s="278">
        <f>'калькуляция 2024'!R366</f>
        <v>145</v>
      </c>
      <c r="F353" s="278">
        <f>'калькуляция 2024'!S366</f>
        <v>29</v>
      </c>
      <c r="G353" s="300">
        <f t="shared" si="40"/>
        <v>174</v>
      </c>
      <c r="H353" s="296"/>
      <c r="I353" s="80"/>
      <c r="J353" s="305">
        <v>69</v>
      </c>
      <c r="K353" s="81" t="b">
        <f t="shared" si="35"/>
        <v>0</v>
      </c>
    </row>
    <row r="354" spans="1:11" ht="39.75" customHeight="1" x14ac:dyDescent="0.25">
      <c r="A354" s="276" t="s">
        <v>587</v>
      </c>
      <c r="B354" s="214" t="s">
        <v>35</v>
      </c>
      <c r="C354" s="277" t="s">
        <v>136</v>
      </c>
      <c r="D354" s="96" t="s">
        <v>320</v>
      </c>
      <c r="E354" s="278">
        <f>'калькуляция 2024'!R367</f>
        <v>105</v>
      </c>
      <c r="F354" s="278">
        <f>'калькуляция 2024'!S367</f>
        <v>21</v>
      </c>
      <c r="G354" s="300">
        <f t="shared" si="40"/>
        <v>126</v>
      </c>
      <c r="H354" s="296"/>
      <c r="I354" s="80"/>
      <c r="J354" s="305">
        <v>41</v>
      </c>
      <c r="K354" s="81" t="b">
        <f t="shared" si="35"/>
        <v>0</v>
      </c>
    </row>
    <row r="355" spans="1:11" ht="33" customHeight="1" x14ac:dyDescent="0.25">
      <c r="A355" s="276" t="s">
        <v>582</v>
      </c>
      <c r="B355" s="214" t="s">
        <v>35</v>
      </c>
      <c r="C355" s="277" t="s">
        <v>137</v>
      </c>
      <c r="D355" s="96" t="s">
        <v>325</v>
      </c>
      <c r="E355" s="278">
        <f>'калькуляция 2024'!R368</f>
        <v>25</v>
      </c>
      <c r="F355" s="278">
        <f>'калькуляция 2024'!S368</f>
        <v>5</v>
      </c>
      <c r="G355" s="300">
        <f t="shared" si="40"/>
        <v>30</v>
      </c>
      <c r="H355" s="296"/>
      <c r="I355" s="80"/>
      <c r="J355" s="305">
        <v>11</v>
      </c>
      <c r="K355" s="81" t="b">
        <f t="shared" si="35"/>
        <v>0</v>
      </c>
    </row>
    <row r="356" spans="1:11" ht="39.75" customHeight="1" x14ac:dyDescent="0.25">
      <c r="A356" s="276" t="s">
        <v>588</v>
      </c>
      <c r="B356" s="214" t="s">
        <v>35</v>
      </c>
      <c r="C356" s="277" t="s">
        <v>138</v>
      </c>
      <c r="D356" s="96" t="s">
        <v>325</v>
      </c>
      <c r="E356" s="278">
        <f>'калькуляция 2024'!R369</f>
        <v>116.67</v>
      </c>
      <c r="F356" s="278">
        <f>'калькуляция 2024'!S369</f>
        <v>23.33</v>
      </c>
      <c r="G356" s="300">
        <f t="shared" si="40"/>
        <v>140</v>
      </c>
      <c r="H356" s="296"/>
      <c r="I356" s="80"/>
      <c r="J356" s="305">
        <v>55</v>
      </c>
      <c r="K356" s="81" t="b">
        <f t="shared" si="35"/>
        <v>0</v>
      </c>
    </row>
    <row r="357" spans="1:11" ht="16.5" customHeight="1" x14ac:dyDescent="0.25">
      <c r="A357" s="920" t="s">
        <v>633</v>
      </c>
      <c r="B357" s="940" t="s">
        <v>35</v>
      </c>
      <c r="C357" s="1063" t="s">
        <v>139</v>
      </c>
      <c r="D357" s="928" t="s">
        <v>20</v>
      </c>
      <c r="E357" s="918">
        <f>'калькуляция 2024'!R370</f>
        <v>1233.33</v>
      </c>
      <c r="F357" s="918">
        <f>'калькуляция 2024'!S370</f>
        <v>246.67</v>
      </c>
      <c r="G357" s="1061">
        <f t="shared" si="40"/>
        <v>1480</v>
      </c>
      <c r="H357" s="915"/>
      <c r="I357" s="955"/>
      <c r="J357" s="1060">
        <v>611</v>
      </c>
      <c r="K357" s="81" t="b">
        <f t="shared" si="35"/>
        <v>0</v>
      </c>
    </row>
    <row r="358" spans="1:11" ht="26.25" customHeight="1" x14ac:dyDescent="0.25">
      <c r="A358" s="922"/>
      <c r="B358" s="941"/>
      <c r="C358" s="1063"/>
      <c r="D358" s="929"/>
      <c r="E358" s="919">
        <f>'калькуляция 2024'!R371</f>
        <v>0</v>
      </c>
      <c r="F358" s="919">
        <f>'калькуляция 2024'!S371</f>
        <v>0</v>
      </c>
      <c r="G358" s="1062">
        <f t="shared" si="40"/>
        <v>0</v>
      </c>
      <c r="H358" s="916"/>
      <c r="I358" s="955"/>
      <c r="J358" s="1060"/>
      <c r="K358" s="81" t="b">
        <f t="shared" si="35"/>
        <v>1</v>
      </c>
    </row>
    <row r="359" spans="1:11" ht="34.5" customHeight="1" x14ac:dyDescent="0.25">
      <c r="A359" s="276" t="s">
        <v>634</v>
      </c>
      <c r="B359" s="214" t="s">
        <v>35</v>
      </c>
      <c r="C359" s="277" t="s">
        <v>140</v>
      </c>
      <c r="D359" s="96" t="s">
        <v>325</v>
      </c>
      <c r="E359" s="278">
        <f>'калькуляция 2024'!R372</f>
        <v>286.67</v>
      </c>
      <c r="F359" s="278">
        <f>'калькуляция 2024'!S372</f>
        <v>57.33</v>
      </c>
      <c r="G359" s="300">
        <f t="shared" si="40"/>
        <v>344</v>
      </c>
      <c r="H359" s="296"/>
      <c r="I359" s="80"/>
      <c r="J359" s="305">
        <v>212</v>
      </c>
      <c r="K359" s="81" t="b">
        <f t="shared" si="35"/>
        <v>0</v>
      </c>
    </row>
    <row r="360" spans="1:11" ht="19.5" customHeight="1" x14ac:dyDescent="0.25">
      <c r="A360" s="920" t="s">
        <v>635</v>
      </c>
      <c r="B360" s="940" t="s">
        <v>35</v>
      </c>
      <c r="C360" s="953" t="s">
        <v>141</v>
      </c>
      <c r="D360" s="905" t="s">
        <v>334</v>
      </c>
      <c r="E360" s="918">
        <f>'калькуляция 2024'!R373</f>
        <v>420</v>
      </c>
      <c r="F360" s="918">
        <f>'калькуляция 2024'!S373</f>
        <v>84</v>
      </c>
      <c r="G360" s="1061">
        <f t="shared" si="40"/>
        <v>504</v>
      </c>
      <c r="H360" s="915"/>
      <c r="I360" s="955"/>
      <c r="J360" s="1060">
        <v>339</v>
      </c>
      <c r="K360" s="81" t="b">
        <f t="shared" si="35"/>
        <v>0</v>
      </c>
    </row>
    <row r="361" spans="1:11" ht="27.95" customHeight="1" x14ac:dyDescent="0.25">
      <c r="A361" s="922"/>
      <c r="B361" s="941"/>
      <c r="C361" s="954"/>
      <c r="D361" s="909"/>
      <c r="E361" s="919">
        <f>'калькуляция 2024'!R374</f>
        <v>0</v>
      </c>
      <c r="F361" s="919">
        <f>'калькуляция 2024'!S374</f>
        <v>0</v>
      </c>
      <c r="G361" s="1062">
        <f t="shared" si="40"/>
        <v>0</v>
      </c>
      <c r="H361" s="916"/>
      <c r="I361" s="955"/>
      <c r="J361" s="1060"/>
      <c r="K361" s="81" t="b">
        <f t="shared" si="35"/>
        <v>1</v>
      </c>
    </row>
    <row r="362" spans="1:11" ht="42" customHeight="1" x14ac:dyDescent="0.25">
      <c r="A362" s="276" t="s">
        <v>636</v>
      </c>
      <c r="B362" s="214" t="s">
        <v>35</v>
      </c>
      <c r="C362" s="277" t="s">
        <v>142</v>
      </c>
      <c r="D362" s="96" t="s">
        <v>320</v>
      </c>
      <c r="E362" s="278">
        <f>'калькуляция 2024'!R375</f>
        <v>1135.83</v>
      </c>
      <c r="F362" s="278">
        <f>'калькуляция 2024'!S375</f>
        <v>227.17</v>
      </c>
      <c r="G362" s="300">
        <f t="shared" si="40"/>
        <v>1363</v>
      </c>
      <c r="H362" s="296"/>
      <c r="I362" s="80"/>
      <c r="J362" s="305">
        <v>537</v>
      </c>
      <c r="K362" s="81" t="b">
        <f t="shared" si="35"/>
        <v>0</v>
      </c>
    </row>
    <row r="363" spans="1:11" ht="56.25" customHeight="1" x14ac:dyDescent="0.25">
      <c r="A363" s="265" t="s">
        <v>637</v>
      </c>
      <c r="B363" s="214" t="s">
        <v>35</v>
      </c>
      <c r="C363" s="277" t="s">
        <v>143</v>
      </c>
      <c r="D363" s="96" t="s">
        <v>360</v>
      </c>
      <c r="E363" s="278">
        <f>'калькуляция 2024'!R376</f>
        <v>421.67</v>
      </c>
      <c r="F363" s="278">
        <f>'калькуляция 2024'!S376</f>
        <v>84.33</v>
      </c>
      <c r="G363" s="300">
        <f t="shared" si="40"/>
        <v>506</v>
      </c>
      <c r="H363" s="296"/>
      <c r="I363" s="80"/>
      <c r="J363" s="305">
        <v>311</v>
      </c>
      <c r="K363" s="81" t="b">
        <f t="shared" si="35"/>
        <v>0</v>
      </c>
    </row>
    <row r="364" spans="1:11" ht="71.25" customHeight="1" x14ac:dyDescent="0.25">
      <c r="A364" s="276" t="s">
        <v>638</v>
      </c>
      <c r="B364" s="214" t="s">
        <v>35</v>
      </c>
      <c r="C364" s="277" t="s">
        <v>323</v>
      </c>
      <c r="D364" s="96" t="s">
        <v>20</v>
      </c>
      <c r="E364" s="278">
        <f>'калькуляция 2024'!R377</f>
        <v>1135.83</v>
      </c>
      <c r="F364" s="278">
        <f>'калькуляция 2024'!S377</f>
        <v>227.17</v>
      </c>
      <c r="G364" s="300">
        <f t="shared" si="40"/>
        <v>1363</v>
      </c>
      <c r="H364" s="296"/>
      <c r="I364" s="80"/>
      <c r="J364" s="305">
        <v>537</v>
      </c>
      <c r="K364" s="81" t="b">
        <f t="shared" si="35"/>
        <v>0</v>
      </c>
    </row>
    <row r="365" spans="1:11" ht="27" customHeight="1" x14ac:dyDescent="0.25">
      <c r="A365" s="189"/>
      <c r="B365" s="948" t="s">
        <v>598</v>
      </c>
      <c r="C365" s="948"/>
      <c r="D365" s="224"/>
      <c r="E365" s="225"/>
      <c r="F365" s="225"/>
      <c r="G365" s="322"/>
      <c r="H365" s="81"/>
    </row>
    <row r="366" spans="1:11" ht="55.5" customHeight="1" x14ac:dyDescent="0.25">
      <c r="A366" s="947" t="s">
        <v>597</v>
      </c>
      <c r="B366" s="947"/>
      <c r="C366" s="947"/>
      <c r="D366" s="947"/>
      <c r="E366" s="947"/>
      <c r="F366" s="947"/>
      <c r="G366" s="947"/>
      <c r="H366" s="81"/>
    </row>
    <row r="367" spans="1:11" x14ac:dyDescent="0.25">
      <c r="A367" s="226"/>
      <c r="B367" s="225"/>
      <c r="C367" s="227"/>
      <c r="D367" s="224"/>
      <c r="E367" s="225"/>
      <c r="F367" s="225"/>
      <c r="G367" s="322"/>
      <c r="H367" s="81"/>
    </row>
    <row r="368" spans="1:11" ht="42" customHeight="1" x14ac:dyDescent="0.3">
      <c r="A368" s="949" t="s">
        <v>591</v>
      </c>
      <c r="B368" s="949"/>
      <c r="C368" s="949"/>
      <c r="D368" s="946" t="s">
        <v>611</v>
      </c>
      <c r="E368" s="946"/>
      <c r="F368" s="228" t="s">
        <v>593</v>
      </c>
      <c r="G368" s="323"/>
      <c r="H368" s="82"/>
    </row>
    <row r="369" spans="1:10" ht="18.75" x14ac:dyDescent="0.3">
      <c r="A369" s="297"/>
      <c r="B369" s="228"/>
      <c r="C369" s="228"/>
      <c r="D369" s="229"/>
      <c r="E369" s="228"/>
      <c r="F369" s="228"/>
      <c r="G369" s="323"/>
      <c r="H369" s="82"/>
    </row>
    <row r="370" spans="1:10" ht="38.25" customHeight="1" x14ac:dyDescent="0.3">
      <c r="A370" s="950" t="s">
        <v>594</v>
      </c>
      <c r="B370" s="950"/>
      <c r="C370" s="950"/>
      <c r="D370" s="946" t="s">
        <v>611</v>
      </c>
      <c r="E370" s="946"/>
      <c r="F370" s="228" t="s">
        <v>595</v>
      </c>
      <c r="G370" s="324"/>
      <c r="H370" s="82"/>
    </row>
    <row r="371" spans="1:10" x14ac:dyDescent="0.25">
      <c r="A371" s="231"/>
      <c r="B371" s="232"/>
      <c r="C371" s="233"/>
      <c r="D371" s="234"/>
      <c r="E371" s="232"/>
      <c r="F371" s="232"/>
      <c r="G371" s="302"/>
      <c r="H371" s="81"/>
    </row>
    <row r="372" spans="1:10" ht="24" customHeight="1" x14ac:dyDescent="0.25">
      <c r="A372" s="90"/>
      <c r="B372" s="81"/>
      <c r="C372" s="91"/>
      <c r="D372" s="97"/>
      <c r="E372" s="169">
        <f>SUM(E8:E364)</f>
        <v>136019.16999999998</v>
      </c>
      <c r="F372" s="169">
        <f>SUM(F8:F364)</f>
        <v>27203.830000000009</v>
      </c>
      <c r="G372" s="325">
        <f>SUM(G8:G364)</f>
        <v>163223</v>
      </c>
      <c r="H372" s="146">
        <f>ROUND((G372/'калькуляция 2024'!W379)*100-100,2)</f>
        <v>133.09</v>
      </c>
      <c r="I372" s="145" t="s">
        <v>647</v>
      </c>
      <c r="J372" s="306">
        <f>SUM(J8:J364)</f>
        <v>62014</v>
      </c>
    </row>
    <row r="373" spans="1:10" x14ac:dyDescent="0.25">
      <c r="A373" s="90"/>
      <c r="B373" s="81"/>
      <c r="C373" s="91"/>
      <c r="D373" s="97"/>
      <c r="E373" s="81"/>
      <c r="F373" s="81"/>
      <c r="G373" s="302">
        <f>G372/120*20</f>
        <v>27203.833333333332</v>
      </c>
      <c r="H373" s="81"/>
    </row>
  </sheetData>
  <mergeCells count="222">
    <mergeCell ref="D1:G1"/>
    <mergeCell ref="A2:G2"/>
    <mergeCell ref="A4:A5"/>
    <mergeCell ref="B4:B5"/>
    <mergeCell ref="C4:C5"/>
    <mergeCell ref="D4:D5"/>
    <mergeCell ref="G4:G5"/>
    <mergeCell ref="H4:H5"/>
    <mergeCell ref="I4:I5"/>
    <mergeCell ref="A7:G7"/>
    <mergeCell ref="A10:G10"/>
    <mergeCell ref="A11:A12"/>
    <mergeCell ref="B11:B12"/>
    <mergeCell ref="C11:C12"/>
    <mergeCell ref="D11:D12"/>
    <mergeCell ref="E11:E12"/>
    <mergeCell ref="F11:F12"/>
    <mergeCell ref="G11:G12"/>
    <mergeCell ref="H11:H12"/>
    <mergeCell ref="I11:I12"/>
    <mergeCell ref="A22:A23"/>
    <mergeCell ref="B22:B23"/>
    <mergeCell ref="C22:C23"/>
    <mergeCell ref="D22:D23"/>
    <mergeCell ref="E22:E23"/>
    <mergeCell ref="F22:F23"/>
    <mergeCell ref="G22:G23"/>
    <mergeCell ref="H22:H23"/>
    <mergeCell ref="I22:I23"/>
    <mergeCell ref="A25:A26"/>
    <mergeCell ref="B25:B26"/>
    <mergeCell ref="C25:C26"/>
    <mergeCell ref="D25:D26"/>
    <mergeCell ref="E25:E26"/>
    <mergeCell ref="F25:F26"/>
    <mergeCell ref="G25:G26"/>
    <mergeCell ref="H25:H26"/>
    <mergeCell ref="I25:I26"/>
    <mergeCell ref="B39:D39"/>
    <mergeCell ref="A40:A52"/>
    <mergeCell ref="B40:B41"/>
    <mergeCell ref="C40:C41"/>
    <mergeCell ref="D40:D41"/>
    <mergeCell ref="E40:E41"/>
    <mergeCell ref="F40:F41"/>
    <mergeCell ref="G40:G41"/>
    <mergeCell ref="H40:H41"/>
    <mergeCell ref="H43:H44"/>
    <mergeCell ref="B43:B44"/>
    <mergeCell ref="C43:C44"/>
    <mergeCell ref="D43:D44"/>
    <mergeCell ref="E43:E44"/>
    <mergeCell ref="F43:F44"/>
    <mergeCell ref="G43:G44"/>
    <mergeCell ref="A53:D55"/>
    <mergeCell ref="A60:G60"/>
    <mergeCell ref="I69:I70"/>
    <mergeCell ref="A74:A75"/>
    <mergeCell ref="B74:B75"/>
    <mergeCell ref="C74:C75"/>
    <mergeCell ref="D74:D75"/>
    <mergeCell ref="E74:E75"/>
    <mergeCell ref="F74:F75"/>
    <mergeCell ref="G89:G90"/>
    <mergeCell ref="H89:H90"/>
    <mergeCell ref="I89:I90"/>
    <mergeCell ref="A100:G100"/>
    <mergeCell ref="A102:D102"/>
    <mergeCell ref="B107:D107"/>
    <mergeCell ref="G74:G75"/>
    <mergeCell ref="H74:H75"/>
    <mergeCell ref="I74:I75"/>
    <mergeCell ref="I84:I85"/>
    <mergeCell ref="A89:A90"/>
    <mergeCell ref="B89:B90"/>
    <mergeCell ref="C89:C90"/>
    <mergeCell ref="D89:D90"/>
    <mergeCell ref="E89:E90"/>
    <mergeCell ref="F89:F90"/>
    <mergeCell ref="A125:D127"/>
    <mergeCell ref="B128:D128"/>
    <mergeCell ref="A129:A141"/>
    <mergeCell ref="B130:B131"/>
    <mergeCell ref="C130:C131"/>
    <mergeCell ref="D130:D131"/>
    <mergeCell ref="G108:G109"/>
    <mergeCell ref="H108:H109"/>
    <mergeCell ref="B117:B118"/>
    <mergeCell ref="C117:C118"/>
    <mergeCell ref="D117:D118"/>
    <mergeCell ref="E117:E118"/>
    <mergeCell ref="F117:F118"/>
    <mergeCell ref="G117:G118"/>
    <mergeCell ref="H117:H118"/>
    <mergeCell ref="A108:A124"/>
    <mergeCell ref="B108:B109"/>
    <mergeCell ref="C108:C109"/>
    <mergeCell ref="D108:D109"/>
    <mergeCell ref="E108:E109"/>
    <mergeCell ref="F108:F109"/>
    <mergeCell ref="E130:E131"/>
    <mergeCell ref="F130:F131"/>
    <mergeCell ref="G130:G131"/>
    <mergeCell ref="H130:H131"/>
    <mergeCell ref="A142:D144"/>
    <mergeCell ref="A145:A146"/>
    <mergeCell ref="C145:C146"/>
    <mergeCell ref="D145:D146"/>
    <mergeCell ref="E145:E146"/>
    <mergeCell ref="F145:F146"/>
    <mergeCell ref="G145:G146"/>
    <mergeCell ref="H145:H146"/>
    <mergeCell ref="A211:D211"/>
    <mergeCell ref="A225:A226"/>
    <mergeCell ref="B225:B226"/>
    <mergeCell ref="C225:C226"/>
    <mergeCell ref="D225:D226"/>
    <mergeCell ref="E225:E226"/>
    <mergeCell ref="F225:F226"/>
    <mergeCell ref="G225:G226"/>
    <mergeCell ref="H225:H226"/>
    <mergeCell ref="I225:I226"/>
    <mergeCell ref="A234:A235"/>
    <mergeCell ref="B234:B235"/>
    <mergeCell ref="C234:C235"/>
    <mergeCell ref="D234:D235"/>
    <mergeCell ref="E234:E235"/>
    <mergeCell ref="F234:F235"/>
    <mergeCell ref="G234:G235"/>
    <mergeCell ref="H234:H235"/>
    <mergeCell ref="I234:I235"/>
    <mergeCell ref="A294:D294"/>
    <mergeCell ref="A304:A305"/>
    <mergeCell ref="B304:B305"/>
    <mergeCell ref="C304:C305"/>
    <mergeCell ref="D304:D305"/>
    <mergeCell ref="E304:E305"/>
    <mergeCell ref="F304:F305"/>
    <mergeCell ref="G304:G305"/>
    <mergeCell ref="H304:H305"/>
    <mergeCell ref="I304:I305"/>
    <mergeCell ref="A312:A313"/>
    <mergeCell ref="B312:B313"/>
    <mergeCell ref="C312:C313"/>
    <mergeCell ref="D312:D313"/>
    <mergeCell ref="E312:E313"/>
    <mergeCell ref="F312:F313"/>
    <mergeCell ref="G312:G313"/>
    <mergeCell ref="H312:H313"/>
    <mergeCell ref="I312:I313"/>
    <mergeCell ref="I320:I321"/>
    <mergeCell ref="A323:A324"/>
    <mergeCell ref="B323:B324"/>
    <mergeCell ref="C323:C324"/>
    <mergeCell ref="D323:D324"/>
    <mergeCell ref="E323:E324"/>
    <mergeCell ref="F323:F324"/>
    <mergeCell ref="G323:G324"/>
    <mergeCell ref="A320:A321"/>
    <mergeCell ref="B320:B321"/>
    <mergeCell ref="C320:C321"/>
    <mergeCell ref="D320:D321"/>
    <mergeCell ref="E320:E321"/>
    <mergeCell ref="F320:F321"/>
    <mergeCell ref="A368:C368"/>
    <mergeCell ref="D368:E368"/>
    <mergeCell ref="A370:C370"/>
    <mergeCell ref="D370:E370"/>
    <mergeCell ref="H357:H358"/>
    <mergeCell ref="I357:I358"/>
    <mergeCell ref="A360:A361"/>
    <mergeCell ref="B360:B361"/>
    <mergeCell ref="C360:C361"/>
    <mergeCell ref="D360:D361"/>
    <mergeCell ref="E360:E361"/>
    <mergeCell ref="F360:F361"/>
    <mergeCell ref="G360:G361"/>
    <mergeCell ref="H360:H361"/>
    <mergeCell ref="A357:A358"/>
    <mergeCell ref="B357:B358"/>
    <mergeCell ref="C357:C358"/>
    <mergeCell ref="D357:D358"/>
    <mergeCell ref="E357:E358"/>
    <mergeCell ref="F357:F358"/>
    <mergeCell ref="G357:G358"/>
    <mergeCell ref="J11:J12"/>
    <mergeCell ref="J22:J23"/>
    <mergeCell ref="J25:J26"/>
    <mergeCell ref="J40:J41"/>
    <mergeCell ref="J43:J44"/>
    <mergeCell ref="J89:J90"/>
    <mergeCell ref="I360:I361"/>
    <mergeCell ref="B365:C365"/>
    <mergeCell ref="A366:G366"/>
    <mergeCell ref="H341:H342"/>
    <mergeCell ref="I341:I342"/>
    <mergeCell ref="A347:G347"/>
    <mergeCell ref="H323:H324"/>
    <mergeCell ref="I323:I324"/>
    <mergeCell ref="A338:G338"/>
    <mergeCell ref="A341:A342"/>
    <mergeCell ref="B341:B342"/>
    <mergeCell ref="C341:C342"/>
    <mergeCell ref="D341:D342"/>
    <mergeCell ref="E341:E342"/>
    <mergeCell ref="F341:F342"/>
    <mergeCell ref="G341:G342"/>
    <mergeCell ref="G320:G321"/>
    <mergeCell ref="H320:H321"/>
    <mergeCell ref="J360:J361"/>
    <mergeCell ref="J304:J305"/>
    <mergeCell ref="J312:J313"/>
    <mergeCell ref="J320:J321"/>
    <mergeCell ref="J323:J324"/>
    <mergeCell ref="J341:J342"/>
    <mergeCell ref="J357:J358"/>
    <mergeCell ref="J117:J118"/>
    <mergeCell ref="J108:J109"/>
    <mergeCell ref="J130:J131"/>
    <mergeCell ref="J145:J146"/>
    <mergeCell ref="J234:J235"/>
    <mergeCell ref="J225:J226"/>
  </mergeCells>
  <pageMargins left="0.70866141732283472" right="0.70866141732283472" top="0.74803149606299213" bottom="0.74803149606299213" header="0.31496062992125984" footer="0.31496062992125984"/>
  <pageSetup paperSize="9" scale="67" fitToHeight="0" orientation="portrait" r:id="rId1"/>
  <headerFooter>
    <oddFooter>&amp;R&amp;P</oddFooter>
  </headerFooter>
  <rowBreaks count="3" manualBreakCount="3">
    <brk id="51" max="9" man="1"/>
    <brk id="99" max="9" man="1"/>
    <brk id="1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условия, ФОТ</vt:lpstr>
      <vt:lpstr>калькуляция 2024</vt:lpstr>
      <vt:lpstr>Прейскурант 2024</vt:lpstr>
      <vt:lpstr>калькуляция 2021 (2)</vt:lpstr>
      <vt:lpstr>материалы</vt:lpstr>
      <vt:lpstr>расход ГСМ</vt:lpstr>
      <vt:lpstr>мастерская</vt:lpstr>
      <vt:lpstr>материалы (рАБОЧАЯ ВКЛ)</vt:lpstr>
      <vt:lpstr>Прейскурант 2021 (2)</vt:lpstr>
      <vt:lpstr>'калькуляция 2021 (2)'!Заголовки_для_печати</vt:lpstr>
      <vt:lpstr>'калькуляция 2024'!Заголовки_для_печати</vt:lpstr>
      <vt:lpstr>'Прейскурант 2021 (2)'!Заголовки_для_печати</vt:lpstr>
      <vt:lpstr>'Прейскурант 2024'!Заголовки_для_печати</vt:lpstr>
      <vt:lpstr>'калькуляция 2021 (2)'!Область_печати</vt:lpstr>
      <vt:lpstr>'калькуляция 2024'!Область_печати</vt:lpstr>
      <vt:lpstr>мастерская!Область_печати</vt:lpstr>
      <vt:lpstr>'Прейскурант 2021 (2)'!Область_печати</vt:lpstr>
      <vt:lpstr>'Прейскурант 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2024-01-23T10:35:14Z</dcterms:modified>
</cp:coreProperties>
</file>